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380" yWindow="4572" windowWidth="12888" windowHeight="4800"/>
  </bookViews>
  <sheets>
    <sheet name="Report" sheetId="84" r:id="rId1"/>
    <sheet name="Points Summary" sheetId="1" r:id="rId2"/>
    <sheet name="Race 1" sheetId="76" r:id="rId3"/>
    <sheet name="Race 2" sheetId="10" r:id="rId4"/>
    <sheet name="Race 3" sheetId="4" r:id="rId5"/>
    <sheet name="Race 4" sheetId="5" r:id="rId6"/>
    <sheet name="Race 5" sheetId="48" r:id="rId7"/>
    <sheet name="Race 6" sheetId="6" r:id="rId8"/>
    <sheet name="Race 7" sheetId="7" r:id="rId9"/>
    <sheet name="Race 8" sheetId="8" r:id="rId10"/>
    <sheet name="Race 9" sheetId="9" r:id="rId11"/>
    <sheet name="Race 10" sheetId="75" r:id="rId12"/>
    <sheet name="Race 11" sheetId="11" r:id="rId13"/>
    <sheet name="Race 12" sheetId="12" r:id="rId14"/>
    <sheet name="Race 13" sheetId="13" r:id="rId15"/>
    <sheet name="Race 14" sheetId="93" r:id="rId16"/>
    <sheet name="Race 15" sheetId="92" r:id="rId17"/>
    <sheet name="Race 16" sheetId="111" r:id="rId18"/>
    <sheet name="Race 17" sheetId="20" r:id="rId19"/>
    <sheet name="Race 18" sheetId="24" r:id="rId20"/>
    <sheet name="Race 19" sheetId="14" r:id="rId21"/>
    <sheet name="Race 20" sheetId="15" r:id="rId22"/>
    <sheet name="Race 21" sheetId="17" r:id="rId23"/>
    <sheet name="Race 22" sheetId="18" r:id="rId24"/>
    <sheet name="Race 23" sheetId="19" r:id="rId25"/>
    <sheet name="Race 24" sheetId="35" r:id="rId26"/>
    <sheet name="Race 25" sheetId="23" r:id="rId27"/>
    <sheet name="Race 26" sheetId="83" r:id="rId28"/>
    <sheet name="Race 27" sheetId="21" r:id="rId29"/>
    <sheet name="Race 28" sheetId="22" r:id="rId30"/>
    <sheet name="Race 29" sheetId="42" r:id="rId31"/>
    <sheet name="Race 30" sheetId="25" r:id="rId32"/>
    <sheet name="Race 31" sheetId="30" r:id="rId33"/>
    <sheet name="Race 32" sheetId="31" r:id="rId34"/>
    <sheet name="Race 33" sheetId="26" r:id="rId35"/>
    <sheet name="Race 34" sheetId="27" r:id="rId36"/>
    <sheet name="Race 35" sheetId="43" r:id="rId37"/>
    <sheet name="Race 36" sheetId="28" r:id="rId38"/>
    <sheet name="Race 37" sheetId="29" r:id="rId39"/>
    <sheet name="Race 38" sheetId="32" r:id="rId40"/>
    <sheet name="Race 39" sheetId="33" r:id="rId41"/>
    <sheet name="Race 40" sheetId="34" r:id="rId42"/>
    <sheet name="Race 41" sheetId="45" r:id="rId43"/>
    <sheet name="Race 42" sheetId="36" r:id="rId44"/>
    <sheet name="Race 43" sheetId="37" r:id="rId45"/>
    <sheet name="Race 44" sheetId="91" r:id="rId46"/>
    <sheet name="Race 45" sheetId="77" r:id="rId47"/>
    <sheet name="Race 46" sheetId="56" r:id="rId48"/>
    <sheet name="Race 47" sheetId="98" r:id="rId49"/>
    <sheet name="Race 48" sheetId="47" r:id="rId50"/>
    <sheet name="Race 49" sheetId="74" r:id="rId51"/>
    <sheet name="Race 50" sheetId="39" r:id="rId52"/>
    <sheet name="Race 51" sheetId="46" r:id="rId53"/>
    <sheet name="Race 52" sheetId="40" r:id="rId54"/>
    <sheet name="Race 53" sheetId="41" r:id="rId55"/>
    <sheet name="Race 54" sheetId="61" r:id="rId56"/>
    <sheet name="Race 55" sheetId="60" r:id="rId57"/>
    <sheet name="Race 56" sheetId="44" r:id="rId58"/>
    <sheet name="Race 57" sheetId="65" r:id="rId59"/>
    <sheet name="Race 58" sheetId="72" r:id="rId60"/>
    <sheet name="Race 59" sheetId="71" r:id="rId61"/>
    <sheet name="Race 60" sheetId="49" r:id="rId62"/>
    <sheet name="Race 61" sheetId="63" r:id="rId63"/>
    <sheet name="Race 62" sheetId="62" r:id="rId64"/>
    <sheet name="Race 63" sheetId="58" r:id="rId65"/>
    <sheet name="Race 64" sheetId="50" r:id="rId66"/>
    <sheet name="Race 65" sheetId="51" r:id="rId67"/>
    <sheet name="Race 66" sheetId="97" r:id="rId68"/>
    <sheet name="Race 67" sheetId="73" r:id="rId69"/>
    <sheet name="Race 68" sheetId="82" r:id="rId70"/>
    <sheet name="Race 69" sheetId="52" r:id="rId71"/>
    <sheet name="Race 70" sheetId="53" r:id="rId72"/>
    <sheet name="Race 71" sheetId="54" r:id="rId73"/>
    <sheet name="Race 72" sheetId="59" r:id="rId74"/>
    <sheet name="Race 73" sheetId="57" r:id="rId75"/>
    <sheet name="Race 74" sheetId="38" r:id="rId76"/>
    <sheet name="Race 75" sheetId="55" r:id="rId77"/>
    <sheet name="Race 76" sheetId="64" r:id="rId78"/>
    <sheet name="Race 77" sheetId="94" r:id="rId79"/>
    <sheet name="Race 78" sheetId="95" r:id="rId80"/>
    <sheet name="Race 79" sheetId="96" r:id="rId81"/>
    <sheet name="Race 80" sheetId="66" r:id="rId82"/>
    <sheet name="Race 81" sheetId="89" r:id="rId83"/>
    <sheet name="Race 82" sheetId="86" r:id="rId84"/>
    <sheet name="Race 83" sheetId="68" r:id="rId85"/>
    <sheet name="Race 84" sheetId="70" r:id="rId86"/>
    <sheet name="Race 85" sheetId="67" r:id="rId87"/>
    <sheet name="Race 86" sheetId="81" r:id="rId88"/>
    <sheet name="Race 87" sheetId="80" r:id="rId89"/>
    <sheet name="Race 88" sheetId="79" r:id="rId90"/>
    <sheet name="Race 89" sheetId="78" r:id="rId91"/>
    <sheet name="Race 90" sheetId="85" r:id="rId92"/>
    <sheet name="Race 91" sheetId="88" r:id="rId93"/>
    <sheet name="Race 92" sheetId="87" r:id="rId94"/>
    <sheet name="Race 93" sheetId="99" r:id="rId95"/>
    <sheet name="Race 94" sheetId="103" r:id="rId96"/>
    <sheet name="Race 95" sheetId="102" r:id="rId97"/>
    <sheet name="Race 96" sheetId="101" r:id="rId98"/>
    <sheet name="Race 97" sheetId="105" r:id="rId99"/>
    <sheet name="Race 98" sheetId="104" r:id="rId100"/>
    <sheet name="Race 99" sheetId="107" r:id="rId101"/>
    <sheet name="Race 100" sheetId="90" r:id="rId102"/>
    <sheet name="Race 101" sheetId="117" r:id="rId103"/>
    <sheet name="Race 102" sheetId="116" r:id="rId104"/>
    <sheet name="Race 103" sheetId="108" r:id="rId105"/>
    <sheet name="Race 104" sheetId="109" r:id="rId106"/>
    <sheet name="Race 105" sheetId="106" r:id="rId107"/>
    <sheet name="Race 106" sheetId="100" r:id="rId108"/>
    <sheet name="Race 107" sheetId="110" r:id="rId109"/>
    <sheet name="Race 108" sheetId="113" r:id="rId110"/>
    <sheet name="Race 109" sheetId="112" r:id="rId111"/>
    <sheet name="Race 110" sheetId="114" r:id="rId112"/>
    <sheet name="Race 111" sheetId="118" r:id="rId113"/>
    <sheet name="Race 112" sheetId="119" r:id="rId114"/>
    <sheet name="Race 113" sheetId="120" r:id="rId115"/>
    <sheet name="Race 114" sheetId="115" r:id="rId116"/>
    <sheet name="Race 115" sheetId="122" r:id="rId117"/>
    <sheet name="Race 116" sheetId="121" r:id="rId118"/>
    <sheet name="Race 117" sheetId="124" r:id="rId119"/>
    <sheet name="Race 118" sheetId="123" r:id="rId120"/>
    <sheet name="Race 119" sheetId="126" r:id="rId121"/>
    <sheet name="Race 120" sheetId="125" r:id="rId122"/>
    <sheet name="Race 121" sheetId="127" r:id="rId123"/>
    <sheet name="Sample" sheetId="3" r:id="rId124"/>
  </sheets>
  <definedNames>
    <definedName name="_xlnm._FilterDatabase" localSheetId="39" hidden="1">'Race 38'!$A$8:$D$17</definedName>
    <definedName name="_xlnm._FilterDatabase" localSheetId="66" hidden="1">'Race 65'!$A$1:$G$29</definedName>
    <definedName name="_xlnm._FilterDatabase" localSheetId="73" hidden="1">'Race 72'!$A$8:$D$22</definedName>
    <definedName name="_xlnm.Print_Area" localSheetId="0">Report!$AB$1:$AJ$39</definedName>
  </definedNames>
  <calcPr calcId="145621"/>
</workbook>
</file>

<file path=xl/calcChain.xml><?xml version="1.0" encoding="utf-8"?>
<calcChain xmlns="http://schemas.openxmlformats.org/spreadsheetml/2006/main">
  <c r="CZ352" i="1" l="1"/>
  <c r="CZ308" i="1"/>
  <c r="CZ255" i="1"/>
  <c r="CZ223" i="1"/>
  <c r="CZ100" i="1"/>
  <c r="CZ16" i="1"/>
  <c r="F5" i="101"/>
  <c r="EM466" i="1" l="1"/>
  <c r="EH466" i="1"/>
  <c r="EG466" i="1"/>
  <c r="EK466" i="1" s="1"/>
  <c r="EL466" i="1" s="1"/>
  <c r="ED466" i="1" s="1"/>
  <c r="EF466" i="1"/>
  <c r="EE466" i="1"/>
  <c r="EC466" i="1"/>
  <c r="EB466" i="1"/>
  <c r="DZ466" i="1" s="1"/>
  <c r="EA466" i="1"/>
  <c r="EM465" i="1"/>
  <c r="EH465" i="1"/>
  <c r="EE465" i="1"/>
  <c r="EC465" i="1"/>
  <c r="EA465" i="1"/>
  <c r="EM464" i="1"/>
  <c r="EH464" i="1"/>
  <c r="EF464" i="1"/>
  <c r="EE464" i="1"/>
  <c r="EC464" i="1"/>
  <c r="EA464" i="1"/>
  <c r="EM463" i="1"/>
  <c r="EH463" i="1"/>
  <c r="EG463" i="1"/>
  <c r="EK463" i="1" s="1"/>
  <c r="EL463" i="1" s="1"/>
  <c r="ED463" i="1" s="1"/>
  <c r="EF463" i="1"/>
  <c r="EE463" i="1"/>
  <c r="EC463" i="1"/>
  <c r="EA463" i="1"/>
  <c r="G463" i="1"/>
  <c r="EB463" i="1" s="1"/>
  <c r="DZ463" i="1" s="1"/>
  <c r="EM462" i="1"/>
  <c r="EH462" i="1"/>
  <c r="EC462" i="1"/>
  <c r="EA462" i="1"/>
  <c r="EM461" i="1"/>
  <c r="EH461" i="1"/>
  <c r="EF461" i="1"/>
  <c r="EE461" i="1"/>
  <c r="EC461" i="1"/>
  <c r="EA461" i="1"/>
  <c r="EM460" i="1"/>
  <c r="EH460" i="1"/>
  <c r="EE460" i="1"/>
  <c r="EC460" i="1"/>
  <c r="EA460" i="1"/>
  <c r="EM459" i="1"/>
  <c r="EH459" i="1"/>
  <c r="EF459" i="1"/>
  <c r="EE459" i="1"/>
  <c r="EC459" i="1"/>
  <c r="EA459" i="1"/>
  <c r="EM458" i="1"/>
  <c r="EH458" i="1"/>
  <c r="EF458" i="1"/>
  <c r="EE458" i="1"/>
  <c r="EA458" i="1"/>
  <c r="EM457" i="1"/>
  <c r="EH457" i="1"/>
  <c r="EG457" i="1"/>
  <c r="EK457" i="1" s="1"/>
  <c r="EL457" i="1" s="1"/>
  <c r="ED457" i="1" s="1"/>
  <c r="EF457" i="1"/>
  <c r="EE457" i="1"/>
  <c r="EC457" i="1"/>
  <c r="EA457" i="1"/>
  <c r="G457" i="1"/>
  <c r="EB457" i="1" s="1"/>
  <c r="DZ457" i="1" s="1"/>
  <c r="EM456" i="1"/>
  <c r="EH456" i="1"/>
  <c r="EE456" i="1"/>
  <c r="EC456" i="1"/>
  <c r="EA456" i="1"/>
  <c r="EM455" i="1"/>
  <c r="EH455" i="1"/>
  <c r="EE455" i="1"/>
  <c r="EC455" i="1"/>
  <c r="EA455" i="1"/>
  <c r="EM454" i="1"/>
  <c r="EL454" i="1"/>
  <c r="ED454" i="1" s="1"/>
  <c r="EH454" i="1"/>
  <c r="EG454" i="1"/>
  <c r="EK454" i="1" s="1"/>
  <c r="EF454" i="1"/>
  <c r="EE454" i="1"/>
  <c r="EC454" i="1"/>
  <c r="EA454" i="1"/>
  <c r="DZ454" i="1"/>
  <c r="G454" i="1"/>
  <c r="EB454" i="1" s="1"/>
  <c r="EM453" i="1"/>
  <c r="EH453" i="1"/>
  <c r="EE453" i="1"/>
  <c r="EA453" i="1"/>
  <c r="EM452" i="1"/>
  <c r="EH452" i="1"/>
  <c r="EF452" i="1"/>
  <c r="EE452" i="1"/>
  <c r="EC452" i="1"/>
  <c r="EA452" i="1"/>
  <c r="EM451" i="1"/>
  <c r="EI451" i="1"/>
  <c r="EH451" i="1"/>
  <c r="EG451" i="1"/>
  <c r="EK451" i="1" s="1"/>
  <c r="EL451" i="1" s="1"/>
  <c r="ED451" i="1" s="1"/>
  <c r="EF451" i="1"/>
  <c r="EE451" i="1"/>
  <c r="EC451" i="1"/>
  <c r="EB451" i="1"/>
  <c r="EA451" i="1"/>
  <c r="DZ451" i="1"/>
  <c r="EJ451" i="1" s="1"/>
  <c r="G451" i="1"/>
  <c r="EM450" i="1"/>
  <c r="EH450" i="1"/>
  <c r="EE450" i="1"/>
  <c r="EC450" i="1"/>
  <c r="EA450" i="1"/>
  <c r="EM449" i="1"/>
  <c r="EH449" i="1"/>
  <c r="EC449" i="1"/>
  <c r="EA449" i="1"/>
  <c r="EM448" i="1"/>
  <c r="EH448" i="1"/>
  <c r="EF448" i="1"/>
  <c r="EE448" i="1"/>
  <c r="EC448" i="1"/>
  <c r="EA448" i="1"/>
  <c r="EM447" i="1"/>
  <c r="EH447" i="1"/>
  <c r="EE447" i="1"/>
  <c r="EC447" i="1"/>
  <c r="EA447" i="1"/>
  <c r="EM446" i="1"/>
  <c r="EH446" i="1"/>
  <c r="EC446" i="1"/>
  <c r="EA446" i="1"/>
  <c r="EM445" i="1"/>
  <c r="EH445" i="1"/>
  <c r="EE445" i="1"/>
  <c r="EC445" i="1"/>
  <c r="EA445" i="1"/>
  <c r="EM444" i="1"/>
  <c r="EH444" i="1"/>
  <c r="EC444" i="1"/>
  <c r="EA444" i="1"/>
  <c r="EM443" i="1"/>
  <c r="EH443" i="1"/>
  <c r="EF443" i="1"/>
  <c r="EE443" i="1"/>
  <c r="EC443" i="1"/>
  <c r="EA443" i="1"/>
  <c r="EM442" i="1"/>
  <c r="EH442" i="1"/>
  <c r="EG442" i="1"/>
  <c r="EK442" i="1" s="1"/>
  <c r="EL442" i="1" s="1"/>
  <c r="ED442" i="1" s="1"/>
  <c r="EF442" i="1"/>
  <c r="EE442" i="1"/>
  <c r="EC442" i="1"/>
  <c r="EA442" i="1"/>
  <c r="G442" i="1"/>
  <c r="EB442" i="1" s="1"/>
  <c r="DZ442" i="1" s="1"/>
  <c r="EJ442" i="1" s="1"/>
  <c r="EM441" i="1"/>
  <c r="EH441" i="1"/>
  <c r="EF441" i="1"/>
  <c r="EE441" i="1"/>
  <c r="EC441" i="1"/>
  <c r="EA441" i="1"/>
  <c r="EM440" i="1"/>
  <c r="EH440" i="1"/>
  <c r="EF440" i="1"/>
  <c r="EE440" i="1"/>
  <c r="EC440" i="1"/>
  <c r="EA440" i="1"/>
  <c r="EM439" i="1"/>
  <c r="EH439" i="1"/>
  <c r="EC439" i="1"/>
  <c r="EA439" i="1"/>
  <c r="EM438" i="1"/>
  <c r="EH438" i="1"/>
  <c r="EG438" i="1"/>
  <c r="EK438" i="1" s="1"/>
  <c r="EL438" i="1" s="1"/>
  <c r="ED438" i="1" s="1"/>
  <c r="EF438" i="1"/>
  <c r="EE438" i="1"/>
  <c r="EC438" i="1"/>
  <c r="EA438" i="1"/>
  <c r="DZ438" i="1"/>
  <c r="EJ438" i="1" s="1"/>
  <c r="G438" i="1"/>
  <c r="EB438" i="1" s="1"/>
  <c r="EM437" i="1"/>
  <c r="EH437" i="1"/>
  <c r="EE437" i="1"/>
  <c r="EC437" i="1"/>
  <c r="EA437" i="1"/>
  <c r="EM436" i="1"/>
  <c r="EH436" i="1"/>
  <c r="EC436" i="1"/>
  <c r="EA436" i="1"/>
  <c r="EM435" i="1"/>
  <c r="EH435" i="1"/>
  <c r="EF435" i="1"/>
  <c r="EE435" i="1"/>
  <c r="EC435" i="1"/>
  <c r="EA435" i="1"/>
  <c r="EM434" i="1"/>
  <c r="EH434" i="1"/>
  <c r="EC434" i="1"/>
  <c r="EA434" i="1"/>
  <c r="EM433" i="1"/>
  <c r="EH433" i="1"/>
  <c r="EF433" i="1"/>
  <c r="EE433" i="1"/>
  <c r="EC433" i="1"/>
  <c r="EA433" i="1"/>
  <c r="EM432" i="1"/>
  <c r="EH432" i="1"/>
  <c r="EE432" i="1"/>
  <c r="EC432" i="1"/>
  <c r="EA432" i="1"/>
  <c r="EM431" i="1"/>
  <c r="EH431" i="1"/>
  <c r="EC431" i="1"/>
  <c r="EA431" i="1"/>
  <c r="EM430" i="1"/>
  <c r="EH430" i="1"/>
  <c r="EE430" i="1"/>
  <c r="EC430" i="1"/>
  <c r="EA430" i="1"/>
  <c r="EM429" i="1"/>
  <c r="EH429" i="1"/>
  <c r="EE429" i="1"/>
  <c r="EC429" i="1"/>
  <c r="EA429" i="1"/>
  <c r="EM428" i="1"/>
  <c r="EH428" i="1"/>
  <c r="EC428" i="1"/>
  <c r="EA428" i="1"/>
  <c r="EM427" i="1"/>
  <c r="EH427" i="1"/>
  <c r="EG427" i="1"/>
  <c r="EK427" i="1" s="1"/>
  <c r="EL427" i="1" s="1"/>
  <c r="ED427" i="1" s="1"/>
  <c r="EF427" i="1"/>
  <c r="EE427" i="1"/>
  <c r="EC427" i="1"/>
  <c r="EA427" i="1"/>
  <c r="G427" i="1"/>
  <c r="EB427" i="1" s="1"/>
  <c r="DZ427" i="1" s="1"/>
  <c r="EJ427" i="1" s="1"/>
  <c r="EM426" i="1"/>
  <c r="EH426" i="1"/>
  <c r="EE426" i="1"/>
  <c r="EA426" i="1"/>
  <c r="EM425" i="1"/>
  <c r="EH425" i="1"/>
  <c r="EE425" i="1"/>
  <c r="EC425" i="1"/>
  <c r="EA425" i="1"/>
  <c r="EM424" i="1"/>
  <c r="EH424" i="1"/>
  <c r="EF424" i="1"/>
  <c r="EE424" i="1"/>
  <c r="EC424" i="1"/>
  <c r="EA424" i="1"/>
  <c r="EM423" i="1"/>
  <c r="EH423" i="1"/>
  <c r="EC423" i="1"/>
  <c r="EA423" i="1"/>
  <c r="EM422" i="1"/>
  <c r="EH422" i="1"/>
  <c r="EC422" i="1"/>
  <c r="EA422" i="1"/>
  <c r="EM421" i="1"/>
  <c r="EH421" i="1"/>
  <c r="EE421" i="1"/>
  <c r="EC421" i="1"/>
  <c r="EA421" i="1"/>
  <c r="EM420" i="1"/>
  <c r="EH420" i="1"/>
  <c r="EC420" i="1"/>
  <c r="EA420" i="1"/>
  <c r="EM419" i="1"/>
  <c r="EJ419" i="1"/>
  <c r="EH419" i="1"/>
  <c r="EG419" i="1"/>
  <c r="EK419" i="1" s="1"/>
  <c r="EL419" i="1" s="1"/>
  <c r="ED419" i="1" s="1"/>
  <c r="EF419" i="1"/>
  <c r="EE419" i="1"/>
  <c r="EC419" i="1"/>
  <c r="EB419" i="1"/>
  <c r="DZ419" i="1" s="1"/>
  <c r="EI419" i="1" s="1"/>
  <c r="EA419" i="1"/>
  <c r="G419" i="1"/>
  <c r="EM418" i="1"/>
  <c r="EH418" i="1"/>
  <c r="EC418" i="1"/>
  <c r="EA418" i="1"/>
  <c r="EM417" i="1"/>
  <c r="EH417" i="1"/>
  <c r="EE417" i="1"/>
  <c r="EA417" i="1"/>
  <c r="EM416" i="1"/>
  <c r="EH416" i="1"/>
  <c r="EF416" i="1"/>
  <c r="EE416" i="1"/>
  <c r="EC416" i="1"/>
  <c r="EA416" i="1"/>
  <c r="EM415" i="1"/>
  <c r="EH415" i="1"/>
  <c r="EE415" i="1"/>
  <c r="EC415" i="1"/>
  <c r="EA415" i="1"/>
  <c r="EM414" i="1"/>
  <c r="EH414" i="1"/>
  <c r="EE414" i="1"/>
  <c r="EC414" i="1"/>
  <c r="EA414" i="1"/>
  <c r="EM413" i="1"/>
  <c r="EH413" i="1"/>
  <c r="EC413" i="1"/>
  <c r="EA413" i="1"/>
  <c r="EM412" i="1"/>
  <c r="EH412" i="1"/>
  <c r="EG412" i="1"/>
  <c r="EK412" i="1" s="1"/>
  <c r="EL412" i="1" s="1"/>
  <c r="ED412" i="1" s="1"/>
  <c r="EF412" i="1"/>
  <c r="EE412" i="1"/>
  <c r="EC412" i="1"/>
  <c r="EB412" i="1"/>
  <c r="DZ412" i="1" s="1"/>
  <c r="EA412" i="1"/>
  <c r="G412" i="1"/>
  <c r="EM411" i="1"/>
  <c r="EH411" i="1"/>
  <c r="EE411" i="1"/>
  <c r="EC411" i="1"/>
  <c r="EA411" i="1"/>
  <c r="EM410" i="1"/>
  <c r="EJ410" i="1"/>
  <c r="EH410" i="1"/>
  <c r="EG410" i="1"/>
  <c r="EK410" i="1" s="1"/>
  <c r="EL410" i="1" s="1"/>
  <c r="ED410" i="1" s="1"/>
  <c r="EF410" i="1"/>
  <c r="EE410" i="1"/>
  <c r="EC410" i="1"/>
  <c r="EB410" i="1"/>
  <c r="DZ410" i="1" s="1"/>
  <c r="EI410" i="1" s="1"/>
  <c r="EA410" i="1"/>
  <c r="G410" i="1"/>
  <c r="EM409" i="1"/>
  <c r="EH409" i="1"/>
  <c r="EF409" i="1"/>
  <c r="EE409" i="1"/>
  <c r="EC409" i="1"/>
  <c r="EA409" i="1"/>
  <c r="EM408" i="1"/>
  <c r="EH408" i="1"/>
  <c r="EG408" i="1"/>
  <c r="EK408" i="1" s="1"/>
  <c r="EL408" i="1" s="1"/>
  <c r="ED408" i="1" s="1"/>
  <c r="EF408" i="1"/>
  <c r="EE408" i="1"/>
  <c r="EC408" i="1"/>
  <c r="EB408" i="1"/>
  <c r="EA408" i="1"/>
  <c r="DZ408" i="1"/>
  <c r="G408" i="1"/>
  <c r="EM407" i="1"/>
  <c r="EH407" i="1"/>
  <c r="EF407" i="1"/>
  <c r="EE407" i="1"/>
  <c r="EC407" i="1"/>
  <c r="EA407" i="1"/>
  <c r="EM406" i="1"/>
  <c r="EH406" i="1"/>
  <c r="EE406" i="1"/>
  <c r="EA406" i="1"/>
  <c r="EM405" i="1"/>
  <c r="EH405" i="1"/>
  <c r="EF405" i="1"/>
  <c r="EE405" i="1"/>
  <c r="EC405" i="1"/>
  <c r="EA405" i="1"/>
  <c r="EM404" i="1"/>
  <c r="EH404" i="1"/>
  <c r="EF404" i="1"/>
  <c r="EE404" i="1"/>
  <c r="EC404" i="1"/>
  <c r="EA404" i="1"/>
  <c r="EM403" i="1"/>
  <c r="EH403" i="1"/>
  <c r="EG403" i="1"/>
  <c r="EK403" i="1" s="1"/>
  <c r="EL403" i="1" s="1"/>
  <c r="ED403" i="1" s="1"/>
  <c r="EF403" i="1"/>
  <c r="EE403" i="1"/>
  <c r="EC403" i="1"/>
  <c r="EA403" i="1"/>
  <c r="G403" i="1"/>
  <c r="EB403" i="1" s="1"/>
  <c r="DZ403" i="1" s="1"/>
  <c r="EM402" i="1"/>
  <c r="EH402" i="1"/>
  <c r="EE402" i="1"/>
  <c r="EA402" i="1"/>
  <c r="EM401" i="1"/>
  <c r="EH401" i="1"/>
  <c r="EE401" i="1"/>
  <c r="EC401" i="1"/>
  <c r="EA401" i="1"/>
  <c r="EM400" i="1"/>
  <c r="EH400" i="1"/>
  <c r="EE400" i="1"/>
  <c r="EC400" i="1"/>
  <c r="EA400" i="1"/>
  <c r="EM399" i="1"/>
  <c r="EH399" i="1"/>
  <c r="EC399" i="1"/>
  <c r="EA399" i="1"/>
  <c r="EM398" i="1"/>
  <c r="EH398" i="1"/>
  <c r="EE398" i="1"/>
  <c r="EC398" i="1"/>
  <c r="EA398" i="1"/>
  <c r="EM397" i="1"/>
  <c r="EH397" i="1"/>
  <c r="EF397" i="1"/>
  <c r="EE397" i="1"/>
  <c r="EC397" i="1"/>
  <c r="EA397" i="1"/>
  <c r="EM396" i="1"/>
  <c r="EH396" i="1"/>
  <c r="EE396" i="1"/>
  <c r="EC396" i="1"/>
  <c r="EA396" i="1"/>
  <c r="EM395" i="1"/>
  <c r="EH395" i="1"/>
  <c r="EE395" i="1"/>
  <c r="EC395" i="1"/>
  <c r="EA395" i="1"/>
  <c r="EM394" i="1"/>
  <c r="EI394" i="1"/>
  <c r="EH394" i="1"/>
  <c r="EG394" i="1"/>
  <c r="EK394" i="1" s="1"/>
  <c r="EL394" i="1" s="1"/>
  <c r="ED394" i="1" s="1"/>
  <c r="EF394" i="1"/>
  <c r="EE394" i="1"/>
  <c r="EC394" i="1"/>
  <c r="EA394" i="1"/>
  <c r="G394" i="1"/>
  <c r="EB394" i="1" s="1"/>
  <c r="DZ394" i="1" s="1"/>
  <c r="EJ394" i="1" s="1"/>
  <c r="EM393" i="1"/>
  <c r="EH393" i="1"/>
  <c r="EC393" i="1"/>
  <c r="EA393" i="1"/>
  <c r="EM392" i="1"/>
  <c r="EH392" i="1"/>
  <c r="EE392" i="1"/>
  <c r="EC392" i="1"/>
  <c r="EA392" i="1"/>
  <c r="EM391" i="1"/>
  <c r="EL391" i="1"/>
  <c r="ED391" i="1" s="1"/>
  <c r="EH391" i="1"/>
  <c r="EG391" i="1"/>
  <c r="EK391" i="1" s="1"/>
  <c r="EF391" i="1"/>
  <c r="EE391" i="1"/>
  <c r="EC391" i="1"/>
  <c r="EB391" i="1"/>
  <c r="EA391" i="1"/>
  <c r="DZ391" i="1"/>
  <c r="G391" i="1"/>
  <c r="EM390" i="1"/>
  <c r="EH390" i="1"/>
  <c r="EE390" i="1"/>
  <c r="EC390" i="1"/>
  <c r="EA390" i="1"/>
  <c r="EM389" i="1"/>
  <c r="EH389" i="1"/>
  <c r="EE389" i="1"/>
  <c r="EC389" i="1"/>
  <c r="EA389" i="1"/>
  <c r="EM388" i="1"/>
  <c r="EH388" i="1"/>
  <c r="EE388" i="1"/>
  <c r="EC388" i="1"/>
  <c r="EA388" i="1"/>
  <c r="EM387" i="1"/>
  <c r="EH387" i="1"/>
  <c r="EC387" i="1"/>
  <c r="EA387" i="1"/>
  <c r="EM386" i="1"/>
  <c r="EH386" i="1"/>
  <c r="EE386" i="1"/>
  <c r="EC386" i="1"/>
  <c r="EA386" i="1"/>
  <c r="EM385" i="1"/>
  <c r="EH385" i="1"/>
  <c r="EG385" i="1"/>
  <c r="EK385" i="1" s="1"/>
  <c r="EL385" i="1" s="1"/>
  <c r="ED385" i="1" s="1"/>
  <c r="EF385" i="1"/>
  <c r="EE385" i="1"/>
  <c r="EC385" i="1"/>
  <c r="EA385" i="1"/>
  <c r="G385" i="1"/>
  <c r="EB385" i="1" s="1"/>
  <c r="DZ385" i="1" s="1"/>
  <c r="EM384" i="1"/>
  <c r="EH384" i="1"/>
  <c r="EE384" i="1"/>
  <c r="EC384" i="1"/>
  <c r="EA384" i="1"/>
  <c r="EM383" i="1"/>
  <c r="EH383" i="1"/>
  <c r="EG383" i="1"/>
  <c r="EK383" i="1" s="1"/>
  <c r="EL383" i="1" s="1"/>
  <c r="ED383" i="1" s="1"/>
  <c r="EF383" i="1"/>
  <c r="EE383" i="1"/>
  <c r="EC383" i="1"/>
  <c r="EA383" i="1"/>
  <c r="G383" i="1"/>
  <c r="EB383" i="1" s="1"/>
  <c r="DZ383" i="1" s="1"/>
  <c r="EM382" i="1"/>
  <c r="EH382" i="1"/>
  <c r="EE382" i="1"/>
  <c r="EC382" i="1"/>
  <c r="EA382" i="1"/>
  <c r="EM381" i="1"/>
  <c r="EH381" i="1"/>
  <c r="EF381" i="1"/>
  <c r="EE381" i="1"/>
  <c r="EC381" i="1"/>
  <c r="EA381" i="1"/>
  <c r="EM380" i="1"/>
  <c r="EH380" i="1"/>
  <c r="EE380" i="1"/>
  <c r="EC380" i="1"/>
  <c r="EA380" i="1"/>
  <c r="EM379" i="1"/>
  <c r="EH379" i="1"/>
  <c r="EE379" i="1"/>
  <c r="EC379" i="1"/>
  <c r="EA379" i="1"/>
  <c r="EM378" i="1"/>
  <c r="EH378" i="1"/>
  <c r="EE378" i="1"/>
  <c r="EC378" i="1"/>
  <c r="EA378" i="1"/>
  <c r="EM377" i="1"/>
  <c r="EI377" i="1"/>
  <c r="EH377" i="1"/>
  <c r="EG377" i="1"/>
  <c r="EK377" i="1" s="1"/>
  <c r="EL377" i="1" s="1"/>
  <c r="ED377" i="1" s="1"/>
  <c r="EF377" i="1"/>
  <c r="EE377" i="1"/>
  <c r="EC377" i="1"/>
  <c r="EA377" i="1"/>
  <c r="G377" i="1"/>
  <c r="EB377" i="1" s="1"/>
  <c r="DZ377" i="1" s="1"/>
  <c r="EJ377" i="1" s="1"/>
  <c r="EM376" i="1"/>
  <c r="EH376" i="1"/>
  <c r="EE376" i="1"/>
  <c r="EC376" i="1"/>
  <c r="EA376" i="1"/>
  <c r="EM375" i="1"/>
  <c r="EH375" i="1"/>
  <c r="EE375" i="1"/>
  <c r="EC375" i="1"/>
  <c r="EA375" i="1"/>
  <c r="EM374" i="1"/>
  <c r="EI374" i="1"/>
  <c r="EH374" i="1"/>
  <c r="EG374" i="1"/>
  <c r="EK374" i="1" s="1"/>
  <c r="EL374" i="1" s="1"/>
  <c r="ED374" i="1" s="1"/>
  <c r="EF374" i="1"/>
  <c r="EE374" i="1"/>
  <c r="EC374" i="1"/>
  <c r="EA374" i="1"/>
  <c r="G374" i="1"/>
  <c r="EB374" i="1" s="1"/>
  <c r="DZ374" i="1" s="1"/>
  <c r="EJ374" i="1" s="1"/>
  <c r="EM373" i="1"/>
  <c r="EH373" i="1"/>
  <c r="EF373" i="1"/>
  <c r="EE373" i="1"/>
  <c r="EC373" i="1"/>
  <c r="EA373" i="1"/>
  <c r="EM372" i="1"/>
  <c r="EH372" i="1"/>
  <c r="EE372" i="1"/>
  <c r="EC372" i="1"/>
  <c r="EA372" i="1"/>
  <c r="EM371" i="1"/>
  <c r="EH371" i="1"/>
  <c r="EF371" i="1"/>
  <c r="EE371" i="1"/>
  <c r="EC371" i="1"/>
  <c r="EA371" i="1"/>
  <c r="EM370" i="1"/>
  <c r="EH370" i="1"/>
  <c r="EC370" i="1"/>
  <c r="EA370" i="1"/>
  <c r="EM369" i="1"/>
  <c r="EH369" i="1"/>
  <c r="EC369" i="1"/>
  <c r="EA369" i="1"/>
  <c r="EM368" i="1"/>
  <c r="EH368" i="1"/>
  <c r="EF368" i="1"/>
  <c r="EE368" i="1"/>
  <c r="EC368" i="1"/>
  <c r="EA368" i="1"/>
  <c r="EM367" i="1"/>
  <c r="EH367" i="1"/>
  <c r="EC367" i="1"/>
  <c r="EA367" i="1"/>
  <c r="EM366" i="1"/>
  <c r="EI366" i="1"/>
  <c r="EH366" i="1"/>
  <c r="EG366" i="1"/>
  <c r="EK366" i="1" s="1"/>
  <c r="EL366" i="1" s="1"/>
  <c r="ED366" i="1" s="1"/>
  <c r="EF366" i="1"/>
  <c r="EE366" i="1"/>
  <c r="EC366" i="1"/>
  <c r="EA366" i="1"/>
  <c r="G366" i="1"/>
  <c r="EB366" i="1" s="1"/>
  <c r="DZ366" i="1" s="1"/>
  <c r="EJ366" i="1" s="1"/>
  <c r="EM365" i="1"/>
  <c r="EH365" i="1"/>
  <c r="EE365" i="1"/>
  <c r="EC365" i="1"/>
  <c r="EA365" i="1"/>
  <c r="EM364" i="1"/>
  <c r="EH364" i="1"/>
  <c r="EC364" i="1"/>
  <c r="EA364" i="1"/>
  <c r="EM363" i="1"/>
  <c r="EH363" i="1"/>
  <c r="EF363" i="1"/>
  <c r="EE363" i="1"/>
  <c r="EC363" i="1"/>
  <c r="EA363" i="1"/>
  <c r="EM362" i="1"/>
  <c r="EH362" i="1"/>
  <c r="EE362" i="1"/>
  <c r="EC362" i="1"/>
  <c r="EA362" i="1"/>
  <c r="EM361" i="1"/>
  <c r="EK361" i="1"/>
  <c r="EL361" i="1" s="1"/>
  <c r="ED361" i="1" s="1"/>
  <c r="EH361" i="1"/>
  <c r="EG361" i="1"/>
  <c r="EF361" i="1"/>
  <c r="EE361" i="1"/>
  <c r="EC361" i="1"/>
  <c r="EA361" i="1"/>
  <c r="G361" i="1"/>
  <c r="EB361" i="1" s="1"/>
  <c r="DZ361" i="1" s="1"/>
  <c r="EM360" i="1"/>
  <c r="EH360" i="1"/>
  <c r="EE360" i="1"/>
  <c r="EC360" i="1"/>
  <c r="EA360" i="1"/>
  <c r="EM359" i="1"/>
  <c r="EI359" i="1"/>
  <c r="EH359" i="1"/>
  <c r="EG359" i="1"/>
  <c r="EK359" i="1" s="1"/>
  <c r="EL359" i="1" s="1"/>
  <c r="ED359" i="1" s="1"/>
  <c r="EF359" i="1"/>
  <c r="EE359" i="1"/>
  <c r="EC359" i="1"/>
  <c r="EA359" i="1"/>
  <c r="G359" i="1"/>
  <c r="EB359" i="1" s="1"/>
  <c r="DZ359" i="1" s="1"/>
  <c r="EJ359" i="1" s="1"/>
  <c r="EM358" i="1"/>
  <c r="EH358" i="1"/>
  <c r="EC358" i="1"/>
  <c r="EA358" i="1"/>
  <c r="EM357" i="1"/>
  <c r="EH357" i="1"/>
  <c r="EE357" i="1"/>
  <c r="EC357" i="1"/>
  <c r="EA357" i="1"/>
  <c r="EM356" i="1"/>
  <c r="EH356" i="1"/>
  <c r="EC356" i="1"/>
  <c r="EA356" i="1"/>
  <c r="EM355" i="1"/>
  <c r="EH355" i="1"/>
  <c r="EE355" i="1"/>
  <c r="EC355" i="1"/>
  <c r="EA355" i="1"/>
  <c r="EM354" i="1"/>
  <c r="EH354" i="1"/>
  <c r="EC354" i="1"/>
  <c r="EA354" i="1"/>
  <c r="EM353" i="1"/>
  <c r="EH353" i="1"/>
  <c r="EC353" i="1"/>
  <c r="EA353" i="1"/>
  <c r="EM352" i="1"/>
  <c r="EH352" i="1"/>
  <c r="EE352" i="1"/>
  <c r="EA352" i="1"/>
  <c r="EM351" i="1"/>
  <c r="EH351" i="1"/>
  <c r="EE351" i="1"/>
  <c r="EC351" i="1"/>
  <c r="EA351" i="1"/>
  <c r="EM350" i="1"/>
  <c r="EL350" i="1"/>
  <c r="EH350" i="1"/>
  <c r="EG350" i="1"/>
  <c r="EK350" i="1" s="1"/>
  <c r="EF350" i="1"/>
  <c r="EE350" i="1"/>
  <c r="ED350" i="1"/>
  <c r="EC350" i="1"/>
  <c r="EA350" i="1"/>
  <c r="G350" i="1"/>
  <c r="EB350" i="1" s="1"/>
  <c r="DZ350" i="1" s="1"/>
  <c r="EM349" i="1"/>
  <c r="EH349" i="1"/>
  <c r="EE349" i="1"/>
  <c r="EC349" i="1"/>
  <c r="EA349" i="1"/>
  <c r="EM348" i="1"/>
  <c r="EH348" i="1"/>
  <c r="EF348" i="1"/>
  <c r="EE348" i="1"/>
  <c r="EC348" i="1"/>
  <c r="EA348" i="1"/>
  <c r="EM347" i="1"/>
  <c r="EH347" i="1"/>
  <c r="EC347" i="1"/>
  <c r="EA347" i="1"/>
  <c r="EM346" i="1"/>
  <c r="EH346" i="1"/>
  <c r="EC346" i="1"/>
  <c r="EA346" i="1"/>
  <c r="EM345" i="1"/>
  <c r="EH345" i="1"/>
  <c r="EC345" i="1"/>
  <c r="EA345" i="1"/>
  <c r="EM344" i="1"/>
  <c r="EH344" i="1"/>
  <c r="EE344" i="1"/>
  <c r="EC344" i="1"/>
  <c r="EA344" i="1"/>
  <c r="EM343" i="1"/>
  <c r="EH343" i="1"/>
  <c r="EE343" i="1"/>
  <c r="EA343" i="1"/>
  <c r="EM342" i="1"/>
  <c r="EH342" i="1"/>
  <c r="EF342" i="1"/>
  <c r="EE342" i="1"/>
  <c r="EC342" i="1"/>
  <c r="EA342" i="1"/>
  <c r="EM341" i="1"/>
  <c r="EH341" i="1"/>
  <c r="EF341" i="1"/>
  <c r="EE341" i="1"/>
  <c r="EC341" i="1"/>
  <c r="EA341" i="1"/>
  <c r="EM340" i="1"/>
  <c r="EH340" i="1"/>
  <c r="EC340" i="1"/>
  <c r="EA340" i="1"/>
  <c r="EM339" i="1"/>
  <c r="EH339" i="1"/>
  <c r="EG339" i="1"/>
  <c r="EK339" i="1" s="1"/>
  <c r="EL339" i="1" s="1"/>
  <c r="ED339" i="1" s="1"/>
  <c r="EF339" i="1"/>
  <c r="EE339" i="1"/>
  <c r="EB339" i="1"/>
  <c r="DZ339" i="1" s="1"/>
  <c r="EA339" i="1"/>
  <c r="G339" i="1"/>
  <c r="EM338" i="1"/>
  <c r="EH338" i="1"/>
  <c r="EC338" i="1"/>
  <c r="EA338" i="1"/>
  <c r="EM337" i="1"/>
  <c r="EH337" i="1"/>
  <c r="EF337" i="1"/>
  <c r="EE337" i="1"/>
  <c r="EC337" i="1"/>
  <c r="EA337" i="1"/>
  <c r="EM336" i="1"/>
  <c r="EH336" i="1"/>
  <c r="EF336" i="1"/>
  <c r="EE336" i="1"/>
  <c r="EC336" i="1"/>
  <c r="EA336" i="1"/>
  <c r="EM335" i="1"/>
  <c r="EH335" i="1"/>
  <c r="EE335" i="1"/>
  <c r="EC335" i="1"/>
  <c r="EA335" i="1"/>
  <c r="EM334" i="1"/>
  <c r="EH334" i="1"/>
  <c r="EE334" i="1"/>
  <c r="EC334" i="1"/>
  <c r="EA334" i="1"/>
  <c r="EM333" i="1"/>
  <c r="EH333" i="1"/>
  <c r="EC333" i="1"/>
  <c r="EA333" i="1"/>
  <c r="EM332" i="1"/>
  <c r="EH332" i="1"/>
  <c r="EE332" i="1"/>
  <c r="EC332" i="1"/>
  <c r="EA332" i="1"/>
  <c r="EM331" i="1"/>
  <c r="EH331" i="1"/>
  <c r="EF331" i="1"/>
  <c r="EE331" i="1"/>
  <c r="EC331" i="1"/>
  <c r="EA331" i="1"/>
  <c r="EM330" i="1"/>
  <c r="EH330" i="1"/>
  <c r="EE330" i="1"/>
  <c r="EC330" i="1"/>
  <c r="EA330" i="1"/>
  <c r="EM329" i="1"/>
  <c r="EH329" i="1"/>
  <c r="EF329" i="1"/>
  <c r="EE329" i="1"/>
  <c r="EC329" i="1"/>
  <c r="EA329" i="1"/>
  <c r="EM328" i="1"/>
  <c r="EK328" i="1"/>
  <c r="EL328" i="1" s="1"/>
  <c r="ED328" i="1" s="1"/>
  <c r="EH328" i="1"/>
  <c r="EG328" i="1"/>
  <c r="EF328" i="1"/>
  <c r="EE328" i="1"/>
  <c r="EC328" i="1"/>
  <c r="EA328" i="1"/>
  <c r="DZ328" i="1"/>
  <c r="G328" i="1"/>
  <c r="EB328" i="1" s="1"/>
  <c r="EM327" i="1"/>
  <c r="EH327" i="1"/>
  <c r="EE327" i="1"/>
  <c r="EC327" i="1"/>
  <c r="EA327" i="1"/>
  <c r="EM326" i="1"/>
  <c r="EH326" i="1"/>
  <c r="EC326" i="1"/>
  <c r="EA326" i="1"/>
  <c r="EM325" i="1"/>
  <c r="EH325" i="1"/>
  <c r="EE325" i="1"/>
  <c r="EC325" i="1"/>
  <c r="EA325" i="1"/>
  <c r="EM324" i="1"/>
  <c r="EH324" i="1"/>
  <c r="EF324" i="1"/>
  <c r="EE324" i="1"/>
  <c r="EC324" i="1"/>
  <c r="EA324" i="1"/>
  <c r="EM323" i="1"/>
  <c r="EH323" i="1"/>
  <c r="EC323" i="1"/>
  <c r="EA323" i="1"/>
  <c r="EM322" i="1"/>
  <c r="EH322" i="1"/>
  <c r="EC322" i="1"/>
  <c r="EA322" i="1"/>
  <c r="EM321" i="1"/>
  <c r="EH321" i="1"/>
  <c r="EG321" i="1"/>
  <c r="EK321" i="1" s="1"/>
  <c r="EL321" i="1" s="1"/>
  <c r="ED321" i="1" s="1"/>
  <c r="EF321" i="1"/>
  <c r="EE321" i="1"/>
  <c r="EC321" i="1"/>
  <c r="EB321" i="1"/>
  <c r="EA321" i="1"/>
  <c r="DZ321" i="1"/>
  <c r="G321" i="1"/>
  <c r="EM320" i="1"/>
  <c r="EH320" i="1"/>
  <c r="EG320" i="1"/>
  <c r="EK320" i="1" s="1"/>
  <c r="EL320" i="1" s="1"/>
  <c r="ED320" i="1" s="1"/>
  <c r="EF320" i="1"/>
  <c r="EE320" i="1"/>
  <c r="EC320" i="1"/>
  <c r="EA320" i="1"/>
  <c r="G320" i="1"/>
  <c r="EB320" i="1" s="1"/>
  <c r="DZ320" i="1" s="1"/>
  <c r="EM319" i="1"/>
  <c r="EH319" i="1"/>
  <c r="EG319" i="1"/>
  <c r="EK319" i="1" s="1"/>
  <c r="EL319" i="1" s="1"/>
  <c r="ED319" i="1" s="1"/>
  <c r="EF319" i="1"/>
  <c r="EE319" i="1"/>
  <c r="EC319" i="1"/>
  <c r="EB319" i="1"/>
  <c r="DZ319" i="1" s="1"/>
  <c r="EI319" i="1" s="1"/>
  <c r="EA319" i="1"/>
  <c r="G319" i="1"/>
  <c r="EM318" i="1"/>
  <c r="EH318" i="1"/>
  <c r="EC318" i="1"/>
  <c r="EA318" i="1"/>
  <c r="EM317" i="1"/>
  <c r="EH317" i="1"/>
  <c r="EC317" i="1"/>
  <c r="EA317" i="1"/>
  <c r="EM316" i="1"/>
  <c r="EH316" i="1"/>
  <c r="EE316" i="1"/>
  <c r="EC316" i="1"/>
  <c r="EA316" i="1"/>
  <c r="EM315" i="1"/>
  <c r="EH315" i="1"/>
  <c r="EE315" i="1"/>
  <c r="EC315" i="1"/>
  <c r="EA315" i="1"/>
  <c r="EM314" i="1"/>
  <c r="EK314" i="1"/>
  <c r="EL314" i="1" s="1"/>
  <c r="ED314" i="1" s="1"/>
  <c r="EJ314" i="1"/>
  <c r="EH314" i="1"/>
  <c r="EG314" i="1"/>
  <c r="EF314" i="1"/>
  <c r="EE314" i="1"/>
  <c r="EC314" i="1"/>
  <c r="EA314" i="1"/>
  <c r="G314" i="1"/>
  <c r="EB314" i="1" s="1"/>
  <c r="DZ314" i="1" s="1"/>
  <c r="EI314" i="1" s="1"/>
  <c r="EM313" i="1"/>
  <c r="EH313" i="1"/>
  <c r="EC313" i="1"/>
  <c r="EA313" i="1"/>
  <c r="EM312" i="1"/>
  <c r="EH312" i="1"/>
  <c r="EC312" i="1"/>
  <c r="EA312" i="1"/>
  <c r="EM311" i="1"/>
  <c r="EK311" i="1"/>
  <c r="EL311" i="1" s="1"/>
  <c r="ED311" i="1" s="1"/>
  <c r="EH311" i="1"/>
  <c r="EG311" i="1"/>
  <c r="EF311" i="1"/>
  <c r="EE311" i="1"/>
  <c r="EC311" i="1"/>
  <c r="EB311" i="1"/>
  <c r="DZ311" i="1" s="1"/>
  <c r="EJ311" i="1" s="1"/>
  <c r="EA311" i="1"/>
  <c r="G311" i="1"/>
  <c r="EM310" i="1"/>
  <c r="EH310" i="1"/>
  <c r="EC310" i="1"/>
  <c r="EA310" i="1"/>
  <c r="EM309" i="1"/>
  <c r="EH309" i="1"/>
  <c r="EE309" i="1"/>
  <c r="EC309" i="1"/>
  <c r="EA309" i="1"/>
  <c r="EM308" i="1"/>
  <c r="EH308" i="1"/>
  <c r="EC308" i="1"/>
  <c r="EA308" i="1"/>
  <c r="EM307" i="1"/>
  <c r="EH307" i="1"/>
  <c r="EG307" i="1"/>
  <c r="EK307" i="1" s="1"/>
  <c r="EL307" i="1" s="1"/>
  <c r="EF307" i="1"/>
  <c r="EE307" i="1"/>
  <c r="ED307" i="1"/>
  <c r="EC307" i="1"/>
  <c r="EB307" i="1"/>
  <c r="EA307" i="1"/>
  <c r="DZ307" i="1"/>
  <c r="G307" i="1"/>
  <c r="EM306" i="1"/>
  <c r="EH306" i="1"/>
  <c r="EE306" i="1"/>
  <c r="EC306" i="1"/>
  <c r="EA306" i="1"/>
  <c r="EM305" i="1"/>
  <c r="EH305" i="1"/>
  <c r="EE305" i="1"/>
  <c r="EC305" i="1"/>
  <c r="EA305" i="1"/>
  <c r="EM304" i="1"/>
  <c r="EH304" i="1"/>
  <c r="EE304" i="1"/>
  <c r="EC304" i="1"/>
  <c r="EA304" i="1"/>
  <c r="EM303" i="1"/>
  <c r="EH303" i="1"/>
  <c r="EF303" i="1"/>
  <c r="EE303" i="1"/>
  <c r="EC303" i="1"/>
  <c r="EA303" i="1"/>
  <c r="EM302" i="1"/>
  <c r="EK302" i="1"/>
  <c r="EL302" i="1" s="1"/>
  <c r="ED302" i="1" s="1"/>
  <c r="EH302" i="1"/>
  <c r="EG302" i="1"/>
  <c r="EF302" i="1"/>
  <c r="EE302" i="1"/>
  <c r="EC302" i="1"/>
  <c r="EB302" i="1"/>
  <c r="DZ302" i="1" s="1"/>
  <c r="EA302" i="1"/>
  <c r="G302" i="1"/>
  <c r="EM301" i="1"/>
  <c r="EH301" i="1"/>
  <c r="EF301" i="1"/>
  <c r="EE301" i="1"/>
  <c r="EC301" i="1"/>
  <c r="EA301" i="1"/>
  <c r="EM300" i="1"/>
  <c r="EH300" i="1"/>
  <c r="EF300" i="1"/>
  <c r="EE300" i="1"/>
  <c r="EA300" i="1"/>
  <c r="EM299" i="1"/>
  <c r="EH299" i="1"/>
  <c r="EG299" i="1"/>
  <c r="EK299" i="1" s="1"/>
  <c r="EL299" i="1" s="1"/>
  <c r="ED299" i="1" s="1"/>
  <c r="EF299" i="1"/>
  <c r="EE299" i="1"/>
  <c r="EC299" i="1"/>
  <c r="EB299" i="1"/>
  <c r="DZ299" i="1" s="1"/>
  <c r="EJ299" i="1" s="1"/>
  <c r="EA299" i="1"/>
  <c r="G299" i="1"/>
  <c r="EM298" i="1"/>
  <c r="EL298" i="1"/>
  <c r="ED298" i="1" s="1"/>
  <c r="EH298" i="1"/>
  <c r="EG298" i="1"/>
  <c r="EK298" i="1" s="1"/>
  <c r="EF298" i="1"/>
  <c r="EE298" i="1"/>
  <c r="EB298" i="1"/>
  <c r="DZ298" i="1" s="1"/>
  <c r="EA298" i="1"/>
  <c r="G298" i="1"/>
  <c r="EM297" i="1"/>
  <c r="EH297" i="1"/>
  <c r="EE297" i="1"/>
  <c r="EC297" i="1"/>
  <c r="EA297" i="1"/>
  <c r="EM296" i="1"/>
  <c r="EK296" i="1"/>
  <c r="EL296" i="1" s="1"/>
  <c r="ED296" i="1" s="1"/>
  <c r="EH296" i="1"/>
  <c r="EG296" i="1"/>
  <c r="EF296" i="1"/>
  <c r="EE296" i="1"/>
  <c r="EC296" i="1"/>
  <c r="EA296" i="1"/>
  <c r="DZ296" i="1"/>
  <c r="EJ296" i="1" s="1"/>
  <c r="G296" i="1"/>
  <c r="EB296" i="1" s="1"/>
  <c r="EM295" i="1"/>
  <c r="EH295" i="1"/>
  <c r="EE295" i="1"/>
  <c r="EC295" i="1"/>
  <c r="EA295" i="1"/>
  <c r="EM294" i="1"/>
  <c r="EK294" i="1"/>
  <c r="EL294" i="1" s="1"/>
  <c r="ED294" i="1" s="1"/>
  <c r="EH294" i="1"/>
  <c r="EG294" i="1"/>
  <c r="EF294" i="1"/>
  <c r="EE294" i="1"/>
  <c r="EC294" i="1"/>
  <c r="EB294" i="1"/>
  <c r="DZ294" i="1" s="1"/>
  <c r="EA294" i="1"/>
  <c r="G294" i="1"/>
  <c r="EM293" i="1"/>
  <c r="EK293" i="1"/>
  <c r="EL293" i="1" s="1"/>
  <c r="ED293" i="1" s="1"/>
  <c r="EH293" i="1"/>
  <c r="EG293" i="1"/>
  <c r="EF293" i="1"/>
  <c r="EE293" i="1"/>
  <c r="EC293" i="1"/>
  <c r="EB293" i="1"/>
  <c r="DZ293" i="1" s="1"/>
  <c r="EA293" i="1"/>
  <c r="G293" i="1"/>
  <c r="EM292" i="1"/>
  <c r="EH292" i="1"/>
  <c r="EC292" i="1"/>
  <c r="EA292" i="1"/>
  <c r="EM291" i="1"/>
  <c r="EH291" i="1"/>
  <c r="EF291" i="1"/>
  <c r="EE291" i="1"/>
  <c r="EC291" i="1"/>
  <c r="EA291" i="1"/>
  <c r="EM290" i="1"/>
  <c r="EH290" i="1"/>
  <c r="EF290" i="1"/>
  <c r="EE290" i="1"/>
  <c r="EC290" i="1"/>
  <c r="EA290" i="1"/>
  <c r="EM289" i="1"/>
  <c r="EH289" i="1"/>
  <c r="EC289" i="1"/>
  <c r="EA289" i="1"/>
  <c r="EM288" i="1"/>
  <c r="EH288" i="1"/>
  <c r="EE288" i="1"/>
  <c r="EC288" i="1"/>
  <c r="EA288" i="1"/>
  <c r="EM287" i="1"/>
  <c r="EH287" i="1"/>
  <c r="EE287" i="1"/>
  <c r="EA287" i="1"/>
  <c r="EM286" i="1"/>
  <c r="EH286" i="1"/>
  <c r="EE286" i="1"/>
  <c r="EC286" i="1"/>
  <c r="EA286" i="1"/>
  <c r="EM285" i="1"/>
  <c r="EH285" i="1"/>
  <c r="EF285" i="1"/>
  <c r="EE285" i="1"/>
  <c r="EA285" i="1"/>
  <c r="EM284" i="1"/>
  <c r="EH284" i="1"/>
  <c r="EE284" i="1"/>
  <c r="EC284" i="1"/>
  <c r="EA284" i="1"/>
  <c r="EM283" i="1"/>
  <c r="EH283" i="1"/>
  <c r="EE283" i="1"/>
  <c r="EC283" i="1"/>
  <c r="EA283" i="1"/>
  <c r="EM282" i="1"/>
  <c r="EH282" i="1"/>
  <c r="EF282" i="1"/>
  <c r="EE282" i="1"/>
  <c r="EC282" i="1"/>
  <c r="EA282" i="1"/>
  <c r="EM281" i="1"/>
  <c r="EH281" i="1"/>
  <c r="EF281" i="1"/>
  <c r="EE281" i="1"/>
  <c r="EC281" i="1"/>
  <c r="EA281" i="1"/>
  <c r="EM280" i="1"/>
  <c r="EH280" i="1"/>
  <c r="EF280" i="1"/>
  <c r="EE280" i="1"/>
  <c r="EC280" i="1"/>
  <c r="EA280" i="1"/>
  <c r="EM279" i="1"/>
  <c r="EH279" i="1"/>
  <c r="EC279" i="1"/>
  <c r="EA279" i="1"/>
  <c r="EM278" i="1"/>
  <c r="EH278" i="1"/>
  <c r="EE278" i="1"/>
  <c r="EC278" i="1"/>
  <c r="EA278" i="1"/>
  <c r="EM277" i="1"/>
  <c r="EH277" i="1"/>
  <c r="EE277" i="1"/>
  <c r="EA277" i="1"/>
  <c r="EM276" i="1"/>
  <c r="EH276" i="1"/>
  <c r="EE276" i="1"/>
  <c r="EC276" i="1"/>
  <c r="EA276" i="1"/>
  <c r="EM275" i="1"/>
  <c r="EH275" i="1"/>
  <c r="EG275" i="1"/>
  <c r="EK275" i="1" s="1"/>
  <c r="EL275" i="1" s="1"/>
  <c r="ED275" i="1" s="1"/>
  <c r="EF275" i="1"/>
  <c r="EE275" i="1"/>
  <c r="EC275" i="1"/>
  <c r="EA275" i="1"/>
  <c r="G275" i="1"/>
  <c r="EB275" i="1" s="1"/>
  <c r="DZ275" i="1" s="1"/>
  <c r="EM274" i="1"/>
  <c r="EH274" i="1"/>
  <c r="EE274" i="1"/>
  <c r="EC274" i="1"/>
  <c r="EA274" i="1"/>
  <c r="EM273" i="1"/>
  <c r="EH273" i="1"/>
  <c r="EG273" i="1"/>
  <c r="EK273" i="1" s="1"/>
  <c r="EL273" i="1" s="1"/>
  <c r="EF273" i="1"/>
  <c r="EE273" i="1"/>
  <c r="ED273" i="1"/>
  <c r="EC273" i="1"/>
  <c r="EA273" i="1"/>
  <c r="G273" i="1"/>
  <c r="EB273" i="1" s="1"/>
  <c r="DZ273" i="1" s="1"/>
  <c r="EM272" i="1"/>
  <c r="EK272" i="1"/>
  <c r="EL272" i="1" s="1"/>
  <c r="ED272" i="1" s="1"/>
  <c r="EJ272" i="1"/>
  <c r="EH272" i="1"/>
  <c r="EG272" i="1"/>
  <c r="EF272" i="1"/>
  <c r="EE272" i="1"/>
  <c r="EC272" i="1"/>
  <c r="EB272" i="1"/>
  <c r="DZ272" i="1" s="1"/>
  <c r="EI272" i="1" s="1"/>
  <c r="EA272" i="1"/>
  <c r="G272" i="1"/>
  <c r="EM271" i="1"/>
  <c r="EH271" i="1"/>
  <c r="EG271" i="1"/>
  <c r="EK271" i="1" s="1"/>
  <c r="EL271" i="1" s="1"/>
  <c r="ED271" i="1" s="1"/>
  <c r="EF271" i="1"/>
  <c r="EE271" i="1"/>
  <c r="EC271" i="1"/>
  <c r="EB271" i="1"/>
  <c r="DZ271" i="1" s="1"/>
  <c r="EA271" i="1"/>
  <c r="G271" i="1"/>
  <c r="EM270" i="1"/>
  <c r="EH270" i="1"/>
  <c r="EF270" i="1"/>
  <c r="EE270" i="1"/>
  <c r="EC270" i="1"/>
  <c r="EA270" i="1"/>
  <c r="EM269" i="1"/>
  <c r="EH269" i="1"/>
  <c r="EE269" i="1"/>
  <c r="EC269" i="1"/>
  <c r="EA269" i="1"/>
  <c r="EM268" i="1"/>
  <c r="EH268" i="1"/>
  <c r="EF268" i="1"/>
  <c r="EE268" i="1"/>
  <c r="EC268" i="1"/>
  <c r="EA268" i="1"/>
  <c r="EM267" i="1"/>
  <c r="EH267" i="1"/>
  <c r="EC267" i="1"/>
  <c r="EA267" i="1"/>
  <c r="EM266" i="1"/>
  <c r="EH266" i="1"/>
  <c r="EE266" i="1"/>
  <c r="EC266" i="1"/>
  <c r="EA266" i="1"/>
  <c r="EM265" i="1"/>
  <c r="EH265" i="1"/>
  <c r="EE265" i="1"/>
  <c r="EC265" i="1"/>
  <c r="EA265" i="1"/>
  <c r="EM264" i="1"/>
  <c r="EH264" i="1"/>
  <c r="EC264" i="1"/>
  <c r="EA264" i="1"/>
  <c r="EM263" i="1"/>
  <c r="EL263" i="1"/>
  <c r="ED263" i="1" s="1"/>
  <c r="EH263" i="1"/>
  <c r="EG263" i="1"/>
  <c r="EK263" i="1" s="1"/>
  <c r="EF263" i="1"/>
  <c r="EE263" i="1"/>
  <c r="EC263" i="1"/>
  <c r="EA263" i="1"/>
  <c r="DZ263" i="1"/>
  <c r="EJ263" i="1" s="1"/>
  <c r="G263" i="1"/>
  <c r="EB263" i="1" s="1"/>
  <c r="EM262" i="1"/>
  <c r="EH262" i="1"/>
  <c r="EF262" i="1"/>
  <c r="EE262" i="1"/>
  <c r="EC262" i="1"/>
  <c r="EA262" i="1"/>
  <c r="EM261" i="1"/>
  <c r="EH261" i="1"/>
  <c r="EC261" i="1"/>
  <c r="EA261" i="1"/>
  <c r="EM260" i="1"/>
  <c r="EH260" i="1"/>
  <c r="EF260" i="1"/>
  <c r="EE260" i="1"/>
  <c r="EC260" i="1"/>
  <c r="EA260" i="1"/>
  <c r="EM259" i="1"/>
  <c r="EH259" i="1"/>
  <c r="EF259" i="1"/>
  <c r="EE259" i="1"/>
  <c r="EC259" i="1"/>
  <c r="EA259" i="1"/>
  <c r="EM258" i="1"/>
  <c r="EH258" i="1"/>
  <c r="EF258" i="1"/>
  <c r="EE258" i="1"/>
  <c r="EC258" i="1"/>
  <c r="EA258" i="1"/>
  <c r="EM257" i="1"/>
  <c r="EH257" i="1"/>
  <c r="EE257" i="1"/>
  <c r="EC257" i="1"/>
  <c r="EA257" i="1"/>
  <c r="EM256" i="1"/>
  <c r="EH256" i="1"/>
  <c r="EF256" i="1"/>
  <c r="EE256" i="1"/>
  <c r="EC256" i="1"/>
  <c r="EA256" i="1"/>
  <c r="EM255" i="1"/>
  <c r="EH255" i="1"/>
  <c r="EC255" i="1"/>
  <c r="EA255" i="1"/>
  <c r="EM254" i="1"/>
  <c r="EH254" i="1"/>
  <c r="EE254" i="1"/>
  <c r="EC254" i="1"/>
  <c r="EA254" i="1"/>
  <c r="EM253" i="1"/>
  <c r="EH253" i="1"/>
  <c r="EC253" i="1"/>
  <c r="EA253" i="1"/>
  <c r="EM252" i="1"/>
  <c r="EH252" i="1"/>
  <c r="EE252" i="1"/>
  <c r="EC252" i="1"/>
  <c r="EA252" i="1"/>
  <c r="EM251" i="1"/>
  <c r="EH251" i="1"/>
  <c r="EE251" i="1"/>
  <c r="EC251" i="1"/>
  <c r="EA251" i="1"/>
  <c r="EM250" i="1"/>
  <c r="EH250" i="1"/>
  <c r="EG250" i="1"/>
  <c r="EK250" i="1" s="1"/>
  <c r="EL250" i="1" s="1"/>
  <c r="ED250" i="1" s="1"/>
  <c r="EF250" i="1"/>
  <c r="EE250" i="1"/>
  <c r="EC250" i="1"/>
  <c r="EB250" i="1"/>
  <c r="DZ250" i="1" s="1"/>
  <c r="EA250" i="1"/>
  <c r="G250" i="1"/>
  <c r="EM249" i="1"/>
  <c r="EH249" i="1"/>
  <c r="EE249" i="1"/>
  <c r="EC249" i="1"/>
  <c r="EA249" i="1"/>
  <c r="EM248" i="1"/>
  <c r="EH248" i="1"/>
  <c r="EE248" i="1"/>
  <c r="EC248" i="1"/>
  <c r="EA248" i="1"/>
  <c r="EM247" i="1"/>
  <c r="EH247" i="1"/>
  <c r="EC247" i="1"/>
  <c r="EA247" i="1"/>
  <c r="EM246" i="1"/>
  <c r="EH246" i="1"/>
  <c r="EE246" i="1"/>
  <c r="EC246" i="1"/>
  <c r="EA246" i="1"/>
  <c r="EM245" i="1"/>
  <c r="EH245" i="1"/>
  <c r="EE245" i="1"/>
  <c r="EC245" i="1"/>
  <c r="EA245" i="1"/>
  <c r="EM244" i="1"/>
  <c r="EH244" i="1"/>
  <c r="EE244" i="1"/>
  <c r="EC244" i="1"/>
  <c r="EA244" i="1"/>
  <c r="EM243" i="1"/>
  <c r="EH243" i="1"/>
  <c r="EC243" i="1"/>
  <c r="EA243" i="1"/>
  <c r="EM242" i="1"/>
  <c r="EK242" i="1"/>
  <c r="EL242" i="1" s="1"/>
  <c r="ED242" i="1" s="1"/>
  <c r="EJ242" i="1"/>
  <c r="EH242" i="1"/>
  <c r="EG242" i="1"/>
  <c r="EF242" i="1"/>
  <c r="EE242" i="1"/>
  <c r="EC242" i="1"/>
  <c r="EB242" i="1"/>
  <c r="DZ242" i="1" s="1"/>
  <c r="EI242" i="1" s="1"/>
  <c r="EA242" i="1"/>
  <c r="G242" i="1"/>
  <c r="EM241" i="1"/>
  <c r="EH241" i="1"/>
  <c r="EE241" i="1"/>
  <c r="EC241" i="1"/>
  <c r="EA241" i="1"/>
  <c r="EM240" i="1"/>
  <c r="EH240" i="1"/>
  <c r="EE240" i="1"/>
  <c r="EC240" i="1"/>
  <c r="EA240" i="1"/>
  <c r="EM239" i="1"/>
  <c r="EH239" i="1"/>
  <c r="EC239" i="1"/>
  <c r="EA239" i="1"/>
  <c r="EM238" i="1"/>
  <c r="EH238" i="1"/>
  <c r="EC238" i="1"/>
  <c r="EA238" i="1"/>
  <c r="EM237" i="1"/>
  <c r="EH237" i="1"/>
  <c r="EE237" i="1"/>
  <c r="EC237" i="1"/>
  <c r="EA237" i="1"/>
  <c r="EM236" i="1"/>
  <c r="EH236" i="1"/>
  <c r="EF236" i="1"/>
  <c r="EE236" i="1"/>
  <c r="EC236" i="1"/>
  <c r="EA236" i="1"/>
  <c r="EM235" i="1"/>
  <c r="EH235" i="1"/>
  <c r="EC235" i="1"/>
  <c r="EA235" i="1"/>
  <c r="EM234" i="1"/>
  <c r="EH234" i="1"/>
  <c r="EE234" i="1"/>
  <c r="EC234" i="1"/>
  <c r="EA234" i="1"/>
  <c r="EM233" i="1"/>
  <c r="EH233" i="1"/>
  <c r="EC233" i="1"/>
  <c r="EA233" i="1"/>
  <c r="EM232" i="1"/>
  <c r="EH232" i="1"/>
  <c r="EG232" i="1"/>
  <c r="EK232" i="1" s="1"/>
  <c r="EL232" i="1" s="1"/>
  <c r="ED232" i="1" s="1"/>
  <c r="EF232" i="1"/>
  <c r="EE232" i="1"/>
  <c r="EC232" i="1"/>
  <c r="EA232" i="1"/>
  <c r="G232" i="1"/>
  <c r="EB232" i="1" s="1"/>
  <c r="DZ232" i="1" s="1"/>
  <c r="EM231" i="1"/>
  <c r="EH231" i="1"/>
  <c r="EG231" i="1"/>
  <c r="EK231" i="1" s="1"/>
  <c r="EL231" i="1" s="1"/>
  <c r="ED231" i="1" s="1"/>
  <c r="EF231" i="1"/>
  <c r="EE231" i="1"/>
  <c r="EC231" i="1"/>
  <c r="EA231" i="1"/>
  <c r="DZ231" i="1"/>
  <c r="EI231" i="1" s="1"/>
  <c r="G231" i="1"/>
  <c r="EB231" i="1" s="1"/>
  <c r="EM230" i="1"/>
  <c r="EH230" i="1"/>
  <c r="EE230" i="1"/>
  <c r="EC230" i="1"/>
  <c r="EA230" i="1"/>
  <c r="EM229" i="1"/>
  <c r="EH229" i="1"/>
  <c r="EF229" i="1"/>
  <c r="EE229" i="1"/>
  <c r="EC229" i="1"/>
  <c r="EA229" i="1"/>
  <c r="EM228" i="1"/>
  <c r="EH228" i="1"/>
  <c r="EE228" i="1"/>
  <c r="EC228" i="1"/>
  <c r="EA228" i="1"/>
  <c r="EM227" i="1"/>
  <c r="EH227" i="1"/>
  <c r="EE227" i="1"/>
  <c r="EA227" i="1"/>
  <c r="EM226" i="1"/>
  <c r="EH226" i="1"/>
  <c r="EF226" i="1"/>
  <c r="EE226" i="1"/>
  <c r="EC226" i="1"/>
  <c r="EA226" i="1"/>
  <c r="EM225" i="1"/>
  <c r="EH225" i="1"/>
  <c r="EC225" i="1"/>
  <c r="EB225" i="1"/>
  <c r="EA225" i="1"/>
  <c r="DZ225" i="1"/>
  <c r="EM224" i="1"/>
  <c r="EH224" i="1"/>
  <c r="EF224" i="1"/>
  <c r="EE224" i="1"/>
  <c r="EA224" i="1"/>
  <c r="EM223" i="1"/>
  <c r="EH223" i="1"/>
  <c r="EC223" i="1"/>
  <c r="EA223" i="1"/>
  <c r="EM222" i="1"/>
  <c r="EH222" i="1"/>
  <c r="EC222" i="1"/>
  <c r="EA222" i="1"/>
  <c r="EM221" i="1"/>
  <c r="EH221" i="1"/>
  <c r="EF221" i="1"/>
  <c r="EE221" i="1"/>
  <c r="EC221" i="1"/>
  <c r="EA221" i="1"/>
  <c r="EM220" i="1"/>
  <c r="EH220" i="1"/>
  <c r="EC220" i="1"/>
  <c r="EA220" i="1"/>
  <c r="EM219" i="1"/>
  <c r="EH219" i="1"/>
  <c r="EE219" i="1"/>
  <c r="EC219" i="1"/>
  <c r="EA219" i="1"/>
  <c r="EM218" i="1"/>
  <c r="EH218" i="1"/>
  <c r="EE218" i="1"/>
  <c r="EC218" i="1"/>
  <c r="EA218" i="1"/>
  <c r="EM217" i="1"/>
  <c r="EH217" i="1"/>
  <c r="EG217" i="1"/>
  <c r="EK217" i="1" s="1"/>
  <c r="EL217" i="1" s="1"/>
  <c r="ED217" i="1" s="1"/>
  <c r="EF217" i="1"/>
  <c r="EE217" i="1"/>
  <c r="EB217" i="1"/>
  <c r="DZ217" i="1" s="1"/>
  <c r="EA217" i="1"/>
  <c r="G217" i="1"/>
  <c r="EM216" i="1"/>
  <c r="EJ216" i="1"/>
  <c r="EH216" i="1"/>
  <c r="EG216" i="1"/>
  <c r="EK216" i="1" s="1"/>
  <c r="EL216" i="1" s="1"/>
  <c r="ED216" i="1" s="1"/>
  <c r="EF216" i="1"/>
  <c r="EE216" i="1"/>
  <c r="EC216" i="1"/>
  <c r="EB216" i="1"/>
  <c r="DZ216" i="1" s="1"/>
  <c r="EI216" i="1" s="1"/>
  <c r="EA216" i="1"/>
  <c r="G216" i="1"/>
  <c r="EM215" i="1"/>
  <c r="EH215" i="1"/>
  <c r="EE215" i="1"/>
  <c r="EC215" i="1"/>
  <c r="EA215" i="1"/>
  <c r="EM214" i="1"/>
  <c r="EH214" i="1"/>
  <c r="EE214" i="1"/>
  <c r="EC214" i="1"/>
  <c r="EA214" i="1"/>
  <c r="EM213" i="1"/>
  <c r="EH213" i="1"/>
  <c r="EF213" i="1"/>
  <c r="EE213" i="1"/>
  <c r="EC213" i="1"/>
  <c r="EA213" i="1"/>
  <c r="EM212" i="1"/>
  <c r="EK212" i="1"/>
  <c r="EL212" i="1" s="1"/>
  <c r="ED212" i="1" s="1"/>
  <c r="EH212" i="1"/>
  <c r="EG212" i="1"/>
  <c r="EF212" i="1"/>
  <c r="EE212" i="1"/>
  <c r="EC212" i="1"/>
  <c r="EB212" i="1"/>
  <c r="DZ212" i="1" s="1"/>
  <c r="EI212" i="1" s="1"/>
  <c r="EA212" i="1"/>
  <c r="G212" i="1"/>
  <c r="EM211" i="1"/>
  <c r="EJ211" i="1"/>
  <c r="EI211" i="1"/>
  <c r="EH211" i="1"/>
  <c r="EG211" i="1"/>
  <c r="EK211" i="1" s="1"/>
  <c r="EL211" i="1" s="1"/>
  <c r="ED211" i="1" s="1"/>
  <c r="EF211" i="1"/>
  <c r="EE211" i="1"/>
  <c r="EC211" i="1"/>
  <c r="EB211" i="1"/>
  <c r="DZ211" i="1" s="1"/>
  <c r="EA211" i="1"/>
  <c r="G211" i="1"/>
  <c r="EM210" i="1"/>
  <c r="EH210" i="1"/>
  <c r="EE210" i="1"/>
  <c r="EC210" i="1"/>
  <c r="EA210" i="1"/>
  <c r="EM209" i="1"/>
  <c r="EH209" i="1"/>
  <c r="EG209" i="1"/>
  <c r="EK209" i="1" s="1"/>
  <c r="EL209" i="1" s="1"/>
  <c r="ED209" i="1" s="1"/>
  <c r="EF209" i="1"/>
  <c r="EE209" i="1"/>
  <c r="EC209" i="1"/>
  <c r="EB209" i="1"/>
  <c r="DZ209" i="1" s="1"/>
  <c r="EA209" i="1"/>
  <c r="G209" i="1"/>
  <c r="EM208" i="1"/>
  <c r="EJ208" i="1"/>
  <c r="EH208" i="1"/>
  <c r="EG208" i="1"/>
  <c r="EK208" i="1" s="1"/>
  <c r="EL208" i="1" s="1"/>
  <c r="ED208" i="1" s="1"/>
  <c r="EF208" i="1"/>
  <c r="EE208" i="1"/>
  <c r="EC208" i="1"/>
  <c r="EB208" i="1"/>
  <c r="DZ208" i="1" s="1"/>
  <c r="EI208" i="1" s="1"/>
  <c r="EA208" i="1"/>
  <c r="G208" i="1"/>
  <c r="EM207" i="1"/>
  <c r="EH207" i="1"/>
  <c r="EF207" i="1"/>
  <c r="EE207" i="1"/>
  <c r="EC207" i="1"/>
  <c r="EA207" i="1"/>
  <c r="EM206" i="1"/>
  <c r="EH206" i="1"/>
  <c r="EF206" i="1"/>
  <c r="EE206" i="1"/>
  <c r="EC206" i="1"/>
  <c r="EA206" i="1"/>
  <c r="EM205" i="1"/>
  <c r="EH205" i="1"/>
  <c r="EC205" i="1"/>
  <c r="EA205" i="1"/>
  <c r="EM204" i="1"/>
  <c r="EH204" i="1"/>
  <c r="EC204" i="1"/>
  <c r="EA204" i="1"/>
  <c r="EM203" i="1"/>
  <c r="EH203" i="1"/>
  <c r="EC203" i="1"/>
  <c r="EA203" i="1"/>
  <c r="EM202" i="1"/>
  <c r="EH202" i="1"/>
  <c r="EC202" i="1"/>
  <c r="EA202" i="1"/>
  <c r="EM201" i="1"/>
  <c r="EH201" i="1"/>
  <c r="EC201" i="1"/>
  <c r="EA201" i="1"/>
  <c r="EM200" i="1"/>
  <c r="EH200" i="1"/>
  <c r="EE200" i="1"/>
  <c r="EC200" i="1"/>
  <c r="EA200" i="1"/>
  <c r="EM199" i="1"/>
  <c r="EH199" i="1"/>
  <c r="EC199" i="1"/>
  <c r="EA199" i="1"/>
  <c r="EM198" i="1"/>
  <c r="EH198" i="1"/>
  <c r="EE198" i="1"/>
  <c r="EC198" i="1"/>
  <c r="EA198" i="1"/>
  <c r="EM197" i="1"/>
  <c r="EH197" i="1"/>
  <c r="EE197" i="1"/>
  <c r="EC197" i="1"/>
  <c r="EA197" i="1"/>
  <c r="EM196" i="1"/>
  <c r="EH196" i="1"/>
  <c r="EE196" i="1"/>
  <c r="EA196" i="1"/>
  <c r="EM195" i="1"/>
  <c r="EL195" i="1"/>
  <c r="ED195" i="1" s="1"/>
  <c r="EH195" i="1"/>
  <c r="EG195" i="1"/>
  <c r="EK195" i="1" s="1"/>
  <c r="EF195" i="1"/>
  <c r="EE195" i="1"/>
  <c r="EC195" i="1"/>
  <c r="EB195" i="1"/>
  <c r="EA195" i="1"/>
  <c r="DZ195" i="1"/>
  <c r="G195" i="1"/>
  <c r="EM194" i="1"/>
  <c r="EK194" i="1"/>
  <c r="EL194" i="1" s="1"/>
  <c r="ED194" i="1" s="1"/>
  <c r="EH194" i="1"/>
  <c r="EG194" i="1"/>
  <c r="EF194" i="1"/>
  <c r="EE194" i="1"/>
  <c r="EC194" i="1"/>
  <c r="EA194" i="1"/>
  <c r="G194" i="1"/>
  <c r="EB194" i="1" s="1"/>
  <c r="DZ194" i="1" s="1"/>
  <c r="EM193" i="1"/>
  <c r="EH193" i="1"/>
  <c r="EC193" i="1"/>
  <c r="EA193" i="1"/>
  <c r="EM192" i="1"/>
  <c r="EH192" i="1"/>
  <c r="EG192" i="1"/>
  <c r="EK192" i="1" s="1"/>
  <c r="EL192" i="1" s="1"/>
  <c r="ED192" i="1" s="1"/>
  <c r="EF192" i="1"/>
  <c r="EE192" i="1"/>
  <c r="EC192" i="1"/>
  <c r="EB192" i="1"/>
  <c r="DZ192" i="1" s="1"/>
  <c r="EI192" i="1" s="1"/>
  <c r="EA192" i="1"/>
  <c r="G192" i="1"/>
  <c r="EM191" i="1"/>
  <c r="EI191" i="1"/>
  <c r="EH191" i="1"/>
  <c r="EG191" i="1"/>
  <c r="EK191" i="1" s="1"/>
  <c r="EL191" i="1" s="1"/>
  <c r="ED191" i="1" s="1"/>
  <c r="EF191" i="1"/>
  <c r="EE191" i="1"/>
  <c r="EC191" i="1"/>
  <c r="EB191" i="1"/>
  <c r="DZ191" i="1" s="1"/>
  <c r="EJ191" i="1" s="1"/>
  <c r="EA191" i="1"/>
  <c r="G191" i="1"/>
  <c r="EM190" i="1"/>
  <c r="EH190" i="1"/>
  <c r="EE190" i="1"/>
  <c r="EC190" i="1"/>
  <c r="EA190" i="1"/>
  <c r="EM189" i="1"/>
  <c r="EH189" i="1"/>
  <c r="EC189" i="1"/>
  <c r="EA189" i="1"/>
  <c r="EM188" i="1"/>
  <c r="EH188" i="1"/>
  <c r="EE188" i="1"/>
  <c r="EC188" i="1"/>
  <c r="EA188" i="1"/>
  <c r="EM187" i="1"/>
  <c r="EH187" i="1"/>
  <c r="EE187" i="1"/>
  <c r="EC187" i="1"/>
  <c r="EA187" i="1"/>
  <c r="EM186" i="1"/>
  <c r="EK186" i="1"/>
  <c r="EL186" i="1" s="1"/>
  <c r="ED186" i="1" s="1"/>
  <c r="EH186" i="1"/>
  <c r="EG186" i="1"/>
  <c r="EF186" i="1"/>
  <c r="EE186" i="1"/>
  <c r="EC186" i="1"/>
  <c r="EA186" i="1"/>
  <c r="G186" i="1"/>
  <c r="EB186" i="1" s="1"/>
  <c r="DZ186" i="1" s="1"/>
  <c r="EM185" i="1"/>
  <c r="EH185" i="1"/>
  <c r="EE185" i="1"/>
  <c r="EC185" i="1"/>
  <c r="EA185" i="1"/>
  <c r="EM184" i="1"/>
  <c r="EH184" i="1"/>
  <c r="EC184" i="1"/>
  <c r="EA184" i="1"/>
  <c r="EM183" i="1"/>
  <c r="EK183" i="1"/>
  <c r="EL183" i="1" s="1"/>
  <c r="ED183" i="1" s="1"/>
  <c r="EH183" i="1"/>
  <c r="EG183" i="1"/>
  <c r="EF183" i="1"/>
  <c r="EE183" i="1"/>
  <c r="EC183" i="1"/>
  <c r="EA183" i="1"/>
  <c r="DZ183" i="1"/>
  <c r="G183" i="1"/>
  <c r="EB183" i="1" s="1"/>
  <c r="EM182" i="1"/>
  <c r="EH182" i="1"/>
  <c r="EF182" i="1"/>
  <c r="EE182" i="1"/>
  <c r="EC182" i="1"/>
  <c r="EA182" i="1"/>
  <c r="EM181" i="1"/>
  <c r="EH181" i="1"/>
  <c r="EE181" i="1"/>
  <c r="EC181" i="1"/>
  <c r="EA181" i="1"/>
  <c r="EM180" i="1"/>
  <c r="EH180" i="1"/>
  <c r="EE180" i="1"/>
  <c r="EC180" i="1"/>
  <c r="EA180" i="1"/>
  <c r="EM179" i="1"/>
  <c r="EH179" i="1"/>
  <c r="EE179" i="1"/>
  <c r="EC179" i="1"/>
  <c r="EA179" i="1"/>
  <c r="EM178" i="1"/>
  <c r="EH178" i="1"/>
  <c r="EE178" i="1"/>
  <c r="EC178" i="1"/>
  <c r="EA178" i="1"/>
  <c r="EM177" i="1"/>
  <c r="EL177" i="1"/>
  <c r="ED177" i="1" s="1"/>
  <c r="EI177" i="1"/>
  <c r="EH177" i="1"/>
  <c r="EG177" i="1"/>
  <c r="EK177" i="1" s="1"/>
  <c r="EF177" i="1"/>
  <c r="EE177" i="1"/>
  <c r="EC177" i="1"/>
  <c r="EB177" i="1"/>
  <c r="EA177" i="1"/>
  <c r="DZ177" i="1"/>
  <c r="EJ177" i="1" s="1"/>
  <c r="G177" i="1"/>
  <c r="EM176" i="1"/>
  <c r="EH176" i="1"/>
  <c r="EG176" i="1"/>
  <c r="EK176" i="1" s="1"/>
  <c r="EL176" i="1" s="1"/>
  <c r="ED176" i="1" s="1"/>
  <c r="EF176" i="1"/>
  <c r="EE176" i="1"/>
  <c r="EC176" i="1"/>
  <c r="EA176" i="1"/>
  <c r="G176" i="1"/>
  <c r="EB176" i="1" s="1"/>
  <c r="DZ176" i="1" s="1"/>
  <c r="EM175" i="1"/>
  <c r="EH175" i="1"/>
  <c r="EA175" i="1"/>
  <c r="EM174" i="1"/>
  <c r="EH174" i="1"/>
  <c r="EE174" i="1"/>
  <c r="EC174" i="1"/>
  <c r="EA174" i="1"/>
  <c r="EM173" i="1"/>
  <c r="EH173" i="1"/>
  <c r="EE173" i="1"/>
  <c r="EC173" i="1"/>
  <c r="EA173" i="1"/>
  <c r="EM172" i="1"/>
  <c r="EH172" i="1"/>
  <c r="EG172" i="1"/>
  <c r="EK172" i="1" s="1"/>
  <c r="EL172" i="1" s="1"/>
  <c r="ED172" i="1" s="1"/>
  <c r="EF172" i="1"/>
  <c r="EE172" i="1"/>
  <c r="EC172" i="1"/>
  <c r="EA172" i="1"/>
  <c r="G172" i="1"/>
  <c r="EB172" i="1" s="1"/>
  <c r="DZ172" i="1" s="1"/>
  <c r="EM171" i="1"/>
  <c r="EH171" i="1"/>
  <c r="EC171" i="1"/>
  <c r="EA171" i="1"/>
  <c r="EM170" i="1"/>
  <c r="EK170" i="1"/>
  <c r="EL170" i="1" s="1"/>
  <c r="ED170" i="1" s="1"/>
  <c r="EH170" i="1"/>
  <c r="EG170" i="1"/>
  <c r="EF170" i="1"/>
  <c r="EE170" i="1"/>
  <c r="EC170" i="1"/>
  <c r="EA170" i="1"/>
  <c r="G170" i="1"/>
  <c r="EB170" i="1" s="1"/>
  <c r="DZ170" i="1" s="1"/>
  <c r="EM169" i="1"/>
  <c r="EH169" i="1"/>
  <c r="EC169" i="1"/>
  <c r="EA169" i="1"/>
  <c r="EM168" i="1"/>
  <c r="EH168" i="1"/>
  <c r="EE168" i="1"/>
  <c r="EC168" i="1"/>
  <c r="EA168" i="1"/>
  <c r="EM167" i="1"/>
  <c r="EH167" i="1"/>
  <c r="EC167" i="1"/>
  <c r="EA167" i="1"/>
  <c r="EM166" i="1"/>
  <c r="EH166" i="1"/>
  <c r="EC166" i="1"/>
  <c r="EA166" i="1"/>
  <c r="EM165" i="1"/>
  <c r="EH165" i="1"/>
  <c r="EC165" i="1"/>
  <c r="EA165" i="1"/>
  <c r="EM164" i="1"/>
  <c r="EH164" i="1"/>
  <c r="EC164" i="1"/>
  <c r="EA164" i="1"/>
  <c r="EM163" i="1"/>
  <c r="EH163" i="1"/>
  <c r="EE163" i="1"/>
  <c r="EC163" i="1"/>
  <c r="EA163" i="1"/>
  <c r="EM162" i="1"/>
  <c r="EK162" i="1"/>
  <c r="EL162" i="1" s="1"/>
  <c r="ED162" i="1" s="1"/>
  <c r="EH162" i="1"/>
  <c r="EG162" i="1"/>
  <c r="EF162" i="1"/>
  <c r="EE162" i="1"/>
  <c r="EC162" i="1"/>
  <c r="EA162" i="1"/>
  <c r="G162" i="1"/>
  <c r="EB162" i="1" s="1"/>
  <c r="DZ162" i="1" s="1"/>
  <c r="EM161" i="1"/>
  <c r="EH161" i="1"/>
  <c r="EF161" i="1"/>
  <c r="EE161" i="1"/>
  <c r="EC161" i="1"/>
  <c r="EA161" i="1"/>
  <c r="EM160" i="1"/>
  <c r="EH160" i="1"/>
  <c r="EE160" i="1"/>
  <c r="EC160" i="1"/>
  <c r="EA160" i="1"/>
  <c r="EM159" i="1"/>
  <c r="EH159" i="1"/>
  <c r="EC159" i="1"/>
  <c r="EA159" i="1"/>
  <c r="EM158" i="1"/>
  <c r="EH158" i="1"/>
  <c r="EC158" i="1"/>
  <c r="EA158" i="1"/>
  <c r="EM157" i="1"/>
  <c r="EH157" i="1"/>
  <c r="EF157" i="1"/>
  <c r="EE157" i="1"/>
  <c r="EA157" i="1"/>
  <c r="EM156" i="1"/>
  <c r="EH156" i="1"/>
  <c r="EE156" i="1"/>
  <c r="EC156" i="1"/>
  <c r="EA156" i="1"/>
  <c r="EM155" i="1"/>
  <c r="EJ155" i="1"/>
  <c r="EI155" i="1"/>
  <c r="EH155" i="1"/>
  <c r="EG155" i="1"/>
  <c r="EK155" i="1" s="1"/>
  <c r="EL155" i="1" s="1"/>
  <c r="ED155" i="1" s="1"/>
  <c r="EF155" i="1"/>
  <c r="EE155" i="1"/>
  <c r="EC155" i="1"/>
  <c r="EB155" i="1"/>
  <c r="DZ155" i="1" s="1"/>
  <c r="EA155" i="1"/>
  <c r="G155" i="1"/>
  <c r="EM154" i="1"/>
  <c r="EH154" i="1"/>
  <c r="EF154" i="1"/>
  <c r="EE154" i="1"/>
  <c r="EC154" i="1"/>
  <c r="EA154" i="1"/>
  <c r="EM153" i="1"/>
  <c r="EH153" i="1"/>
  <c r="EE153" i="1"/>
  <c r="EC153" i="1"/>
  <c r="EA153" i="1"/>
  <c r="EM152" i="1"/>
  <c r="EH152" i="1"/>
  <c r="EE152" i="1"/>
  <c r="EC152" i="1"/>
  <c r="EA152" i="1"/>
  <c r="EM151" i="1"/>
  <c r="EH151" i="1"/>
  <c r="EE151" i="1"/>
  <c r="EC151" i="1"/>
  <c r="EA151" i="1"/>
  <c r="EM150" i="1"/>
  <c r="EH150" i="1"/>
  <c r="EE150" i="1"/>
  <c r="EC150" i="1"/>
  <c r="EA150" i="1"/>
  <c r="EM149" i="1"/>
  <c r="EH149" i="1"/>
  <c r="EF149" i="1"/>
  <c r="EE149" i="1"/>
  <c r="EC149" i="1"/>
  <c r="EA149" i="1"/>
  <c r="EM148" i="1"/>
  <c r="EH148" i="1"/>
  <c r="EE148" i="1"/>
  <c r="EC148" i="1"/>
  <c r="EA148" i="1"/>
  <c r="EM147" i="1"/>
  <c r="EH147" i="1"/>
  <c r="EE147" i="1"/>
  <c r="EA147" i="1"/>
  <c r="EM146" i="1"/>
  <c r="EL146" i="1"/>
  <c r="ED146" i="1" s="1"/>
  <c r="EH146" i="1"/>
  <c r="EG146" i="1"/>
  <c r="EK146" i="1" s="1"/>
  <c r="EF146" i="1"/>
  <c r="EE146" i="1"/>
  <c r="EC146" i="1"/>
  <c r="EB146" i="1"/>
  <c r="EA146" i="1"/>
  <c r="DZ146" i="1"/>
  <c r="EJ146" i="1" s="1"/>
  <c r="G146" i="1"/>
  <c r="EM145" i="1"/>
  <c r="EH145" i="1"/>
  <c r="EF145" i="1"/>
  <c r="EE145" i="1"/>
  <c r="EC145" i="1"/>
  <c r="EA145" i="1"/>
  <c r="EM144" i="1"/>
  <c r="EH144" i="1"/>
  <c r="EF144" i="1"/>
  <c r="EE144" i="1"/>
  <c r="EC144" i="1"/>
  <c r="EA144" i="1"/>
  <c r="EM143" i="1"/>
  <c r="EH143" i="1"/>
  <c r="EE143" i="1"/>
  <c r="EC143" i="1"/>
  <c r="EA143" i="1"/>
  <c r="EM142" i="1"/>
  <c r="EH142" i="1"/>
  <c r="EC142" i="1"/>
  <c r="EA142" i="1"/>
  <c r="EM141" i="1"/>
  <c r="EH141" i="1"/>
  <c r="EC141" i="1"/>
  <c r="EA141" i="1"/>
  <c r="EM140" i="1"/>
  <c r="EH140" i="1"/>
  <c r="EC140" i="1"/>
  <c r="EA140" i="1"/>
  <c r="EM139" i="1"/>
  <c r="EH139" i="1"/>
  <c r="EG139" i="1"/>
  <c r="EK139" i="1" s="1"/>
  <c r="EL139" i="1" s="1"/>
  <c r="ED139" i="1" s="1"/>
  <c r="EF139" i="1"/>
  <c r="EE139" i="1"/>
  <c r="EC139" i="1"/>
  <c r="EB139" i="1"/>
  <c r="DZ139" i="1" s="1"/>
  <c r="EJ139" i="1" s="1"/>
  <c r="EA139" i="1"/>
  <c r="G139" i="1"/>
  <c r="EM138" i="1"/>
  <c r="EH138" i="1"/>
  <c r="EE138" i="1"/>
  <c r="EC138" i="1"/>
  <c r="EA138" i="1"/>
  <c r="EM137" i="1"/>
  <c r="EH137" i="1"/>
  <c r="EC137" i="1"/>
  <c r="EA137" i="1"/>
  <c r="EM136" i="1"/>
  <c r="EK136" i="1"/>
  <c r="EL136" i="1" s="1"/>
  <c r="ED136" i="1" s="1"/>
  <c r="EH136" i="1"/>
  <c r="EG136" i="1"/>
  <c r="EF136" i="1"/>
  <c r="EE136" i="1"/>
  <c r="EC136" i="1"/>
  <c r="EA136" i="1"/>
  <c r="G136" i="1"/>
  <c r="EB136" i="1" s="1"/>
  <c r="DZ136" i="1" s="1"/>
  <c r="EM135" i="1"/>
  <c r="EH135" i="1"/>
  <c r="EF135" i="1"/>
  <c r="EE135" i="1"/>
  <c r="EC135" i="1"/>
  <c r="EA135" i="1"/>
  <c r="EM134" i="1"/>
  <c r="EH134" i="1"/>
  <c r="EC134" i="1"/>
  <c r="EA134" i="1"/>
  <c r="EM133" i="1"/>
  <c r="EL133" i="1"/>
  <c r="EH133" i="1"/>
  <c r="EG133" i="1"/>
  <c r="EK133" i="1" s="1"/>
  <c r="EF133" i="1"/>
  <c r="EE133" i="1"/>
  <c r="ED133" i="1"/>
  <c r="EC133" i="1"/>
  <c r="EB133" i="1"/>
  <c r="EA133" i="1"/>
  <c r="DZ133" i="1"/>
  <c r="EJ133" i="1" s="1"/>
  <c r="G133" i="1"/>
  <c r="EM132" i="1"/>
  <c r="EK132" i="1"/>
  <c r="EL132" i="1" s="1"/>
  <c r="ED132" i="1" s="1"/>
  <c r="EH132" i="1"/>
  <c r="EG132" i="1"/>
  <c r="EF132" i="1"/>
  <c r="EE132" i="1"/>
  <c r="EC132" i="1"/>
  <c r="EA132" i="1"/>
  <c r="DZ132" i="1"/>
  <c r="G132" i="1"/>
  <c r="EB132" i="1" s="1"/>
  <c r="EM131" i="1"/>
  <c r="EH131" i="1"/>
  <c r="EE131" i="1"/>
  <c r="EC131" i="1"/>
  <c r="EA131" i="1"/>
  <c r="EM130" i="1"/>
  <c r="EH130" i="1"/>
  <c r="EC130" i="1"/>
  <c r="EA130" i="1"/>
  <c r="EM129" i="1"/>
  <c r="EK129" i="1"/>
  <c r="EL129" i="1" s="1"/>
  <c r="ED129" i="1" s="1"/>
  <c r="EH129" i="1"/>
  <c r="EG129" i="1"/>
  <c r="EF129" i="1"/>
  <c r="EE129" i="1"/>
  <c r="EC129" i="1"/>
  <c r="EA129" i="1"/>
  <c r="G129" i="1"/>
  <c r="EB129" i="1" s="1"/>
  <c r="DZ129" i="1" s="1"/>
  <c r="EM128" i="1"/>
  <c r="EH128" i="1"/>
  <c r="EE128" i="1"/>
  <c r="EC128" i="1"/>
  <c r="EA128" i="1"/>
  <c r="EM127" i="1"/>
  <c r="EH127" i="1"/>
  <c r="EE127" i="1"/>
  <c r="EC127" i="1"/>
  <c r="EA127" i="1"/>
  <c r="EM126" i="1"/>
  <c r="EH126" i="1"/>
  <c r="EE126" i="1"/>
  <c r="EC126" i="1"/>
  <c r="EA126" i="1"/>
  <c r="EM125" i="1"/>
  <c r="EH125" i="1"/>
  <c r="EE125" i="1"/>
  <c r="EC125" i="1"/>
  <c r="EA125" i="1"/>
  <c r="EM124" i="1"/>
  <c r="EH124" i="1"/>
  <c r="EE124" i="1"/>
  <c r="EC124" i="1"/>
  <c r="EA124" i="1"/>
  <c r="EM123" i="1"/>
  <c r="EH123" i="1"/>
  <c r="EC123" i="1"/>
  <c r="EA123" i="1"/>
  <c r="EM122" i="1"/>
  <c r="EH122" i="1"/>
  <c r="EE122" i="1"/>
  <c r="EC122" i="1"/>
  <c r="EA122" i="1"/>
  <c r="EM121" i="1"/>
  <c r="EH121" i="1"/>
  <c r="EG121" i="1"/>
  <c r="EK121" i="1" s="1"/>
  <c r="EL121" i="1" s="1"/>
  <c r="ED121" i="1" s="1"/>
  <c r="EF121" i="1"/>
  <c r="EE121" i="1"/>
  <c r="EC121" i="1"/>
  <c r="EB121" i="1"/>
  <c r="EA121" i="1"/>
  <c r="DZ121" i="1"/>
  <c r="EI121" i="1" s="1"/>
  <c r="G121" i="1"/>
  <c r="EM120" i="1"/>
  <c r="EH120" i="1"/>
  <c r="EE120" i="1"/>
  <c r="EC120" i="1"/>
  <c r="EA120" i="1"/>
  <c r="EM119" i="1"/>
  <c r="EH119" i="1"/>
  <c r="EE119" i="1"/>
  <c r="EC119" i="1"/>
  <c r="EA119" i="1"/>
  <c r="EM118" i="1"/>
  <c r="EH118" i="1"/>
  <c r="EC118" i="1"/>
  <c r="EA118" i="1"/>
  <c r="EM117" i="1"/>
  <c r="EH117" i="1"/>
  <c r="EG117" i="1"/>
  <c r="EK117" i="1" s="1"/>
  <c r="EL117" i="1" s="1"/>
  <c r="ED117" i="1" s="1"/>
  <c r="EF117" i="1"/>
  <c r="EE117" i="1"/>
  <c r="EC117" i="1"/>
  <c r="EA117" i="1"/>
  <c r="G117" i="1"/>
  <c r="EB117" i="1" s="1"/>
  <c r="DZ117" i="1" s="1"/>
  <c r="EM116" i="1"/>
  <c r="EH116" i="1"/>
  <c r="EE116" i="1"/>
  <c r="EC116" i="1"/>
  <c r="EA116" i="1"/>
  <c r="EM115" i="1"/>
  <c r="EH115" i="1"/>
  <c r="EE115" i="1"/>
  <c r="EC115" i="1"/>
  <c r="EA115" i="1"/>
  <c r="EM114" i="1"/>
  <c r="EH114" i="1"/>
  <c r="EG114" i="1"/>
  <c r="EK114" i="1" s="1"/>
  <c r="EL114" i="1" s="1"/>
  <c r="ED114" i="1" s="1"/>
  <c r="EF114" i="1"/>
  <c r="EE114" i="1"/>
  <c r="EC114" i="1"/>
  <c r="EB114" i="1"/>
  <c r="EA114" i="1"/>
  <c r="DZ114" i="1"/>
  <c r="EJ114" i="1" s="1"/>
  <c r="G114" i="1"/>
  <c r="EM113" i="1"/>
  <c r="EH113" i="1"/>
  <c r="EE113" i="1"/>
  <c r="EC113" i="1"/>
  <c r="EA113" i="1"/>
  <c r="EM112" i="1"/>
  <c r="EH112" i="1"/>
  <c r="EC112" i="1"/>
  <c r="EA112" i="1"/>
  <c r="EM111" i="1"/>
  <c r="EH111" i="1"/>
  <c r="EE111" i="1"/>
  <c r="EC111" i="1"/>
  <c r="EA111" i="1"/>
  <c r="EI170" i="1" l="1"/>
  <c r="EJ170" i="1"/>
  <c r="EJ117" i="1"/>
  <c r="EI117" i="1"/>
  <c r="EI129" i="1"/>
  <c r="EJ129" i="1"/>
  <c r="EJ136" i="1"/>
  <c r="EI136" i="1"/>
  <c r="EI162" i="1"/>
  <c r="EJ162" i="1"/>
  <c r="EJ172" i="1"/>
  <c r="EI172" i="1"/>
  <c r="EJ176" i="1"/>
  <c r="EI176" i="1"/>
  <c r="EJ194" i="1"/>
  <c r="EI194" i="1"/>
  <c r="EI209" i="1"/>
  <c r="EJ209" i="1"/>
  <c r="EJ217" i="1"/>
  <c r="EI217" i="1"/>
  <c r="EI271" i="1"/>
  <c r="EJ271" i="1"/>
  <c r="EI294" i="1"/>
  <c r="EJ294" i="1"/>
  <c r="EJ298" i="1"/>
  <c r="EI298" i="1"/>
  <c r="EJ320" i="1"/>
  <c r="EI320" i="1"/>
  <c r="EJ132" i="1"/>
  <c r="EI132" i="1"/>
  <c r="EJ307" i="1"/>
  <c r="EI307" i="1"/>
  <c r="EJ121" i="1"/>
  <c r="EI139" i="1"/>
  <c r="EJ186" i="1"/>
  <c r="EI186" i="1"/>
  <c r="EJ250" i="1"/>
  <c r="EI250" i="1"/>
  <c r="EJ275" i="1"/>
  <c r="EI275" i="1"/>
  <c r="EJ183" i="1"/>
  <c r="EI183" i="1"/>
  <c r="EI114" i="1"/>
  <c r="EI133" i="1"/>
  <c r="EI146" i="1"/>
  <c r="EJ192" i="1"/>
  <c r="EJ195" i="1"/>
  <c r="EI195" i="1"/>
  <c r="EJ231" i="1"/>
  <c r="EI273" i="1"/>
  <c r="EJ273" i="1"/>
  <c r="EI302" i="1"/>
  <c r="EJ302" i="1"/>
  <c r="EJ328" i="1"/>
  <c r="EI328" i="1"/>
  <c r="EJ232" i="1"/>
  <c r="EI232" i="1"/>
  <c r="EJ293" i="1"/>
  <c r="EI293" i="1"/>
  <c r="EJ212" i="1"/>
  <c r="EI299" i="1"/>
  <c r="EJ339" i="1"/>
  <c r="EI339" i="1"/>
  <c r="EJ321" i="1"/>
  <c r="EI321" i="1"/>
  <c r="EJ350" i="1"/>
  <c r="EI350" i="1"/>
  <c r="EJ361" i="1"/>
  <c r="EI361" i="1"/>
  <c r="EI263" i="1"/>
  <c r="EI296" i="1"/>
  <c r="EI311" i="1"/>
  <c r="EJ319" i="1"/>
  <c r="EJ383" i="1"/>
  <c r="EI383" i="1"/>
  <c r="EJ391" i="1"/>
  <c r="EI391" i="1"/>
  <c r="EJ403" i="1"/>
  <c r="EI403" i="1"/>
  <c r="EI412" i="1"/>
  <c r="EJ412" i="1"/>
  <c r="EJ385" i="1"/>
  <c r="EI385" i="1"/>
  <c r="EJ463" i="1"/>
  <c r="EI463" i="1"/>
  <c r="EJ408" i="1"/>
  <c r="EI408" i="1"/>
  <c r="EI442" i="1"/>
  <c r="EI427" i="1"/>
  <c r="EI438" i="1"/>
  <c r="EJ454" i="1"/>
  <c r="EI454" i="1"/>
  <c r="EI466" i="1"/>
  <c r="EJ466" i="1"/>
  <c r="EJ457" i="1"/>
  <c r="EI457" i="1"/>
  <c r="EM467" i="1"/>
  <c r="EH467" i="1"/>
  <c r="EG467" i="1"/>
  <c r="EK467" i="1" s="1"/>
  <c r="EL467" i="1" s="1"/>
  <c r="ED467" i="1" s="1"/>
  <c r="EF467" i="1"/>
  <c r="EE467" i="1"/>
  <c r="EC467" i="1"/>
  <c r="EB467" i="1"/>
  <c r="DZ467" i="1" s="1"/>
  <c r="EA467" i="1"/>
  <c r="EM468" i="1"/>
  <c r="EK468" i="1"/>
  <c r="EL468" i="1" s="1"/>
  <c r="ED468" i="1" s="1"/>
  <c r="EJ468" i="1"/>
  <c r="EH468" i="1"/>
  <c r="EG468" i="1"/>
  <c r="EF468" i="1"/>
  <c r="EE468" i="1"/>
  <c r="EC468" i="1"/>
  <c r="EB468" i="1"/>
  <c r="DZ468" i="1" s="1"/>
  <c r="EI468" i="1" s="1"/>
  <c r="EA468" i="1"/>
  <c r="EM110" i="1"/>
  <c r="EH110" i="1"/>
  <c r="EC110" i="1"/>
  <c r="EA110" i="1"/>
  <c r="EM109" i="1"/>
  <c r="EH109" i="1"/>
  <c r="EC109" i="1"/>
  <c r="EA109" i="1"/>
  <c r="EM108" i="1"/>
  <c r="EH108" i="1"/>
  <c r="EE108" i="1"/>
  <c r="EC108" i="1"/>
  <c r="EA108" i="1"/>
  <c r="EM107" i="1"/>
  <c r="EH107" i="1"/>
  <c r="EC107" i="1"/>
  <c r="EA107" i="1"/>
  <c r="EM106" i="1"/>
  <c r="EH106" i="1"/>
  <c r="EC106" i="1"/>
  <c r="EA106" i="1"/>
  <c r="EM105" i="1"/>
  <c r="EH105" i="1"/>
  <c r="EE105" i="1"/>
  <c r="EC105" i="1"/>
  <c r="EA105" i="1"/>
  <c r="EM104" i="1"/>
  <c r="EH104" i="1"/>
  <c r="EF104" i="1"/>
  <c r="EE104" i="1"/>
  <c r="EC104" i="1"/>
  <c r="EA104" i="1"/>
  <c r="EM103" i="1"/>
  <c r="EH103" i="1"/>
  <c r="EE103" i="1"/>
  <c r="EC103" i="1"/>
  <c r="EA103" i="1"/>
  <c r="EM102" i="1"/>
  <c r="EH102" i="1"/>
  <c r="EE102" i="1"/>
  <c r="EC102" i="1"/>
  <c r="EA102" i="1"/>
  <c r="EM101" i="1"/>
  <c r="EH101" i="1"/>
  <c r="EG101" i="1"/>
  <c r="EK101" i="1" s="1"/>
  <c r="EL101" i="1" s="1"/>
  <c r="ED101" i="1" s="1"/>
  <c r="EF101" i="1"/>
  <c r="EE101" i="1"/>
  <c r="EC101" i="1"/>
  <c r="EA101" i="1"/>
  <c r="G101" i="1"/>
  <c r="EB101" i="1" s="1"/>
  <c r="DZ101" i="1" s="1"/>
  <c r="EM100" i="1"/>
  <c r="EH100" i="1"/>
  <c r="EC100" i="1"/>
  <c r="EA100" i="1"/>
  <c r="EM99" i="1"/>
  <c r="EH99" i="1"/>
  <c r="EE99" i="1"/>
  <c r="EC99" i="1"/>
  <c r="EA99" i="1"/>
  <c r="EM98" i="1"/>
  <c r="EH98" i="1"/>
  <c r="EF98" i="1"/>
  <c r="EE98" i="1"/>
  <c r="EC98" i="1"/>
  <c r="EA98" i="1"/>
  <c r="EM97" i="1"/>
  <c r="EH97" i="1"/>
  <c r="EE97" i="1"/>
  <c r="EC97" i="1"/>
  <c r="EA97" i="1"/>
  <c r="EM96" i="1"/>
  <c r="EI96" i="1"/>
  <c r="EH96" i="1"/>
  <c r="EG96" i="1"/>
  <c r="EK96" i="1" s="1"/>
  <c r="EL96" i="1" s="1"/>
  <c r="ED96" i="1" s="1"/>
  <c r="EF96" i="1"/>
  <c r="EE96" i="1"/>
  <c r="EC96" i="1"/>
  <c r="EB96" i="1"/>
  <c r="EA96" i="1"/>
  <c r="DZ96" i="1"/>
  <c r="EJ96" i="1" s="1"/>
  <c r="G96" i="1"/>
  <c r="EM95" i="1"/>
  <c r="EH95" i="1"/>
  <c r="EE95" i="1"/>
  <c r="EC95" i="1"/>
  <c r="EA95" i="1"/>
  <c r="EM94" i="1"/>
  <c r="EH94" i="1"/>
  <c r="EE94" i="1"/>
  <c r="EC94" i="1"/>
  <c r="EA94" i="1"/>
  <c r="EM93" i="1"/>
  <c r="EH93" i="1"/>
  <c r="EC93" i="1"/>
  <c r="EA93" i="1"/>
  <c r="EM92" i="1"/>
  <c r="EH92" i="1"/>
  <c r="EE92" i="1"/>
  <c r="EC92" i="1"/>
  <c r="EA92" i="1"/>
  <c r="EM91" i="1"/>
  <c r="EH91" i="1"/>
  <c r="EG91" i="1"/>
  <c r="EK91" i="1" s="1"/>
  <c r="EL91" i="1" s="1"/>
  <c r="ED91" i="1" s="1"/>
  <c r="EF91" i="1"/>
  <c r="EE91" i="1"/>
  <c r="EC91" i="1"/>
  <c r="EB91" i="1"/>
  <c r="DZ91" i="1" s="1"/>
  <c r="EA91" i="1"/>
  <c r="G91" i="1"/>
  <c r="EM90" i="1"/>
  <c r="EI90" i="1"/>
  <c r="EH90" i="1"/>
  <c r="EG90" i="1"/>
  <c r="EK90" i="1" s="1"/>
  <c r="EL90" i="1" s="1"/>
  <c r="ED90" i="1" s="1"/>
  <c r="EF90" i="1"/>
  <c r="EE90" i="1"/>
  <c r="EC90" i="1"/>
  <c r="EB90" i="1"/>
  <c r="EA90" i="1"/>
  <c r="DZ90" i="1"/>
  <c r="EJ90" i="1" s="1"/>
  <c r="G90" i="1"/>
  <c r="EM89" i="1"/>
  <c r="EH89" i="1"/>
  <c r="EC89" i="1"/>
  <c r="EA89" i="1"/>
  <c r="EM88" i="1"/>
  <c r="EH88" i="1"/>
  <c r="EC88" i="1"/>
  <c r="EA88" i="1"/>
  <c r="EM87" i="1"/>
  <c r="EH87" i="1"/>
  <c r="EE87" i="1"/>
  <c r="EC87" i="1"/>
  <c r="EA87" i="1"/>
  <c r="EM86" i="1"/>
  <c r="EH86" i="1"/>
  <c r="EE86" i="1"/>
  <c r="EC86" i="1"/>
  <c r="EA86" i="1"/>
  <c r="EM85" i="1"/>
  <c r="EH85" i="1"/>
  <c r="EE85" i="1"/>
  <c r="EC85" i="1"/>
  <c r="EA85" i="1"/>
  <c r="EM84" i="1"/>
  <c r="EH84" i="1"/>
  <c r="EE84" i="1"/>
  <c r="EC84" i="1"/>
  <c r="EA84" i="1"/>
  <c r="EM83" i="1"/>
  <c r="EH83" i="1"/>
  <c r="EC83" i="1"/>
  <c r="EA83" i="1"/>
  <c r="EM82" i="1"/>
  <c r="EH82" i="1"/>
  <c r="EC82" i="1"/>
  <c r="EA82" i="1"/>
  <c r="EM81" i="1"/>
  <c r="EH81" i="1"/>
  <c r="EE81" i="1"/>
  <c r="EC81" i="1"/>
  <c r="EA81" i="1"/>
  <c r="EM80" i="1"/>
  <c r="EH80" i="1"/>
  <c r="EC80" i="1"/>
  <c r="EA80" i="1"/>
  <c r="EM79" i="1"/>
  <c r="EH79" i="1"/>
  <c r="EF79" i="1"/>
  <c r="EE79" i="1"/>
  <c r="EC79" i="1"/>
  <c r="EA79" i="1"/>
  <c r="EM78" i="1"/>
  <c r="EH78" i="1"/>
  <c r="EE78" i="1"/>
  <c r="EC78" i="1"/>
  <c r="EA78" i="1"/>
  <c r="EM77" i="1"/>
  <c r="EH77" i="1"/>
  <c r="EF77" i="1"/>
  <c r="EE77" i="1"/>
  <c r="EA77" i="1"/>
  <c r="EM76" i="1"/>
  <c r="EH76" i="1"/>
  <c r="EF76" i="1"/>
  <c r="EE76" i="1"/>
  <c r="EC76" i="1"/>
  <c r="EA76" i="1"/>
  <c r="EM75" i="1"/>
  <c r="EH75" i="1"/>
  <c r="EE75" i="1"/>
  <c r="EA75" i="1"/>
  <c r="EM74" i="1"/>
  <c r="EH74" i="1"/>
  <c r="EF74" i="1"/>
  <c r="EE74" i="1"/>
  <c r="EC74" i="1"/>
  <c r="EA74" i="1"/>
  <c r="EM73" i="1"/>
  <c r="EH73" i="1"/>
  <c r="EG73" i="1"/>
  <c r="EK73" i="1" s="1"/>
  <c r="EL73" i="1" s="1"/>
  <c r="ED73" i="1" s="1"/>
  <c r="EF73" i="1"/>
  <c r="EE73" i="1"/>
  <c r="EC73" i="1"/>
  <c r="EB73" i="1"/>
  <c r="DZ73" i="1" s="1"/>
  <c r="EA73" i="1"/>
  <c r="G73" i="1"/>
  <c r="EM72" i="1"/>
  <c r="EI72" i="1"/>
  <c r="EH72" i="1"/>
  <c r="EG72" i="1"/>
  <c r="EK72" i="1" s="1"/>
  <c r="EL72" i="1" s="1"/>
  <c r="ED72" i="1" s="1"/>
  <c r="EF72" i="1"/>
  <c r="EE72" i="1"/>
  <c r="EC72" i="1"/>
  <c r="EB72" i="1"/>
  <c r="EA72" i="1"/>
  <c r="DZ72" i="1"/>
  <c r="EJ72" i="1" s="1"/>
  <c r="G72" i="1"/>
  <c r="EM71" i="1"/>
  <c r="EH71" i="1"/>
  <c r="EE71" i="1"/>
  <c r="EA71" i="1"/>
  <c r="EM70" i="1"/>
  <c r="EH70" i="1"/>
  <c r="EE70" i="1"/>
  <c r="EC70" i="1"/>
  <c r="EA70" i="1"/>
  <c r="EM69" i="1"/>
  <c r="EH69" i="1"/>
  <c r="EG69" i="1"/>
  <c r="EK69" i="1" s="1"/>
  <c r="EL69" i="1" s="1"/>
  <c r="ED69" i="1" s="1"/>
  <c r="EF69" i="1"/>
  <c r="EE69" i="1"/>
  <c r="EC69" i="1"/>
  <c r="EA69" i="1"/>
  <c r="G69" i="1"/>
  <c r="EB69" i="1" s="1"/>
  <c r="DZ69" i="1" s="1"/>
  <c r="EM68" i="1"/>
  <c r="EH68" i="1"/>
  <c r="EE68" i="1"/>
  <c r="EC68" i="1"/>
  <c r="EA68" i="1"/>
  <c r="EM67" i="1"/>
  <c r="EH67" i="1"/>
  <c r="EC67" i="1"/>
  <c r="EA67" i="1"/>
  <c r="EM66" i="1"/>
  <c r="EH66" i="1"/>
  <c r="EC66" i="1"/>
  <c r="EA66" i="1"/>
  <c r="EM65" i="1"/>
  <c r="EH65" i="1"/>
  <c r="EE65" i="1"/>
  <c r="EC65" i="1"/>
  <c r="EA65" i="1"/>
  <c r="EM64" i="1"/>
  <c r="EH64" i="1"/>
  <c r="EC64" i="1"/>
  <c r="EA64" i="1"/>
  <c r="EM63" i="1"/>
  <c r="EH63" i="1"/>
  <c r="EC63" i="1"/>
  <c r="EA63" i="1"/>
  <c r="EM62" i="1"/>
  <c r="EH62" i="1"/>
  <c r="EF62" i="1"/>
  <c r="EE62" i="1"/>
  <c r="EC62" i="1"/>
  <c r="EA62" i="1"/>
  <c r="EM61" i="1"/>
  <c r="EH61" i="1"/>
  <c r="EF61" i="1"/>
  <c r="EE61" i="1"/>
  <c r="EC61" i="1"/>
  <c r="EA61" i="1"/>
  <c r="EM60" i="1"/>
  <c r="EH60" i="1"/>
  <c r="EC60" i="1"/>
  <c r="EA60" i="1"/>
  <c r="EM59" i="1"/>
  <c r="EH59" i="1"/>
  <c r="EE59" i="1"/>
  <c r="EC59" i="1"/>
  <c r="EA59" i="1"/>
  <c r="EM58" i="1"/>
  <c r="EH58" i="1"/>
  <c r="EC58" i="1"/>
  <c r="EA58" i="1"/>
  <c r="EM57" i="1"/>
  <c r="EH57" i="1"/>
  <c r="EF57" i="1"/>
  <c r="EE57" i="1"/>
  <c r="EC57" i="1"/>
  <c r="EA57" i="1"/>
  <c r="EM56" i="1"/>
  <c r="EH56" i="1"/>
  <c r="EG56" i="1"/>
  <c r="EK56" i="1" s="1"/>
  <c r="EL56" i="1" s="1"/>
  <c r="ED56" i="1" s="1"/>
  <c r="EF56" i="1"/>
  <c r="EE56" i="1"/>
  <c r="EC56" i="1"/>
  <c r="EA56" i="1"/>
  <c r="G56" i="1"/>
  <c r="EB56" i="1" s="1"/>
  <c r="DZ56" i="1" s="1"/>
  <c r="EM55" i="1"/>
  <c r="EH55" i="1"/>
  <c r="EC55" i="1"/>
  <c r="EA55" i="1"/>
  <c r="EM54" i="1"/>
  <c r="EH54" i="1"/>
  <c r="EE54" i="1"/>
  <c r="EC54" i="1"/>
  <c r="EA54" i="1"/>
  <c r="EM53" i="1"/>
  <c r="EH53" i="1"/>
  <c r="EG53" i="1"/>
  <c r="EK53" i="1" s="1"/>
  <c r="EL53" i="1" s="1"/>
  <c r="ED53" i="1" s="1"/>
  <c r="EF53" i="1"/>
  <c r="EE53" i="1"/>
  <c r="EC53" i="1"/>
  <c r="EB53" i="1"/>
  <c r="DZ53" i="1" s="1"/>
  <c r="EA53" i="1"/>
  <c r="G53" i="1"/>
  <c r="EM52" i="1"/>
  <c r="EH52" i="1"/>
  <c r="EG52" i="1"/>
  <c r="EK52" i="1" s="1"/>
  <c r="EL52" i="1" s="1"/>
  <c r="ED52" i="1" s="1"/>
  <c r="EF52" i="1"/>
  <c r="EE52" i="1"/>
  <c r="EC52" i="1"/>
  <c r="EA52" i="1"/>
  <c r="G52" i="1"/>
  <c r="EB52" i="1" s="1"/>
  <c r="DZ52" i="1" s="1"/>
  <c r="EM51" i="1"/>
  <c r="EH51" i="1"/>
  <c r="EE51" i="1"/>
  <c r="EC51" i="1"/>
  <c r="EA51" i="1"/>
  <c r="EM50" i="1"/>
  <c r="EH50" i="1"/>
  <c r="EC50" i="1"/>
  <c r="EA50" i="1"/>
  <c r="EM49" i="1"/>
  <c r="EH49" i="1"/>
  <c r="EE49" i="1"/>
  <c r="EC49" i="1"/>
  <c r="EA49" i="1"/>
  <c r="EM48" i="1"/>
  <c r="EH48" i="1"/>
  <c r="EC48" i="1"/>
  <c r="EA48" i="1"/>
  <c r="EI467" i="1" l="1"/>
  <c r="EJ467" i="1"/>
  <c r="EI73" i="1"/>
  <c r="EJ73" i="1"/>
  <c r="EJ69" i="1"/>
  <c r="EI69" i="1"/>
  <c r="EJ101" i="1"/>
  <c r="EI101" i="1"/>
  <c r="EI91" i="1"/>
  <c r="EJ91" i="1"/>
  <c r="EJ56" i="1"/>
  <c r="EI56" i="1"/>
  <c r="EI53" i="1"/>
  <c r="EJ53" i="1"/>
  <c r="EI52" i="1"/>
  <c r="EJ52" i="1"/>
  <c r="AB362" i="84"/>
  <c r="AC362" i="84" l="1"/>
  <c r="S5" i="84"/>
  <c r="S6" i="84" s="1"/>
  <c r="S7" i="84" s="1"/>
  <c r="S8" i="84" s="1"/>
  <c r="S9" i="84" s="1"/>
  <c r="S10" i="84" s="1"/>
  <c r="S11" i="84" s="1"/>
  <c r="S12" i="84" s="1"/>
  <c r="S13" i="84" s="1"/>
  <c r="S14" i="84" s="1"/>
  <c r="S15" i="84" s="1"/>
  <c r="S16" i="84" s="1"/>
  <c r="S17" i="84" s="1"/>
  <c r="S18" i="84" s="1"/>
  <c r="S19" i="84" s="1"/>
  <c r="S20" i="84" s="1"/>
  <c r="S21" i="84" s="1"/>
  <c r="S22" i="84" s="1"/>
  <c r="S23" i="84" s="1"/>
  <c r="S24" i="84" s="1"/>
  <c r="S25" i="84" s="1"/>
  <c r="S26" i="84" s="1"/>
  <c r="S27" i="84" s="1"/>
  <c r="S28" i="84" s="1"/>
  <c r="S29" i="84" s="1"/>
  <c r="S30" i="84" s="1"/>
  <c r="S31" i="84" s="1"/>
  <c r="S32" i="84" s="1"/>
  <c r="S33" i="84" s="1"/>
  <c r="S34" i="84" s="1"/>
  <c r="S35" i="84" s="1"/>
  <c r="S36" i="84" s="1"/>
  <c r="S37" i="84" s="1"/>
  <c r="S38" i="84" s="1"/>
  <c r="S39" i="84" s="1"/>
  <c r="S40" i="84" s="1"/>
  <c r="S41" i="84" s="1"/>
  <c r="S42" i="84" s="1"/>
  <c r="S43" i="84" s="1"/>
  <c r="S44" i="84" s="1"/>
  <c r="S45" i="84" s="1"/>
  <c r="S46" i="84" s="1"/>
  <c r="S47" i="84" s="1"/>
  <c r="S48" i="84" s="1"/>
  <c r="S49" i="84" s="1"/>
  <c r="S50" i="84" s="1"/>
  <c r="S51" i="84" s="1"/>
  <c r="S52" i="84" s="1"/>
  <c r="S53" i="84" s="1"/>
  <c r="S54" i="84" s="1"/>
  <c r="S55" i="84" s="1"/>
  <c r="S56" i="84" s="1"/>
  <c r="S57" i="84" s="1"/>
  <c r="S58" i="84" s="1"/>
  <c r="S59" i="84" s="1"/>
  <c r="S60" i="84" s="1"/>
  <c r="S61" i="84" s="1"/>
  <c r="S62" i="84" s="1"/>
  <c r="S63" i="84" s="1"/>
  <c r="S64" i="84" s="1"/>
  <c r="S65" i="84" s="1"/>
  <c r="S66" i="84" s="1"/>
  <c r="S67" i="84" s="1"/>
  <c r="S68" i="84" s="1"/>
  <c r="S69" i="84" s="1"/>
  <c r="S70" i="84" s="1"/>
  <c r="S71" i="84" s="1"/>
  <c r="S72" i="84" s="1"/>
  <c r="S73" i="84" s="1"/>
  <c r="S74" i="84" s="1"/>
  <c r="S75" i="84" s="1"/>
  <c r="S76" i="84" s="1"/>
  <c r="S77" i="84" s="1"/>
  <c r="S78" i="84" s="1"/>
  <c r="S79" i="84" s="1"/>
  <c r="S80" i="84" s="1"/>
  <c r="S81" i="84" s="1"/>
  <c r="S82" i="84" s="1"/>
  <c r="S83" i="84" s="1"/>
  <c r="S84" i="84" s="1"/>
  <c r="S85" i="84" s="1"/>
  <c r="S86" i="84" s="1"/>
  <c r="S87" i="84" s="1"/>
  <c r="S88" i="84" s="1"/>
  <c r="S89" i="84" s="1"/>
  <c r="S90" i="84" s="1"/>
  <c r="S91" i="84" s="1"/>
  <c r="S92" i="84" s="1"/>
  <c r="S93" i="84" s="1"/>
  <c r="S94" i="84" s="1"/>
  <c r="S95" i="84" s="1"/>
  <c r="S96" i="84" s="1"/>
  <c r="S97" i="84" s="1"/>
  <c r="S98" i="84" s="1"/>
  <c r="S99" i="84" s="1"/>
  <c r="S100" i="84" s="1"/>
  <c r="S101" i="84" s="1"/>
  <c r="S102" i="84" s="1"/>
  <c r="S103" i="84" s="1"/>
  <c r="S104" i="84" s="1"/>
  <c r="S105" i="84" s="1"/>
  <c r="S106" i="84" s="1"/>
  <c r="S107" i="84" s="1"/>
  <c r="S108" i="84" s="1"/>
  <c r="S109" i="84" s="1"/>
  <c r="S110" i="84" s="1"/>
  <c r="S111" i="84" s="1"/>
  <c r="S112" i="84" s="1"/>
  <c r="S113" i="84" s="1"/>
  <c r="S114" i="84" s="1"/>
  <c r="S115" i="84" s="1"/>
  <c r="S116" i="84" s="1"/>
  <c r="S117" i="84" s="1"/>
  <c r="S118" i="84" s="1"/>
  <c r="S119" i="84" s="1"/>
  <c r="S120" i="84" s="1"/>
  <c r="S121" i="84" s="1"/>
  <c r="S122" i="84" s="1"/>
  <c r="S123" i="84" s="1"/>
  <c r="S124" i="84" s="1"/>
  <c r="S125" i="84" s="1"/>
  <c r="S126" i="84" s="1"/>
  <c r="S127" i="84" s="1"/>
  <c r="S128" i="84" s="1"/>
  <c r="S129" i="84" s="1"/>
  <c r="S130" i="84" s="1"/>
  <c r="S131" i="84" s="1"/>
  <c r="S132" i="84" s="1"/>
  <c r="S133" i="84" s="1"/>
  <c r="S134" i="84" s="1"/>
  <c r="S135" i="84" s="1"/>
  <c r="S136" i="84" s="1"/>
  <c r="S137" i="84" s="1"/>
  <c r="S138" i="84" s="1"/>
  <c r="S139" i="84" s="1"/>
  <c r="S140" i="84" s="1"/>
  <c r="S141" i="84" s="1"/>
  <c r="S142" i="84" s="1"/>
  <c r="S143" i="84" s="1"/>
  <c r="S144" i="84" s="1"/>
  <c r="S145" i="84" s="1"/>
  <c r="S146" i="84" s="1"/>
  <c r="S147" i="84" s="1"/>
  <c r="S148" i="84" s="1"/>
  <c r="S149" i="84" s="1"/>
  <c r="S150" i="84" s="1"/>
  <c r="S151" i="84" s="1"/>
  <c r="S152" i="84" s="1"/>
  <c r="S153" i="84" s="1"/>
  <c r="S154" i="84" s="1"/>
  <c r="S155" i="84" s="1"/>
  <c r="S156" i="84" s="1"/>
  <c r="S157" i="84" s="1"/>
  <c r="S158" i="84" s="1"/>
  <c r="S159" i="84" s="1"/>
  <c r="S160" i="84" s="1"/>
  <c r="S161" i="84" s="1"/>
  <c r="S162" i="84" s="1"/>
  <c r="S163" i="84" s="1"/>
  <c r="S164" i="84" s="1"/>
  <c r="S165" i="84" s="1"/>
  <c r="S166" i="84" s="1"/>
  <c r="S167" i="84" s="1"/>
  <c r="S168" i="84" s="1"/>
  <c r="S169" i="84" s="1"/>
  <c r="S170" i="84" s="1"/>
  <c r="S171" i="84" s="1"/>
  <c r="S172" i="84" s="1"/>
  <c r="S173" i="84" s="1"/>
  <c r="S174" i="84" s="1"/>
  <c r="S175" i="84" s="1"/>
  <c r="S176" i="84" s="1"/>
  <c r="S177" i="84" s="1"/>
  <c r="S178" i="84" s="1"/>
  <c r="S179" i="84" s="1"/>
  <c r="S180" i="84" s="1"/>
  <c r="S181" i="84" s="1"/>
  <c r="S182" i="84" s="1"/>
  <c r="S183" i="84" s="1"/>
  <c r="S184" i="84" s="1"/>
  <c r="S185" i="84" s="1"/>
  <c r="S186" i="84" s="1"/>
  <c r="S187" i="84" s="1"/>
  <c r="S188" i="84" s="1"/>
  <c r="S189" i="84" s="1"/>
  <c r="S190" i="84" s="1"/>
  <c r="S191" i="84" s="1"/>
  <c r="S192" i="84" s="1"/>
  <c r="S193" i="84" s="1"/>
  <c r="S194" i="84" s="1"/>
  <c r="S195" i="84" s="1"/>
  <c r="S196" i="84" s="1"/>
  <c r="S197" i="84" s="1"/>
  <c r="S198" i="84" s="1"/>
  <c r="S199" i="84" s="1"/>
  <c r="S200" i="84" s="1"/>
  <c r="S201" i="84" s="1"/>
  <c r="S202" i="84" s="1"/>
  <c r="S203" i="84" s="1"/>
  <c r="S204" i="84" s="1"/>
  <c r="S205" i="84" s="1"/>
  <c r="S206" i="84" s="1"/>
  <c r="S207" i="84" s="1"/>
  <c r="S208" i="84" s="1"/>
  <c r="S209" i="84" s="1"/>
  <c r="S210" i="84" s="1"/>
  <c r="S211" i="84" s="1"/>
  <c r="S212" i="84" s="1"/>
  <c r="S213" i="84" s="1"/>
  <c r="S214" i="84" s="1"/>
  <c r="S215" i="84" s="1"/>
  <c r="S216" i="84" s="1"/>
  <c r="S217" i="84" s="1"/>
  <c r="S218" i="84" s="1"/>
  <c r="S219" i="84" s="1"/>
  <c r="S220" i="84" s="1"/>
  <c r="S221" i="84" s="1"/>
  <c r="S222" i="84" s="1"/>
  <c r="S223" i="84" s="1"/>
  <c r="S224" i="84" s="1"/>
  <c r="S225" i="84" s="1"/>
  <c r="S226" i="84" s="1"/>
  <c r="S227" i="84" s="1"/>
  <c r="S228" i="84" s="1"/>
  <c r="S229" i="84" s="1"/>
  <c r="S230" i="84" s="1"/>
  <c r="S231" i="84" s="1"/>
  <c r="S232" i="84" s="1"/>
  <c r="S233" i="84" s="1"/>
  <c r="S234" i="84" s="1"/>
  <c r="S235" i="84" s="1"/>
  <c r="S236" i="84" s="1"/>
  <c r="S237" i="84" s="1"/>
  <c r="S238" i="84" s="1"/>
  <c r="S239" i="84" s="1"/>
  <c r="S240" i="84" s="1"/>
  <c r="S241" i="84" s="1"/>
  <c r="S242" i="84" s="1"/>
  <c r="S243" i="84" s="1"/>
  <c r="S244" i="84" s="1"/>
  <c r="S245" i="84" s="1"/>
  <c r="S246" i="84" s="1"/>
  <c r="S247" i="84" s="1"/>
  <c r="S248" i="84" s="1"/>
  <c r="S249" i="84" s="1"/>
  <c r="S250" i="84" s="1"/>
  <c r="S251" i="84" s="1"/>
  <c r="S252" i="84" s="1"/>
  <c r="S253" i="84" s="1"/>
  <c r="S254" i="84" s="1"/>
  <c r="S255" i="84" s="1"/>
  <c r="S256" i="84" s="1"/>
  <c r="S257" i="84" s="1"/>
  <c r="S258" i="84" s="1"/>
  <c r="S259" i="84" s="1"/>
  <c r="S260" i="84" s="1"/>
  <c r="S261" i="84" s="1"/>
  <c r="S262" i="84" s="1"/>
  <c r="S263" i="84" s="1"/>
  <c r="S264" i="84" s="1"/>
  <c r="S265" i="84" s="1"/>
  <c r="S266" i="84" s="1"/>
  <c r="S267" i="84" s="1"/>
  <c r="S268" i="84" s="1"/>
  <c r="S269" i="84" s="1"/>
  <c r="S270" i="84" s="1"/>
  <c r="S271" i="84" s="1"/>
  <c r="S272" i="84" s="1"/>
  <c r="S273" i="84" s="1"/>
  <c r="S274" i="84" s="1"/>
  <c r="S275" i="84" s="1"/>
  <c r="S276" i="84" s="1"/>
  <c r="S277" i="84" s="1"/>
  <c r="S278" i="84" s="1"/>
  <c r="S279" i="84" s="1"/>
  <c r="S280" i="84" s="1"/>
  <c r="S281" i="84" s="1"/>
  <c r="S282" i="84" s="1"/>
  <c r="S283" i="84" s="1"/>
  <c r="S284" i="84" s="1"/>
  <c r="S285" i="84" s="1"/>
  <c r="S286" i="84" s="1"/>
  <c r="S287" i="84" s="1"/>
  <c r="S288" i="84" s="1"/>
  <c r="S289" i="84" s="1"/>
  <c r="S290" i="84" s="1"/>
  <c r="S291" i="84" s="1"/>
  <c r="S292" i="84" s="1"/>
  <c r="S293" i="84" s="1"/>
  <c r="S294" i="84" s="1"/>
  <c r="S295" i="84" s="1"/>
  <c r="S296" i="84" s="1"/>
  <c r="S297" i="84" s="1"/>
  <c r="S298" i="84" s="1"/>
  <c r="S299" i="84" s="1"/>
  <c r="S300" i="84" s="1"/>
  <c r="S301" i="84" s="1"/>
  <c r="S302" i="84" s="1"/>
  <c r="S303" i="84" s="1"/>
  <c r="S304" i="84" s="1"/>
  <c r="S305" i="84" s="1"/>
  <c r="S306" i="84" s="1"/>
  <c r="S307" i="84" s="1"/>
  <c r="S308" i="84" s="1"/>
  <c r="S309" i="84" s="1"/>
  <c r="S310" i="84" s="1"/>
  <c r="S311" i="84" s="1"/>
  <c r="S312" i="84" s="1"/>
  <c r="S313" i="84" s="1"/>
  <c r="S314" i="84" s="1"/>
  <c r="S315" i="84" s="1"/>
  <c r="S316" i="84" s="1"/>
  <c r="S317" i="84" s="1"/>
  <c r="S318" i="84" s="1"/>
  <c r="S319" i="84" s="1"/>
  <c r="S320" i="84" s="1"/>
  <c r="S321" i="84" s="1"/>
  <c r="S322" i="84" s="1"/>
  <c r="S323" i="84" s="1"/>
  <c r="S324" i="84" s="1"/>
  <c r="S325" i="84" s="1"/>
  <c r="S326" i="84" s="1"/>
  <c r="S327" i="84" s="1"/>
  <c r="S328" i="84" s="1"/>
  <c r="S329" i="84" s="1"/>
  <c r="S330" i="84" s="1"/>
  <c r="S331" i="84" s="1"/>
  <c r="S332" i="84" s="1"/>
  <c r="S333" i="84" s="1"/>
  <c r="S334" i="84" s="1"/>
  <c r="S335" i="84" s="1"/>
  <c r="S336" i="84" s="1"/>
  <c r="S337" i="84" s="1"/>
  <c r="S338" i="84" s="1"/>
  <c r="S339" i="84" s="1"/>
  <c r="S340" i="84" s="1"/>
  <c r="S341" i="84" s="1"/>
  <c r="S342" i="84" s="1"/>
  <c r="S343" i="84" s="1"/>
  <c r="S344" i="84" s="1"/>
  <c r="S345" i="84" s="1"/>
  <c r="S346" i="84" s="1"/>
  <c r="S347" i="84" s="1"/>
  <c r="S348" i="84" s="1"/>
  <c r="S349" i="84" s="1"/>
  <c r="S350" i="84" s="1"/>
  <c r="S351" i="84" s="1"/>
  <c r="S352" i="84" s="1"/>
  <c r="S353" i="84" s="1"/>
  <c r="S354" i="84" s="1"/>
  <c r="S355" i="84" s="1"/>
  <c r="S356" i="84" s="1"/>
  <c r="S357" i="84" s="1"/>
  <c r="S358" i="84" s="1"/>
  <c r="S359" i="84" s="1"/>
  <c r="S360" i="84" s="1"/>
  <c r="S361" i="84" s="1"/>
  <c r="S362" i="84" s="1"/>
  <c r="S363" i="84" s="1"/>
  <c r="S364" i="84" s="1"/>
  <c r="S365" i="84" s="1"/>
  <c r="S366" i="84" s="1"/>
  <c r="S367" i="84" s="1"/>
  <c r="S368" i="84" s="1"/>
  <c r="S369" i="84" s="1"/>
  <c r="S370" i="84" s="1"/>
  <c r="S371" i="84" s="1"/>
  <c r="S372" i="84" s="1"/>
  <c r="S373" i="84" s="1"/>
  <c r="S374" i="84" s="1"/>
  <c r="S375" i="84" s="1"/>
  <c r="S376" i="84" s="1"/>
  <c r="S377" i="84" s="1"/>
  <c r="S378" i="84" s="1"/>
  <c r="S379" i="84" s="1"/>
  <c r="S380" i="84" s="1"/>
  <c r="S381" i="84" s="1"/>
  <c r="S382" i="84" s="1"/>
  <c r="S383" i="84" s="1"/>
  <c r="S384" i="84" s="1"/>
  <c r="S385" i="84" s="1"/>
  <c r="S386" i="84" s="1"/>
  <c r="S387" i="84" s="1"/>
  <c r="S388" i="84" s="1"/>
  <c r="S389" i="84" s="1"/>
  <c r="S390" i="84" s="1"/>
  <c r="S391" i="84" s="1"/>
  <c r="S392" i="84" s="1"/>
  <c r="S393" i="84" s="1"/>
  <c r="S394" i="84" s="1"/>
  <c r="S395" i="84" s="1"/>
  <c r="S396" i="84" s="1"/>
  <c r="S397" i="84" s="1"/>
  <c r="S398" i="84" s="1"/>
  <c r="S399" i="84" s="1"/>
  <c r="S400" i="84" s="1"/>
  <c r="S401" i="84" s="1"/>
  <c r="S402" i="84" s="1"/>
  <c r="S403" i="84" s="1"/>
  <c r="S404" i="84" s="1"/>
  <c r="S405" i="84" s="1"/>
  <c r="S406" i="84" s="1"/>
  <c r="S407" i="84" s="1"/>
  <c r="S408" i="84" s="1"/>
  <c r="S409" i="84" s="1"/>
  <c r="S410" i="84" s="1"/>
  <c r="S411" i="84" s="1"/>
  <c r="S412" i="84" s="1"/>
  <c r="S413" i="84" s="1"/>
  <c r="S414" i="84" s="1"/>
  <c r="S415" i="84" s="1"/>
  <c r="S416" i="84" s="1"/>
  <c r="S417" i="84" s="1"/>
  <c r="S418" i="84" s="1"/>
  <c r="S419" i="84" s="1"/>
  <c r="S420" i="84" s="1"/>
  <c r="S421" i="84" s="1"/>
  <c r="S422" i="84" s="1"/>
  <c r="S423" i="84" s="1"/>
  <c r="S424" i="84" s="1"/>
  <c r="S425" i="84" s="1"/>
  <c r="S426" i="84" s="1"/>
  <c r="S427" i="84" s="1"/>
  <c r="S428" i="84" s="1"/>
  <c r="S429" i="84" s="1"/>
  <c r="S430" i="84" s="1"/>
  <c r="S431" i="84" s="1"/>
  <c r="S432" i="84" s="1"/>
  <c r="S433" i="84" s="1"/>
  <c r="S434" i="84" s="1"/>
  <c r="S435" i="84" s="1"/>
  <c r="S436" i="84" s="1"/>
  <c r="S437" i="84" s="1"/>
  <c r="S438" i="84" s="1"/>
  <c r="S439" i="84" s="1"/>
  <c r="S440" i="84" s="1"/>
  <c r="S441" i="84" s="1"/>
  <c r="S442" i="84" s="1"/>
  <c r="S443" i="84" s="1"/>
  <c r="S444" i="84" s="1"/>
  <c r="S445" i="84" s="1"/>
  <c r="S446" i="84" s="1"/>
  <c r="S447" i="84" s="1"/>
  <c r="S448" i="84" s="1"/>
  <c r="S449" i="84" s="1"/>
  <c r="S450" i="84" s="1"/>
  <c r="S451" i="84" s="1"/>
  <c r="S452" i="84" s="1"/>
  <c r="S453" i="84" s="1"/>
  <c r="S454" i="84" s="1"/>
  <c r="S455" i="84" s="1"/>
  <c r="S456" i="84" s="1"/>
  <c r="S457" i="84" s="1"/>
  <c r="S458" i="84" s="1"/>
  <c r="S459" i="84" s="1"/>
  <c r="S460" i="84" s="1"/>
  <c r="S461" i="84" s="1"/>
  <c r="S462" i="84" s="1"/>
  <c r="S463" i="84" s="1"/>
  <c r="S464" i="84" s="1"/>
  <c r="S465" i="84" s="1"/>
  <c r="S466" i="84" s="1"/>
  <c r="S467" i="84" s="1"/>
  <c r="S468" i="84" s="1"/>
  <c r="S4" i="84"/>
  <c r="C11" i="102" l="1"/>
  <c r="C10" i="102"/>
  <c r="C9" i="102"/>
  <c r="C8" i="102"/>
  <c r="G11" i="102"/>
  <c r="D11" i="102" s="1"/>
  <c r="G43" i="58"/>
  <c r="D43" i="58" s="1"/>
  <c r="G42" i="58"/>
  <c r="D42" i="58" s="1"/>
  <c r="G41" i="58"/>
  <c r="D41" i="58" s="1"/>
  <c r="G40" i="58"/>
  <c r="D40" i="58" s="1"/>
  <c r="G39" i="58"/>
  <c r="D39" i="58" s="1"/>
  <c r="G38" i="58"/>
  <c r="D38" i="58" s="1"/>
  <c r="G37" i="58"/>
  <c r="D37" i="58" s="1"/>
  <c r="G36" i="58"/>
  <c r="D36" i="58" s="1"/>
  <c r="G35" i="58"/>
  <c r="D35" i="58" s="1"/>
  <c r="G34" i="58"/>
  <c r="D34" i="58" s="1"/>
  <c r="G33" i="58"/>
  <c r="D33" i="58" s="1"/>
  <c r="G32" i="58"/>
  <c r="D32" i="58" s="1"/>
  <c r="G31" i="58"/>
  <c r="D31" i="58" s="1"/>
  <c r="G30" i="58"/>
  <c r="D30" i="58" s="1"/>
  <c r="G29" i="58"/>
  <c r="D29" i="58" s="1"/>
  <c r="G28" i="58"/>
  <c r="D28" i="58" s="1"/>
  <c r="G27" i="58"/>
  <c r="D27" i="58" s="1"/>
  <c r="G26" i="58"/>
  <c r="D26" i="58" s="1"/>
  <c r="G25" i="58"/>
  <c r="D25" i="58" s="1"/>
  <c r="G24" i="58"/>
  <c r="D24" i="58" s="1"/>
  <c r="G23" i="58"/>
  <c r="D23" i="58" s="1"/>
  <c r="G22" i="58"/>
  <c r="D22" i="58" s="1"/>
  <c r="G21" i="58"/>
  <c r="D21" i="58" s="1"/>
  <c r="G20" i="58"/>
  <c r="D20" i="58" s="1"/>
  <c r="G19" i="58"/>
  <c r="D19" i="58" s="1"/>
  <c r="G18" i="58"/>
  <c r="D18" i="58" s="1"/>
  <c r="G17" i="58"/>
  <c r="D17" i="58" s="1"/>
  <c r="G16" i="58"/>
  <c r="D16" i="58" s="1"/>
  <c r="G15" i="58"/>
  <c r="D15" i="58" s="1"/>
  <c r="G14" i="58"/>
  <c r="D14" i="58" s="1"/>
  <c r="G13" i="58"/>
  <c r="D13" i="58" s="1"/>
  <c r="G48" i="50"/>
  <c r="D48" i="50" s="1"/>
  <c r="G47" i="50"/>
  <c r="D47" i="50" s="1"/>
  <c r="G46" i="50"/>
  <c r="D46" i="50" s="1"/>
  <c r="G45" i="50"/>
  <c r="D45" i="50" s="1"/>
  <c r="G44" i="50"/>
  <c r="D44" i="50" s="1"/>
  <c r="G43" i="50"/>
  <c r="D43" i="50" s="1"/>
  <c r="G42" i="50"/>
  <c r="D42" i="50" s="1"/>
  <c r="G41" i="50"/>
  <c r="D41" i="50" s="1"/>
  <c r="G40" i="50"/>
  <c r="D40" i="50" s="1"/>
  <c r="G39" i="50"/>
  <c r="D39" i="50" s="1"/>
  <c r="G38" i="50"/>
  <c r="D38" i="50" s="1"/>
  <c r="G37" i="50"/>
  <c r="D37" i="50" s="1"/>
  <c r="G36" i="50"/>
  <c r="D36" i="50" s="1"/>
  <c r="G35" i="50"/>
  <c r="D35" i="50" s="1"/>
  <c r="G34" i="50"/>
  <c r="D34" i="50" s="1"/>
  <c r="G33" i="50"/>
  <c r="D33" i="50" s="1"/>
  <c r="G32" i="50"/>
  <c r="D32" i="50" s="1"/>
  <c r="G31" i="50"/>
  <c r="D31" i="50" s="1"/>
  <c r="G30" i="50"/>
  <c r="D30" i="50" s="1"/>
  <c r="G29" i="50"/>
  <c r="D29" i="50" s="1"/>
  <c r="G28" i="50"/>
  <c r="D28" i="50" s="1"/>
  <c r="G27" i="50"/>
  <c r="D27" i="50" s="1"/>
  <c r="G26" i="50"/>
  <c r="D26" i="50" s="1"/>
  <c r="G25" i="50"/>
  <c r="D25" i="50" s="1"/>
  <c r="G24" i="50"/>
  <c r="D24" i="50" s="1"/>
  <c r="G23" i="50"/>
  <c r="D23" i="50" s="1"/>
  <c r="G22" i="50"/>
  <c r="D22" i="50" s="1"/>
  <c r="G21" i="50"/>
  <c r="D21" i="50" s="1"/>
  <c r="G20" i="50"/>
  <c r="D20" i="50" s="1"/>
  <c r="G19" i="50"/>
  <c r="D19" i="50" s="1"/>
  <c r="G18" i="50"/>
  <c r="D18" i="50" s="1"/>
  <c r="G17" i="50"/>
  <c r="D17" i="50" s="1"/>
  <c r="G16" i="50"/>
  <c r="D16" i="50" s="1"/>
  <c r="G15" i="50"/>
  <c r="D15" i="50" s="1"/>
  <c r="G14" i="50"/>
  <c r="D14" i="50" s="1"/>
  <c r="G13" i="50"/>
  <c r="D13" i="50" s="1"/>
  <c r="G12" i="50"/>
  <c r="D12" i="50" s="1"/>
  <c r="EM470" i="1"/>
  <c r="EH470" i="1"/>
  <c r="EG470" i="1"/>
  <c r="EK470" i="1" s="1"/>
  <c r="EL470" i="1" s="1"/>
  <c r="ED470" i="1" s="1"/>
  <c r="EF470" i="1"/>
  <c r="EE470" i="1"/>
  <c r="EC470" i="1"/>
  <c r="EB470" i="1"/>
  <c r="DZ470" i="1" s="1"/>
  <c r="EJ470" i="1" s="1"/>
  <c r="EA470" i="1"/>
  <c r="G31" i="25"/>
  <c r="D31" i="25" s="1"/>
  <c r="G30" i="25"/>
  <c r="D30" i="25" s="1"/>
  <c r="G29" i="25"/>
  <c r="D29" i="25" s="1"/>
  <c r="G28" i="25"/>
  <c r="D28" i="25" s="1"/>
  <c r="G27" i="25"/>
  <c r="D27" i="25" s="1"/>
  <c r="G26" i="25"/>
  <c r="D26" i="25" s="1"/>
  <c r="G25" i="25"/>
  <c r="D25" i="25" s="1"/>
  <c r="G24" i="25"/>
  <c r="D24" i="25" s="1"/>
  <c r="G23" i="25"/>
  <c r="D23" i="25" s="1"/>
  <c r="G22" i="25"/>
  <c r="D22" i="25" s="1"/>
  <c r="G21" i="25"/>
  <c r="D21" i="25" s="1"/>
  <c r="G20" i="25"/>
  <c r="D20" i="25" s="1"/>
  <c r="G19" i="25"/>
  <c r="D19" i="25"/>
  <c r="G18" i="25"/>
  <c r="D18" i="25" s="1"/>
  <c r="G17" i="25"/>
  <c r="D17" i="25" s="1"/>
  <c r="G16" i="25"/>
  <c r="D16" i="25" s="1"/>
  <c r="G30" i="87"/>
  <c r="D30" i="87" s="1"/>
  <c r="G31" i="87"/>
  <c r="D31" i="87" s="1"/>
  <c r="G29" i="87"/>
  <c r="D29" i="87" s="1"/>
  <c r="G36" i="87"/>
  <c r="D36" i="87" s="1"/>
  <c r="G26" i="87"/>
  <c r="D26" i="87" s="1"/>
  <c r="G22" i="87"/>
  <c r="D22" i="87" s="1"/>
  <c r="G28" i="87"/>
  <c r="D28" i="87" s="1"/>
  <c r="G25" i="87"/>
  <c r="D25" i="87" s="1"/>
  <c r="G35" i="87"/>
  <c r="D35" i="87" s="1"/>
  <c r="G20" i="87"/>
  <c r="D20" i="87" s="1"/>
  <c r="G27" i="87"/>
  <c r="D27" i="87" s="1"/>
  <c r="G23" i="87"/>
  <c r="D23" i="87" s="1"/>
  <c r="G34" i="87"/>
  <c r="D34" i="87" s="1"/>
  <c r="G24" i="87"/>
  <c r="D24" i="87" s="1"/>
  <c r="C30" i="87"/>
  <c r="C31" i="87"/>
  <c r="C29" i="87"/>
  <c r="C36" i="87"/>
  <c r="C26" i="87"/>
  <c r="C22" i="87"/>
  <c r="C28" i="87"/>
  <c r="C25" i="87"/>
  <c r="C35" i="87"/>
  <c r="G15" i="99"/>
  <c r="D15" i="99" s="1"/>
  <c r="G12" i="99"/>
  <c r="D12" i="99" s="1"/>
  <c r="G14" i="99"/>
  <c r="D14" i="99" s="1"/>
  <c r="G17" i="99"/>
  <c r="D17" i="99" s="1"/>
  <c r="G8" i="99"/>
  <c r="D8" i="99" s="1"/>
  <c r="G9" i="99"/>
  <c r="D9" i="99" s="1"/>
  <c r="G33" i="87"/>
  <c r="D33" i="87" s="1"/>
  <c r="G32" i="87"/>
  <c r="D32" i="87" s="1"/>
  <c r="G21" i="87"/>
  <c r="D21" i="87" s="1"/>
  <c r="G19" i="87"/>
  <c r="D19" i="87" s="1"/>
  <c r="G18" i="87"/>
  <c r="D18" i="87" s="1"/>
  <c r="G16" i="87"/>
  <c r="D16" i="87" s="1"/>
  <c r="G17" i="87"/>
  <c r="D17" i="87" s="1"/>
  <c r="G15" i="87"/>
  <c r="D15" i="87" s="1"/>
  <c r="G13" i="87"/>
  <c r="D13" i="87" s="1"/>
  <c r="G14" i="87"/>
  <c r="D14" i="87" s="1"/>
  <c r="G12" i="87"/>
  <c r="D12" i="87" s="1"/>
  <c r="C33" i="87"/>
  <c r="C32" i="87"/>
  <c r="EI470" i="1" l="1"/>
  <c r="C15" i="88"/>
  <c r="G23" i="79"/>
  <c r="D23" i="79" s="1"/>
  <c r="G22" i="79"/>
  <c r="D22" i="79" s="1"/>
  <c r="G21" i="79"/>
  <c r="D21" i="79" s="1"/>
  <c r="G20" i="79"/>
  <c r="D20" i="79" s="1"/>
  <c r="G19" i="79"/>
  <c r="D19" i="79" s="1"/>
  <c r="G18" i="79"/>
  <c r="D18" i="79" s="1"/>
  <c r="G17" i="79"/>
  <c r="D17" i="79" s="1"/>
  <c r="G12" i="78"/>
  <c r="D12" i="78" s="1"/>
  <c r="G16" i="78"/>
  <c r="D16" i="78" s="1"/>
  <c r="G14" i="78"/>
  <c r="D14" i="78" s="1"/>
  <c r="G22" i="78"/>
  <c r="D22" i="78" s="1"/>
  <c r="G13" i="78"/>
  <c r="D13" i="78" s="1"/>
  <c r="G8" i="78"/>
  <c r="D8" i="78" s="1"/>
  <c r="G21" i="78"/>
  <c r="D21" i="78" s="1"/>
  <c r="G20" i="78"/>
  <c r="D20" i="78" s="1"/>
  <c r="G10" i="78"/>
  <c r="D10" i="78" s="1"/>
  <c r="G11" i="78"/>
  <c r="D11" i="78" s="1"/>
  <c r="G19" i="78"/>
  <c r="D19" i="78" s="1"/>
  <c r="G18" i="78"/>
  <c r="D18" i="78" s="1"/>
  <c r="G14" i="79"/>
  <c r="D14" i="79" s="1"/>
  <c r="G16" i="79"/>
  <c r="D16" i="79" s="1"/>
  <c r="G12" i="79"/>
  <c r="D12" i="79" s="1"/>
  <c r="G13" i="79"/>
  <c r="D13" i="79" s="1"/>
  <c r="G8" i="79"/>
  <c r="D8" i="79" s="1"/>
  <c r="G11" i="79"/>
  <c r="D11" i="79" s="1"/>
  <c r="G10" i="79"/>
  <c r="D10" i="79" s="1"/>
  <c r="G15" i="79"/>
  <c r="D15" i="79" s="1"/>
  <c r="G9" i="79"/>
  <c r="D9" i="79" s="1"/>
  <c r="E23" i="79" l="1"/>
  <c r="CR280" i="1" s="1"/>
  <c r="E20" i="79"/>
  <c r="CR144" i="1" s="1"/>
  <c r="E17" i="79"/>
  <c r="CR225" i="1" s="1"/>
  <c r="E21" i="79"/>
  <c r="CR336" i="1" s="1"/>
  <c r="E18" i="79"/>
  <c r="CR285" i="1" s="1"/>
  <c r="E22" i="79"/>
  <c r="CR441" i="1" s="1"/>
  <c r="E19" i="79"/>
  <c r="CR46" i="1" s="1"/>
  <c r="G27" i="80"/>
  <c r="D27" i="80" s="1"/>
  <c r="G29" i="80"/>
  <c r="D29" i="80" s="1"/>
  <c r="G31" i="80"/>
  <c r="D31" i="80" s="1"/>
  <c r="G23" i="80"/>
  <c r="D23" i="80" s="1"/>
  <c r="G30" i="80"/>
  <c r="D30" i="80" s="1"/>
  <c r="G25" i="80"/>
  <c r="D25" i="80" s="1"/>
  <c r="G28" i="80"/>
  <c r="D28" i="80" s="1"/>
  <c r="G26" i="80"/>
  <c r="D26" i="80" s="1"/>
  <c r="G21" i="80"/>
  <c r="D21" i="80" s="1"/>
  <c r="G15" i="80"/>
  <c r="D15" i="80" s="1"/>
  <c r="G35" i="80"/>
  <c r="D35" i="80" s="1"/>
  <c r="G20" i="80"/>
  <c r="D20" i="80" s="1"/>
  <c r="G34" i="80"/>
  <c r="D34" i="80" s="1"/>
  <c r="G24" i="80"/>
  <c r="D24" i="80" s="1"/>
  <c r="G17" i="80"/>
  <c r="D17" i="80" s="1"/>
  <c r="G33" i="80"/>
  <c r="D33" i="80" s="1"/>
  <c r="G12" i="80"/>
  <c r="D12" i="80" s="1"/>
  <c r="G18" i="80"/>
  <c r="D18" i="80" s="1"/>
  <c r="G22" i="80"/>
  <c r="D22" i="80" s="1"/>
  <c r="G13" i="80"/>
  <c r="D13" i="80" s="1"/>
  <c r="G16" i="80"/>
  <c r="D16" i="80" s="1"/>
  <c r="G8" i="80"/>
  <c r="D8" i="80" s="1"/>
  <c r="G32" i="80"/>
  <c r="D32" i="80" s="1"/>
  <c r="G10" i="80"/>
  <c r="D10" i="80" s="1"/>
  <c r="C27" i="80"/>
  <c r="C29" i="80"/>
  <c r="C31" i="80"/>
  <c r="C23" i="80"/>
  <c r="G23" i="81"/>
  <c r="D23" i="81" s="1"/>
  <c r="G22" i="81"/>
  <c r="D22" i="81" s="1"/>
  <c r="G21" i="81"/>
  <c r="D21" i="81" s="1"/>
  <c r="G20" i="81"/>
  <c r="D20" i="81" s="1"/>
  <c r="G19" i="81"/>
  <c r="D19" i="81" s="1"/>
  <c r="G18" i="81"/>
  <c r="D18" i="81" s="1"/>
  <c r="G17" i="81"/>
  <c r="D17" i="81" s="1"/>
  <c r="G11" i="81"/>
  <c r="D11" i="81" s="1"/>
  <c r="G15" i="81"/>
  <c r="D15" i="81" s="1"/>
  <c r="G16" i="81"/>
  <c r="D16" i="81" s="1"/>
  <c r="G12" i="81"/>
  <c r="D12" i="81" s="1"/>
  <c r="G14" i="81"/>
  <c r="D14" i="81" s="1"/>
  <c r="C23" i="81"/>
  <c r="EK336" i="1" l="1"/>
  <c r="EL336" i="1" s="1"/>
  <c r="ED336" i="1" s="1"/>
  <c r="EG336" i="1"/>
  <c r="G336" i="1"/>
  <c r="EB336" i="1" s="1"/>
  <c r="DZ336" i="1" s="1"/>
  <c r="G19" i="67"/>
  <c r="D19" i="67" s="1"/>
  <c r="G15" i="67"/>
  <c r="D15" i="67" s="1"/>
  <c r="G34" i="67"/>
  <c r="D34" i="67" s="1"/>
  <c r="G12" i="67"/>
  <c r="D12" i="67" s="1"/>
  <c r="G13" i="67"/>
  <c r="D13" i="67" s="1"/>
  <c r="G8" i="67"/>
  <c r="D8" i="67" s="1"/>
  <c r="G10" i="67"/>
  <c r="D10" i="67" s="1"/>
  <c r="G33" i="67"/>
  <c r="D33" i="67" s="1"/>
  <c r="G32" i="67"/>
  <c r="D32" i="67" s="1"/>
  <c r="C19" i="67"/>
  <c r="C15" i="67"/>
  <c r="C34" i="67"/>
  <c r="C12" i="67"/>
  <c r="C13" i="67"/>
  <c r="C8" i="67"/>
  <c r="C10" i="67"/>
  <c r="C33" i="67"/>
  <c r="C32" i="67"/>
  <c r="C9" i="67"/>
  <c r="C31" i="67"/>
  <c r="C25" i="67"/>
  <c r="C20" i="67"/>
  <c r="C26" i="67"/>
  <c r="C24" i="67"/>
  <c r="C22" i="67"/>
  <c r="C14" i="67"/>
  <c r="C23" i="67"/>
  <c r="C30" i="67"/>
  <c r="C29" i="67"/>
  <c r="C18" i="67"/>
  <c r="C21" i="67"/>
  <c r="C28" i="67"/>
  <c r="C16" i="67"/>
  <c r="C27" i="67"/>
  <c r="C11" i="67"/>
  <c r="C17" i="67"/>
  <c r="EJ336" i="1" l="1"/>
  <c r="EI336" i="1"/>
  <c r="G23" i="70"/>
  <c r="D23" i="70" s="1"/>
  <c r="C23" i="70"/>
  <c r="C22" i="70"/>
  <c r="C21" i="70"/>
  <c r="C20" i="70"/>
  <c r="C17" i="70"/>
  <c r="C19" i="70"/>
  <c r="C18" i="70"/>
  <c r="C15" i="70"/>
  <c r="C11" i="70"/>
  <c r="C16" i="70"/>
  <c r="C14" i="70"/>
  <c r="C13" i="70"/>
  <c r="C12" i="70"/>
  <c r="C10" i="70"/>
  <c r="C8" i="70"/>
  <c r="G10" i="68" l="1"/>
  <c r="D10" i="68" s="1"/>
  <c r="C10" i="68"/>
  <c r="C9" i="68"/>
  <c r="C8" i="68"/>
  <c r="C20" i="86" l="1"/>
  <c r="C19" i="86"/>
  <c r="C17" i="86"/>
  <c r="C18" i="86"/>
  <c r="C16" i="86"/>
  <c r="C15" i="86"/>
  <c r="C14" i="86"/>
  <c r="C13" i="86"/>
  <c r="C12" i="86"/>
  <c r="C11" i="86"/>
  <c r="C10" i="86"/>
  <c r="C9" i="86"/>
  <c r="C8" i="86"/>
  <c r="G17" i="86"/>
  <c r="D17" i="86" s="1"/>
  <c r="G15" i="86"/>
  <c r="D15" i="86" s="1"/>
  <c r="G16" i="86"/>
  <c r="D16" i="86" s="1"/>
  <c r="G10" i="86"/>
  <c r="D10" i="86" s="1"/>
  <c r="G11" i="86"/>
  <c r="D11" i="86" s="1"/>
  <c r="G12" i="86"/>
  <c r="D12" i="86" s="1"/>
  <c r="G18" i="86"/>
  <c r="D18" i="86" s="1"/>
  <c r="G20" i="86"/>
  <c r="D20" i="86" s="1"/>
  <c r="G13" i="86"/>
  <c r="D13" i="86" s="1"/>
  <c r="G25" i="89"/>
  <c r="D25" i="89" s="1"/>
  <c r="G18" i="89"/>
  <c r="D18" i="89" s="1"/>
  <c r="G16" i="89"/>
  <c r="D16" i="89" s="1"/>
  <c r="G17" i="89"/>
  <c r="D17" i="89" s="1"/>
  <c r="G12" i="89"/>
  <c r="D12" i="89" s="1"/>
  <c r="G13" i="89"/>
  <c r="D13" i="89" s="1"/>
  <c r="G11" i="89"/>
  <c r="D11" i="89" s="1"/>
  <c r="G24" i="89"/>
  <c r="D24" i="89" s="1"/>
  <c r="G20" i="89"/>
  <c r="D20" i="89" s="1"/>
  <c r="G9" i="89"/>
  <c r="D9" i="89" s="1"/>
  <c r="G10" i="89"/>
  <c r="D10" i="89" s="1"/>
  <c r="G14" i="89"/>
  <c r="D14" i="89" s="1"/>
  <c r="G8" i="89"/>
  <c r="D8" i="89" s="1"/>
  <c r="G19" i="89"/>
  <c r="D19" i="89" s="1"/>
  <c r="G11" i="66"/>
  <c r="D11" i="66" s="1"/>
  <c r="E16" i="66"/>
  <c r="E15" i="66"/>
  <c r="E14" i="66"/>
  <c r="E13" i="66"/>
  <c r="F16" i="66"/>
  <c r="F15" i="66"/>
  <c r="F14" i="66"/>
  <c r="F13" i="66"/>
  <c r="C11" i="66" l="1"/>
  <c r="C9" i="66"/>
  <c r="C10" i="66"/>
  <c r="C8" i="66"/>
  <c r="E23" i="89"/>
  <c r="CK182" i="1" s="1"/>
  <c r="E8" i="89"/>
  <c r="CK428" i="1" s="1"/>
  <c r="E12" i="89"/>
  <c r="CK379" i="1" s="1"/>
  <c r="E16" i="89"/>
  <c r="CK447" i="1" s="1"/>
  <c r="E20" i="89"/>
  <c r="CK95" i="1" s="1"/>
  <c r="E24" i="89"/>
  <c r="CK268" i="1" s="1"/>
  <c r="E9" i="89"/>
  <c r="CK7" i="1" s="1"/>
  <c r="E13" i="89"/>
  <c r="CK113" i="1" s="1"/>
  <c r="E17" i="89"/>
  <c r="CK138" i="1" s="1"/>
  <c r="E21" i="89"/>
  <c r="CK79" i="1" s="1"/>
  <c r="E25" i="89"/>
  <c r="CK443" i="1" s="1"/>
  <c r="E10" i="89"/>
  <c r="CK281" i="1" s="1"/>
  <c r="E14" i="89"/>
  <c r="CK395" i="1" s="1"/>
  <c r="E18" i="89"/>
  <c r="CK456" i="1" s="1"/>
  <c r="E22" i="89"/>
  <c r="CK342" i="1" s="1"/>
  <c r="F5" i="89"/>
  <c r="E11" i="89"/>
  <c r="CK389" i="1" s="1"/>
  <c r="E15" i="89"/>
  <c r="CK382" i="1" s="1"/>
  <c r="E19" i="89"/>
  <c r="CK61" i="1" s="1"/>
  <c r="C9" i="95"/>
  <c r="C8" i="95"/>
  <c r="G342" i="1" l="1"/>
  <c r="EB342" i="1" s="1"/>
  <c r="DZ342" i="1" s="1"/>
  <c r="EG342" i="1"/>
  <c r="EK342" i="1"/>
  <c r="EL342" i="1" s="1"/>
  <c r="ED342" i="1" s="1"/>
  <c r="EK281" i="1"/>
  <c r="EL281" i="1" s="1"/>
  <c r="ED281" i="1" s="1"/>
  <c r="EG281" i="1"/>
  <c r="G281" i="1"/>
  <c r="EB281" i="1" s="1"/>
  <c r="DZ281" i="1" s="1"/>
  <c r="EK443" i="1"/>
  <c r="EL443" i="1" s="1"/>
  <c r="ED443" i="1" s="1"/>
  <c r="EG443" i="1"/>
  <c r="G443" i="1"/>
  <c r="EB443" i="1" s="1"/>
  <c r="DZ443" i="1" s="1"/>
  <c r="EK268" i="1"/>
  <c r="EL268" i="1" s="1"/>
  <c r="ED268" i="1" s="1"/>
  <c r="EG268" i="1"/>
  <c r="G268" i="1"/>
  <c r="EB268" i="1" s="1"/>
  <c r="DZ268" i="1" s="1"/>
  <c r="G182" i="1"/>
  <c r="EB182" i="1" s="1"/>
  <c r="DZ182" i="1" s="1"/>
  <c r="EK182" i="1"/>
  <c r="EL182" i="1" s="1"/>
  <c r="ED182" i="1" s="1"/>
  <c r="EG182" i="1"/>
  <c r="EK79" i="1"/>
  <c r="EL79" i="1" s="1"/>
  <c r="ED79" i="1" s="1"/>
  <c r="EG79" i="1"/>
  <c r="G79" i="1"/>
  <c r="EB79" i="1" s="1"/>
  <c r="DZ79" i="1" s="1"/>
  <c r="EK61" i="1"/>
  <c r="EL61" i="1" s="1"/>
  <c r="ED61" i="1" s="1"/>
  <c r="EG61" i="1"/>
  <c r="G61" i="1"/>
  <c r="EB61" i="1" s="1"/>
  <c r="DZ61" i="1" s="1"/>
  <c r="G12" i="94"/>
  <c r="D12" i="94" s="1"/>
  <c r="EI268" i="1" l="1"/>
  <c r="EJ268" i="1"/>
  <c r="EI182" i="1"/>
  <c r="EJ182" i="1"/>
  <c r="EJ281" i="1"/>
  <c r="EI281" i="1"/>
  <c r="EI443" i="1"/>
  <c r="EJ443" i="1"/>
  <c r="EJ342" i="1"/>
  <c r="EI342" i="1"/>
  <c r="EI79" i="1"/>
  <c r="EJ79" i="1"/>
  <c r="EJ61" i="1"/>
  <c r="EI61" i="1"/>
  <c r="G6" i="1"/>
  <c r="EM17" i="1"/>
  <c r="EH17" i="1"/>
  <c r="EF17" i="1"/>
  <c r="EE17" i="1"/>
  <c r="EC17" i="1"/>
  <c r="EA17" i="1"/>
  <c r="G82" i="55"/>
  <c r="D82" i="55" s="1"/>
  <c r="G81" i="55"/>
  <c r="D81" i="55" s="1"/>
  <c r="G80" i="55"/>
  <c r="D80" i="55" s="1"/>
  <c r="G70" i="55"/>
  <c r="D70" i="55" s="1"/>
  <c r="G79" i="55"/>
  <c r="D79" i="55" s="1"/>
  <c r="G72" i="55"/>
  <c r="D72" i="55" s="1"/>
  <c r="G74" i="55"/>
  <c r="D74" i="55" s="1"/>
  <c r="G63" i="55"/>
  <c r="D63" i="55" s="1"/>
  <c r="G67" i="55"/>
  <c r="D67" i="55" s="1"/>
  <c r="G54" i="55"/>
  <c r="D54" i="55" s="1"/>
  <c r="G78" i="55"/>
  <c r="D78" i="55" s="1"/>
  <c r="G77" i="55"/>
  <c r="D77" i="55" s="1"/>
  <c r="G55" i="55"/>
  <c r="D55" i="55" s="1"/>
  <c r="G25" i="55"/>
  <c r="D25" i="55" s="1"/>
  <c r="G42" i="55"/>
  <c r="D42" i="55" s="1"/>
  <c r="G65" i="55"/>
  <c r="D65" i="55" s="1"/>
  <c r="G31" i="55"/>
  <c r="D31" i="55" s="1"/>
  <c r="G53" i="55"/>
  <c r="D53" i="55" s="1"/>
  <c r="G16" i="55"/>
  <c r="D16" i="55" s="1"/>
  <c r="G62" i="55"/>
  <c r="D62" i="55" s="1"/>
  <c r="G49" i="55"/>
  <c r="D49" i="55" s="1"/>
  <c r="G57" i="55"/>
  <c r="D57" i="55" s="1"/>
  <c r="G68" i="55"/>
  <c r="D68" i="55" s="1"/>
  <c r="G61" i="55"/>
  <c r="D61" i="55" s="1"/>
  <c r="G50" i="55"/>
  <c r="D50" i="55" s="1"/>
  <c r="G35" i="55"/>
  <c r="D35" i="55" s="1"/>
  <c r="G48" i="55"/>
  <c r="D48" i="55" s="1"/>
  <c r="G44" i="55"/>
  <c r="D44" i="55" s="1"/>
  <c r="G40" i="55"/>
  <c r="D40" i="55" s="1"/>
  <c r="G39" i="55"/>
  <c r="D39" i="55" s="1"/>
  <c r="G28" i="55"/>
  <c r="D28" i="55" s="1"/>
  <c r="G18" i="55"/>
  <c r="D18" i="55" s="1"/>
  <c r="G27" i="55"/>
  <c r="D27" i="55" s="1"/>
  <c r="G22" i="55"/>
  <c r="D22" i="55" s="1"/>
  <c r="G24" i="55"/>
  <c r="D24" i="55" s="1"/>
  <c r="G17" i="55"/>
  <c r="D17" i="55" s="1"/>
  <c r="G20" i="55"/>
  <c r="D20" i="55" s="1"/>
  <c r="G19" i="55"/>
  <c r="D19" i="55" s="1"/>
  <c r="G15" i="55"/>
  <c r="D15" i="55" s="1"/>
  <c r="G9" i="55"/>
  <c r="D9" i="55" s="1"/>
  <c r="G58" i="55"/>
  <c r="D58" i="55" s="1"/>
  <c r="G73" i="55"/>
  <c r="D73" i="55" s="1"/>
  <c r="G69" i="55"/>
  <c r="D69" i="55" s="1"/>
  <c r="G46" i="55"/>
  <c r="D46" i="55" s="1"/>
  <c r="G76" i="55"/>
  <c r="D76" i="55" s="1"/>
  <c r="G75" i="55"/>
  <c r="D75" i="55" s="1"/>
  <c r="G71" i="55"/>
  <c r="D71" i="55" s="1"/>
  <c r="G59" i="55"/>
  <c r="D59" i="55" s="1"/>
  <c r="G60" i="55"/>
  <c r="D60" i="55" s="1"/>
  <c r="G51" i="55"/>
  <c r="D51" i="55" s="1"/>
  <c r="G64" i="55"/>
  <c r="D64" i="55" s="1"/>
  <c r="G43" i="55"/>
  <c r="D43" i="55" s="1"/>
  <c r="G36" i="55"/>
  <c r="D36" i="55" s="1"/>
  <c r="G45" i="55"/>
  <c r="D45" i="55" s="1"/>
  <c r="G66" i="55"/>
  <c r="D66" i="55" s="1"/>
  <c r="G47" i="55"/>
  <c r="D47" i="55" s="1"/>
  <c r="G52" i="55"/>
  <c r="D52" i="55" s="1"/>
  <c r="G38" i="55"/>
  <c r="D38" i="55" s="1"/>
  <c r="G56" i="55"/>
  <c r="D56" i="55" s="1"/>
  <c r="G30" i="55"/>
  <c r="D30" i="55" s="1"/>
  <c r="G37" i="55"/>
  <c r="D37" i="55" s="1"/>
  <c r="G41" i="55"/>
  <c r="D41" i="55" s="1"/>
  <c r="G34" i="55"/>
  <c r="D34" i="55" s="1"/>
  <c r="G26" i="55"/>
  <c r="D26" i="55" s="1"/>
  <c r="G29" i="55"/>
  <c r="D29" i="55" s="1"/>
  <c r="G32" i="55"/>
  <c r="D32" i="55" s="1"/>
  <c r="G33" i="55"/>
  <c r="D33" i="55" s="1"/>
  <c r="G21" i="55"/>
  <c r="D21" i="55" s="1"/>
  <c r="G23" i="55"/>
  <c r="D23" i="55" s="1"/>
  <c r="G11" i="55"/>
  <c r="D11" i="55" s="1"/>
  <c r="G14" i="55"/>
  <c r="D14" i="55" s="1"/>
  <c r="G10" i="55"/>
  <c r="D10" i="55" s="1"/>
  <c r="G12" i="55"/>
  <c r="D12" i="55" s="1"/>
  <c r="G13" i="55"/>
  <c r="D13" i="55" s="1"/>
  <c r="G8" i="55"/>
  <c r="D8" i="55" s="1"/>
  <c r="C69" i="45"/>
  <c r="G81" i="64"/>
  <c r="D81" i="64" s="1"/>
  <c r="G80" i="64"/>
  <c r="D80" i="64" s="1"/>
  <c r="G50" i="64"/>
  <c r="D50" i="64" s="1"/>
  <c r="G43" i="64"/>
  <c r="D43" i="64" s="1"/>
  <c r="G44" i="64"/>
  <c r="D44" i="64" s="1"/>
  <c r="G40" i="64"/>
  <c r="D40" i="64" s="1"/>
  <c r="G52" i="64"/>
  <c r="D52" i="64" s="1"/>
  <c r="G36" i="64"/>
  <c r="D36" i="64" s="1"/>
  <c r="G41" i="64"/>
  <c r="D41" i="64" s="1"/>
  <c r="G31" i="64"/>
  <c r="D31" i="64" s="1"/>
  <c r="G42" i="64"/>
  <c r="D42" i="64" s="1"/>
  <c r="G25" i="64"/>
  <c r="D25" i="64" s="1"/>
  <c r="G38" i="64"/>
  <c r="D38" i="64" s="1"/>
  <c r="G24" i="64"/>
  <c r="D24" i="64" s="1"/>
  <c r="G79" i="64"/>
  <c r="D79" i="64" s="1"/>
  <c r="G35" i="64"/>
  <c r="D35" i="64" s="1"/>
  <c r="G21" i="64"/>
  <c r="D21" i="64" s="1"/>
  <c r="G19" i="64"/>
  <c r="D19" i="64" s="1"/>
  <c r="G16" i="64"/>
  <c r="D16" i="64" s="1"/>
  <c r="G78" i="64"/>
  <c r="D78" i="64" s="1"/>
  <c r="G17" i="64"/>
  <c r="D17" i="64" s="1"/>
  <c r="G9" i="64"/>
  <c r="D9" i="64" s="1"/>
  <c r="G77" i="64"/>
  <c r="D77" i="64" s="1"/>
  <c r="G76" i="64"/>
  <c r="D76" i="64" s="1"/>
  <c r="G75" i="64"/>
  <c r="D75" i="64" s="1"/>
  <c r="G74" i="64"/>
  <c r="D74" i="64" s="1"/>
  <c r="G58" i="64"/>
  <c r="D58" i="64" s="1"/>
  <c r="G60" i="64"/>
  <c r="D60" i="64" s="1"/>
  <c r="G57" i="64"/>
  <c r="D57" i="64" s="1"/>
  <c r="G73" i="64"/>
  <c r="D73" i="64" s="1"/>
  <c r="G53" i="64"/>
  <c r="D53" i="64" s="1"/>
  <c r="G72" i="64"/>
  <c r="D72" i="64" s="1"/>
  <c r="G71" i="64"/>
  <c r="D71" i="64" s="1"/>
  <c r="G70" i="64"/>
  <c r="D70" i="64" s="1"/>
  <c r="G47" i="64"/>
  <c r="D47" i="64" s="1"/>
  <c r="G48" i="64"/>
  <c r="D48" i="64" s="1"/>
  <c r="G69" i="64"/>
  <c r="D69" i="64" s="1"/>
  <c r="G55" i="64"/>
  <c r="D55" i="64" s="1"/>
  <c r="G22" i="64"/>
  <c r="D22" i="64" s="1"/>
  <c r="G68" i="64"/>
  <c r="D68" i="64" s="1"/>
  <c r="G28" i="64"/>
  <c r="D28" i="64" s="1"/>
  <c r="G46" i="64"/>
  <c r="D46" i="64" s="1"/>
  <c r="G15" i="64"/>
  <c r="D15" i="64" s="1"/>
  <c r="G61" i="64"/>
  <c r="D61" i="64" s="1"/>
  <c r="G59" i="64"/>
  <c r="D59" i="64" s="1"/>
  <c r="G51" i="64"/>
  <c r="D51" i="64" s="1"/>
  <c r="G67" i="64"/>
  <c r="D67" i="64" s="1"/>
  <c r="G66" i="64"/>
  <c r="D66" i="64" s="1"/>
  <c r="G32" i="64"/>
  <c r="D32" i="64" s="1"/>
  <c r="G65" i="64"/>
  <c r="D65" i="64" s="1"/>
  <c r="G54" i="64"/>
  <c r="D54" i="64" s="1"/>
  <c r="G45" i="64"/>
  <c r="D45" i="64" s="1"/>
  <c r="G56" i="64"/>
  <c r="D56" i="64" s="1"/>
  <c r="G39" i="64"/>
  <c r="D39" i="64" s="1"/>
  <c r="E81" i="55" l="1"/>
  <c r="CE213" i="1" s="1"/>
  <c r="E72" i="55"/>
  <c r="CE124" i="1" s="1"/>
  <c r="E54" i="55"/>
  <c r="CE119" i="1" s="1"/>
  <c r="E25" i="55"/>
  <c r="CE375" i="1" s="1"/>
  <c r="E53" i="55"/>
  <c r="CE422" i="1" s="1"/>
  <c r="E57" i="55"/>
  <c r="CE246" i="1" s="1"/>
  <c r="E35" i="55"/>
  <c r="CE384" i="1" s="1"/>
  <c r="E39" i="55"/>
  <c r="CE243" i="1" s="1"/>
  <c r="E22" i="55"/>
  <c r="CE326" i="1" s="1"/>
  <c r="E19" i="55"/>
  <c r="CE445" i="1" s="1"/>
  <c r="E73" i="55"/>
  <c r="CE288" i="1" s="1"/>
  <c r="E75" i="55"/>
  <c r="CE26" i="1" s="1"/>
  <c r="E51" i="55"/>
  <c r="CE200" i="1" s="1"/>
  <c r="E45" i="55"/>
  <c r="CE460" i="1" s="1"/>
  <c r="E38" i="55"/>
  <c r="CE355" i="1" s="1"/>
  <c r="E41" i="55"/>
  <c r="CE40" i="1" s="1"/>
  <c r="E32" i="55"/>
  <c r="CE309" i="1" s="1"/>
  <c r="E11" i="55"/>
  <c r="CE465" i="1" s="1"/>
  <c r="E13" i="55"/>
  <c r="CE109" i="1" s="1"/>
  <c r="E70" i="55"/>
  <c r="CE156" i="1" s="1"/>
  <c r="E63" i="55"/>
  <c r="CE390" i="1" s="1"/>
  <c r="E77" i="55"/>
  <c r="CE303" i="1" s="1"/>
  <c r="E62" i="55"/>
  <c r="CE401" i="1" s="1"/>
  <c r="E44" i="55"/>
  <c r="CE184" i="1" s="1"/>
  <c r="E9" i="55"/>
  <c r="CE127" i="1" s="1"/>
  <c r="E46" i="55"/>
  <c r="CE415" i="1" s="1"/>
  <c r="E59" i="55"/>
  <c r="CE228" i="1" s="1"/>
  <c r="E43" i="55"/>
  <c r="CE24" i="1" s="1"/>
  <c r="E47" i="55"/>
  <c r="CE234" i="1" s="1"/>
  <c r="E26" i="55"/>
  <c r="CE84" i="1" s="1"/>
  <c r="E21" i="55"/>
  <c r="CE249" i="1" s="1"/>
  <c r="E10" i="55"/>
  <c r="CE308" i="1" s="1"/>
  <c r="E80" i="55"/>
  <c r="CE17" i="1" s="1"/>
  <c r="EK17" i="1" s="1"/>
  <c r="EL17" i="1" s="1"/>
  <c r="E74" i="55"/>
  <c r="CE76" i="1" s="1"/>
  <c r="E42" i="55"/>
  <c r="CE219" i="1" s="1"/>
  <c r="E48" i="55"/>
  <c r="CE168" i="1" s="1"/>
  <c r="E15" i="55"/>
  <c r="CE407" i="1" s="1"/>
  <c r="E66" i="55"/>
  <c r="CE64" i="1" s="1"/>
  <c r="E34" i="55"/>
  <c r="CE284" i="1" s="1"/>
  <c r="E14" i="55"/>
  <c r="CE255" i="1" s="1"/>
  <c r="E8" i="55"/>
  <c r="CE100" i="1" s="1"/>
  <c r="E82" i="55"/>
  <c r="CE62" i="1" s="1"/>
  <c r="E79" i="55"/>
  <c r="CE458" i="1" s="1"/>
  <c r="E67" i="55"/>
  <c r="CE49" i="1" s="1"/>
  <c r="E55" i="55"/>
  <c r="CE344" i="1" s="1"/>
  <c r="E31" i="55"/>
  <c r="CE148" i="1" s="1"/>
  <c r="E49" i="55"/>
  <c r="CE351" i="1" s="1"/>
  <c r="E50" i="55"/>
  <c r="CE305" i="1" s="1"/>
  <c r="E40" i="55"/>
  <c r="CE354" i="1" s="1"/>
  <c r="E27" i="55"/>
  <c r="CE41" i="1" s="1"/>
  <c r="E20" i="55"/>
  <c r="CE257" i="1" s="1"/>
  <c r="E58" i="55"/>
  <c r="CE304" i="1" s="1"/>
  <c r="E76" i="55"/>
  <c r="CE29" i="1" s="1"/>
  <c r="E60" i="55"/>
  <c r="CE287" i="1" s="1"/>
  <c r="E36" i="55"/>
  <c r="CE27" i="1" s="1"/>
  <c r="E52" i="55"/>
  <c r="CE291" i="1" s="1"/>
  <c r="E37" i="55"/>
  <c r="CE330" i="1" s="1"/>
  <c r="E29" i="55"/>
  <c r="CE116" i="1" s="1"/>
  <c r="E23" i="55"/>
  <c r="E12" i="55"/>
  <c r="CE358" i="1" s="1"/>
  <c r="E65" i="55"/>
  <c r="CE111" i="1" s="1"/>
  <c r="E61" i="55"/>
  <c r="CE4" i="1" s="1"/>
  <c r="E18" i="55"/>
  <c r="CE25" i="1" s="1"/>
  <c r="E17" i="55"/>
  <c r="CE301" i="1" s="1"/>
  <c r="E30" i="55"/>
  <c r="CE329" i="1" s="1"/>
  <c r="E78" i="55"/>
  <c r="CE371" i="1" s="1"/>
  <c r="E16" i="55"/>
  <c r="CE215" i="1" s="1"/>
  <c r="E68" i="55"/>
  <c r="CE260" i="1" s="1"/>
  <c r="E28" i="55"/>
  <c r="CE245" i="1" s="1"/>
  <c r="E24" i="55"/>
  <c r="CE158" i="1" s="1"/>
  <c r="E69" i="55"/>
  <c r="CE68" i="1" s="1"/>
  <c r="E71" i="55"/>
  <c r="CE286" i="1" s="1"/>
  <c r="E64" i="55"/>
  <c r="CE115" i="1" s="1"/>
  <c r="E56" i="55"/>
  <c r="CE28" i="1" s="1"/>
  <c r="E33" i="55"/>
  <c r="C26" i="38"/>
  <c r="C27" i="38"/>
  <c r="C29" i="38"/>
  <c r="C24" i="38"/>
  <c r="C25" i="38"/>
  <c r="C18" i="38"/>
  <c r="C23" i="38"/>
  <c r="C22" i="38"/>
  <c r="C20" i="38"/>
  <c r="C19" i="38"/>
  <c r="C17" i="38"/>
  <c r="C21" i="38"/>
  <c r="C28" i="38"/>
  <c r="C13" i="38"/>
  <c r="C16" i="38"/>
  <c r="C14" i="38"/>
  <c r="C15" i="38"/>
  <c r="C11" i="38"/>
  <c r="C12" i="38"/>
  <c r="C10" i="38"/>
  <c r="C9" i="38"/>
  <c r="C8" i="38"/>
  <c r="G26" i="38"/>
  <c r="D26" i="38" s="1"/>
  <c r="G27" i="38"/>
  <c r="D27" i="38" s="1"/>
  <c r="G29" i="38"/>
  <c r="D29" i="38" s="1"/>
  <c r="G24" i="38"/>
  <c r="D24" i="38" s="1"/>
  <c r="G25" i="38"/>
  <c r="D25" i="38" s="1"/>
  <c r="G18" i="38"/>
  <c r="D18" i="38" s="1"/>
  <c r="G23" i="38"/>
  <c r="D23" i="38" s="1"/>
  <c r="G22" i="38"/>
  <c r="D22" i="38" s="1"/>
  <c r="CE270" i="1" l="1"/>
  <c r="CE269" i="1"/>
  <c r="G291" i="1"/>
  <c r="EB291" i="1" s="1"/>
  <c r="DZ291" i="1" s="1"/>
  <c r="EK291" i="1"/>
  <c r="EL291" i="1" s="1"/>
  <c r="ED291" i="1" s="1"/>
  <c r="EG291" i="1"/>
  <c r="CE110" i="1"/>
  <c r="EK76" i="1"/>
  <c r="EL76" i="1" s="1"/>
  <c r="ED76" i="1" s="1"/>
  <c r="EG76" i="1"/>
  <c r="G76" i="1"/>
  <c r="EB76" i="1" s="1"/>
  <c r="DZ76" i="1" s="1"/>
  <c r="G17" i="1"/>
  <c r="EB17" i="1" s="1"/>
  <c r="DZ17" i="1" s="1"/>
  <c r="EG17" i="1"/>
  <c r="ED17" i="1" s="1"/>
  <c r="F15" i="57"/>
  <c r="F14" i="57"/>
  <c r="F13" i="57"/>
  <c r="E15" i="57"/>
  <c r="C10" i="57" s="1"/>
  <c r="E14" i="57"/>
  <c r="E13" i="57"/>
  <c r="C8" i="57" s="1"/>
  <c r="EJ291" i="1" l="1"/>
  <c r="EI291" i="1"/>
  <c r="EI76" i="1"/>
  <c r="EJ76" i="1"/>
  <c r="C9" i="57"/>
  <c r="EI17" i="1"/>
  <c r="EJ17" i="1"/>
  <c r="C16" i="54"/>
  <c r="C12" i="54"/>
  <c r="C11" i="54"/>
  <c r="C20" i="54"/>
  <c r="C18" i="54"/>
  <c r="C10" i="54"/>
  <c r="C14" i="54"/>
  <c r="C8" i="54"/>
  <c r="C19" i="54"/>
  <c r="C13" i="54"/>
  <c r="C17" i="54"/>
  <c r="C9" i="54"/>
  <c r="C15" i="54"/>
  <c r="C21" i="54"/>
  <c r="G11" i="53" l="1"/>
  <c r="D11" i="53" s="1"/>
  <c r="G10" i="53"/>
  <c r="D10" i="53" s="1"/>
  <c r="G9" i="50" l="1"/>
  <c r="D9" i="50" s="1"/>
  <c r="G10" i="50"/>
  <c r="D10" i="50" s="1"/>
  <c r="G11" i="50"/>
  <c r="D11" i="50" s="1"/>
  <c r="G8" i="50"/>
  <c r="D8" i="50" s="1"/>
  <c r="G12" i="58"/>
  <c r="D12" i="58" s="1"/>
  <c r="E45" i="50" l="1"/>
  <c r="BT324" i="1" s="1"/>
  <c r="E42" i="50"/>
  <c r="E39" i="50"/>
  <c r="BT206" i="1" s="1"/>
  <c r="E34" i="50"/>
  <c r="BT64" i="1" s="1"/>
  <c r="E31" i="50"/>
  <c r="BT422" i="1" s="1"/>
  <c r="E26" i="50"/>
  <c r="BT148" i="1" s="1"/>
  <c r="E23" i="50"/>
  <c r="BT189" i="1" s="1"/>
  <c r="E21" i="50"/>
  <c r="BT267" i="1" s="1"/>
  <c r="E48" i="50"/>
  <c r="BT226" i="1" s="1"/>
  <c r="E37" i="50"/>
  <c r="BT405" i="1" s="1"/>
  <c r="E29" i="50"/>
  <c r="BT125" i="1" s="1"/>
  <c r="E46" i="50"/>
  <c r="BT224" i="1" s="1"/>
  <c r="E43" i="50"/>
  <c r="BT259" i="1" s="1"/>
  <c r="E40" i="50"/>
  <c r="BT452" i="1" s="1"/>
  <c r="E35" i="50"/>
  <c r="BT381" i="1" s="1"/>
  <c r="E32" i="50"/>
  <c r="BT424" i="1" s="1"/>
  <c r="E27" i="50"/>
  <c r="BT256" i="1" s="1"/>
  <c r="E24" i="50"/>
  <c r="BT459" i="1" s="1"/>
  <c r="E22" i="50"/>
  <c r="BT435" i="1" s="1"/>
  <c r="E47" i="50"/>
  <c r="BT448" i="1" s="1"/>
  <c r="E44" i="50"/>
  <c r="BT161" i="1" s="1"/>
  <c r="E41" i="50"/>
  <c r="BT464" i="1" s="1"/>
  <c r="E38" i="50"/>
  <c r="BT461" i="1" s="1"/>
  <c r="E36" i="50"/>
  <c r="BT300" i="1" s="1"/>
  <c r="E33" i="50"/>
  <c r="BT347" i="1" s="1"/>
  <c r="E30" i="50"/>
  <c r="BT258" i="1" s="1"/>
  <c r="E28" i="50"/>
  <c r="BT184" i="1" s="1"/>
  <c r="E25" i="50"/>
  <c r="BT233" i="1" s="1"/>
  <c r="E20" i="50"/>
  <c r="BT205" i="1" s="1"/>
  <c r="E14" i="50"/>
  <c r="BT416" i="1" s="1"/>
  <c r="E16" i="50"/>
  <c r="BT48" i="1" s="1"/>
  <c r="E18" i="50"/>
  <c r="BT239" i="1" s="1"/>
  <c r="E12" i="50"/>
  <c r="BT199" i="1" s="1"/>
  <c r="E13" i="50"/>
  <c r="BT434" i="1" s="1"/>
  <c r="E19" i="50"/>
  <c r="BT364" i="1" s="1"/>
  <c r="E17" i="50"/>
  <c r="BT130" i="1" s="1"/>
  <c r="E15" i="50"/>
  <c r="BT340" i="1" s="1"/>
  <c r="BT8" i="1"/>
  <c r="E8" i="50"/>
  <c r="BT171" i="1" s="1"/>
  <c r="E9" i="50"/>
  <c r="BT317" i="1" s="1"/>
  <c r="E11" i="50"/>
  <c r="BT370" i="1" s="1"/>
  <c r="E10" i="50"/>
  <c r="BT449" i="1" s="1"/>
  <c r="F5" i="50"/>
  <c r="G15" i="62"/>
  <c r="D15" i="62" s="1"/>
  <c r="C15" i="62"/>
  <c r="G22" i="62"/>
  <c r="D22" i="62" s="1"/>
  <c r="C22" i="62"/>
  <c r="G10" i="62"/>
  <c r="D10" i="62" s="1"/>
  <c r="C10" i="62"/>
  <c r="G21" i="62"/>
  <c r="D21" i="62" s="1"/>
  <c r="C21" i="62"/>
  <c r="G20" i="62"/>
  <c r="D20" i="62" s="1"/>
  <c r="C20" i="62"/>
  <c r="G19" i="62"/>
  <c r="D19" i="62" s="1"/>
  <c r="C19" i="62"/>
  <c r="G8" i="62"/>
  <c r="D8" i="62" s="1"/>
  <c r="C8" i="62"/>
  <c r="G17" i="62"/>
  <c r="D17" i="62" s="1"/>
  <c r="C17" i="62"/>
  <c r="C14" i="62"/>
  <c r="C11" i="62"/>
  <c r="C12" i="62"/>
  <c r="C9" i="62"/>
  <c r="C18" i="62"/>
  <c r="C13" i="62"/>
  <c r="C16" i="62"/>
  <c r="G448" i="1" l="1"/>
  <c r="EB448" i="1" s="1"/>
  <c r="DZ448" i="1" s="1"/>
  <c r="EK448" i="1"/>
  <c r="EL448" i="1" s="1"/>
  <c r="ED448" i="1" s="1"/>
  <c r="EG448" i="1"/>
  <c r="EK424" i="1"/>
  <c r="EL424" i="1" s="1"/>
  <c r="ED424" i="1" s="1"/>
  <c r="EG424" i="1"/>
  <c r="G424" i="1"/>
  <c r="EB424" i="1" s="1"/>
  <c r="DZ424" i="1" s="1"/>
  <c r="EG224" i="1"/>
  <c r="EK224" i="1"/>
  <c r="EL224" i="1" s="1"/>
  <c r="ED224" i="1" s="1"/>
  <c r="G224" i="1"/>
  <c r="EB224" i="1" s="1"/>
  <c r="DZ224" i="1" s="1"/>
  <c r="EK161" i="1"/>
  <c r="EL161" i="1" s="1"/>
  <c r="ED161" i="1" s="1"/>
  <c r="EG161" i="1"/>
  <c r="G161" i="1"/>
  <c r="EB161" i="1" s="1"/>
  <c r="DZ161" i="1" s="1"/>
  <c r="G256" i="1"/>
  <c r="EB256" i="1" s="1"/>
  <c r="DZ256" i="1" s="1"/>
  <c r="EG256" i="1"/>
  <c r="EK256" i="1"/>
  <c r="EL256" i="1" s="1"/>
  <c r="ED256" i="1" s="1"/>
  <c r="G259" i="1"/>
  <c r="EB259" i="1" s="1"/>
  <c r="DZ259" i="1" s="1"/>
  <c r="EG259" i="1"/>
  <c r="EK259" i="1"/>
  <c r="EL259" i="1" s="1"/>
  <c r="ED259" i="1" s="1"/>
  <c r="G226" i="1"/>
  <c r="EB226" i="1" s="1"/>
  <c r="DZ226" i="1" s="1"/>
  <c r="EG226" i="1"/>
  <c r="EK226" i="1"/>
  <c r="EL226" i="1" s="1"/>
  <c r="ED226" i="1" s="1"/>
  <c r="EK324" i="1"/>
  <c r="EL324" i="1" s="1"/>
  <c r="ED324" i="1" s="1"/>
  <c r="EG324" i="1"/>
  <c r="G324" i="1"/>
  <c r="EB324" i="1" s="1"/>
  <c r="DZ324" i="1" s="1"/>
  <c r="C9" i="63"/>
  <c r="G20" i="63"/>
  <c r="D20" i="63" s="1"/>
  <c r="G19" i="63"/>
  <c r="D19" i="63" s="1"/>
  <c r="G18" i="63"/>
  <c r="D18" i="63" s="1"/>
  <c r="G17" i="63"/>
  <c r="D17" i="63" s="1"/>
  <c r="G16" i="63"/>
  <c r="D16" i="63" s="1"/>
  <c r="G15" i="63"/>
  <c r="D15" i="63" s="1"/>
  <c r="G14" i="63"/>
  <c r="D14" i="63" s="1"/>
  <c r="G13" i="63"/>
  <c r="D13" i="63" s="1"/>
  <c r="G12" i="63"/>
  <c r="D12" i="63" s="1"/>
  <c r="C20" i="63"/>
  <c r="C19" i="63"/>
  <c r="C18" i="63"/>
  <c r="C17" i="63"/>
  <c r="C16" i="63"/>
  <c r="C15" i="63"/>
  <c r="C14" i="63"/>
  <c r="C13" i="63"/>
  <c r="C12" i="63"/>
  <c r="C11" i="63"/>
  <c r="C10" i="63"/>
  <c r="C8" i="63"/>
  <c r="C12" i="49"/>
  <c r="C18" i="49"/>
  <c r="C15" i="49"/>
  <c r="C17" i="49"/>
  <c r="C10" i="49"/>
  <c r="C11" i="49"/>
  <c r="C14" i="49"/>
  <c r="C13" i="49"/>
  <c r="C9" i="49"/>
  <c r="C16" i="49"/>
  <c r="C8" i="49"/>
  <c r="EJ324" i="1" l="1"/>
  <c r="EI324" i="1"/>
  <c r="EI259" i="1"/>
  <c r="EJ259" i="1"/>
  <c r="EJ161" i="1"/>
  <c r="EI161" i="1"/>
  <c r="EI256" i="1"/>
  <c r="EJ256" i="1"/>
  <c r="EJ226" i="1"/>
  <c r="EI226" i="1"/>
  <c r="EI424" i="1"/>
  <c r="EJ424" i="1"/>
  <c r="EI224" i="1"/>
  <c r="EJ224" i="1"/>
  <c r="EJ448" i="1"/>
  <c r="EI448" i="1"/>
  <c r="C24" i="71"/>
  <c r="C20" i="71"/>
  <c r="C23" i="71"/>
  <c r="C16" i="71"/>
  <c r="C19" i="71"/>
  <c r="C21" i="71"/>
  <c r="C17" i="71"/>
  <c r="C11" i="71"/>
  <c r="C12" i="71"/>
  <c r="C18" i="71"/>
  <c r="C15" i="71"/>
  <c r="C14" i="71"/>
  <c r="C13" i="71"/>
  <c r="C22" i="71"/>
  <c r="C10" i="71"/>
  <c r="C8" i="71"/>
  <c r="C9" i="71"/>
  <c r="G12" i="72" l="1"/>
  <c r="D12" i="72" s="1"/>
  <c r="G14" i="72"/>
  <c r="D14" i="72" s="1"/>
  <c r="G13" i="72"/>
  <c r="D13" i="72" s="1"/>
  <c r="G9" i="72"/>
  <c r="D9" i="72" s="1"/>
  <c r="G15" i="72"/>
  <c r="D15" i="72" s="1"/>
  <c r="C12" i="72"/>
  <c r="C14" i="72"/>
  <c r="C13" i="72"/>
  <c r="C9" i="72"/>
  <c r="C15" i="72"/>
  <c r="C16" i="72"/>
  <c r="C8" i="72"/>
  <c r="C10" i="72"/>
  <c r="C11" i="72"/>
  <c r="G10" i="65"/>
  <c r="D10" i="65" s="1"/>
  <c r="C10" i="65"/>
  <c r="C12" i="65"/>
  <c r="C11" i="65"/>
  <c r="C9" i="65"/>
  <c r="C8" i="65"/>
  <c r="G10" i="44" l="1"/>
  <c r="D10" i="44" s="1"/>
  <c r="C10" i="44"/>
  <c r="C11" i="44"/>
  <c r="C12" i="44"/>
  <c r="C9" i="44"/>
  <c r="C8" i="44"/>
  <c r="C9" i="60"/>
  <c r="C10" i="60"/>
  <c r="C12" i="60"/>
  <c r="C11" i="60"/>
  <c r="C8" i="60"/>
  <c r="G11" i="61"/>
  <c r="D11" i="61" s="1"/>
  <c r="G10" i="61"/>
  <c r="D10" i="61" s="1"/>
  <c r="C11" i="61"/>
  <c r="C10" i="61"/>
  <c r="C9" i="61"/>
  <c r="C8" i="61"/>
  <c r="G11" i="40" l="1"/>
  <c r="D11" i="40" s="1"/>
  <c r="G13" i="40"/>
  <c r="D13" i="40" s="1"/>
  <c r="G23" i="40"/>
  <c r="D23" i="40" s="1"/>
  <c r="G25" i="40"/>
  <c r="D25" i="40" s="1"/>
  <c r="G14" i="40"/>
  <c r="D14" i="40" s="1"/>
  <c r="G24" i="40"/>
  <c r="D24" i="40" s="1"/>
  <c r="G22" i="40"/>
  <c r="D22" i="40" s="1"/>
  <c r="G21" i="40"/>
  <c r="D21" i="40" s="1"/>
  <c r="G20" i="40"/>
  <c r="D20" i="40" s="1"/>
  <c r="G19" i="40"/>
  <c r="D19" i="40" s="1"/>
  <c r="G18" i="40"/>
  <c r="D18" i="40" s="1"/>
  <c r="G17" i="40"/>
  <c r="D17" i="40" s="1"/>
  <c r="G16" i="40"/>
  <c r="D16" i="40" s="1"/>
  <c r="G15" i="40"/>
  <c r="D15" i="40" s="1"/>
  <c r="C11" i="40"/>
  <c r="C13" i="40"/>
  <c r="C23" i="40"/>
  <c r="C25" i="40"/>
  <c r="C14" i="40"/>
  <c r="C24" i="40"/>
  <c r="C22" i="40"/>
  <c r="C21" i="40"/>
  <c r="C20" i="40"/>
  <c r="C19" i="40"/>
  <c r="C18" i="40"/>
  <c r="C17" i="40"/>
  <c r="C16" i="40"/>
  <c r="C15" i="40"/>
  <c r="C12" i="40"/>
  <c r="C9" i="40"/>
  <c r="C10" i="40"/>
  <c r="C8" i="40"/>
  <c r="G21" i="46"/>
  <c r="D21" i="46" s="1"/>
  <c r="G22" i="46"/>
  <c r="D22" i="46" s="1"/>
  <c r="G20" i="46"/>
  <c r="D20" i="46" s="1"/>
  <c r="G19" i="46"/>
  <c r="D19" i="46" s="1"/>
  <c r="G14" i="46"/>
  <c r="D14" i="46" s="1"/>
  <c r="G17" i="46"/>
  <c r="D17" i="46" s="1"/>
  <c r="G16" i="46"/>
  <c r="D16" i="46" s="1"/>
  <c r="G15" i="46"/>
  <c r="D15" i="46" s="1"/>
  <c r="G12" i="46"/>
  <c r="D12" i="46" s="1"/>
  <c r="G18" i="46"/>
  <c r="D18" i="46" s="1"/>
  <c r="G24" i="46"/>
  <c r="D24" i="46" s="1"/>
  <c r="G23" i="46"/>
  <c r="D23" i="46" s="1"/>
  <c r="G10" i="46"/>
  <c r="D10" i="46" s="1"/>
  <c r="G11" i="46"/>
  <c r="D11" i="46" s="1"/>
  <c r="C21" i="46"/>
  <c r="C22" i="46"/>
  <c r="C20" i="46"/>
  <c r="C19" i="46"/>
  <c r="C14" i="46"/>
  <c r="C17" i="46"/>
  <c r="C16" i="46"/>
  <c r="C15" i="46"/>
  <c r="C12" i="46"/>
  <c r="C18" i="46"/>
  <c r="C24" i="46"/>
  <c r="C23" i="46"/>
  <c r="C10" i="46"/>
  <c r="C11" i="46"/>
  <c r="C13" i="46"/>
  <c r="C9" i="46"/>
  <c r="C8" i="46"/>
  <c r="D13" i="39"/>
  <c r="E13" i="39" s="1"/>
  <c r="C15" i="39"/>
  <c r="D15" i="39" s="1"/>
  <c r="E15" i="39" s="1"/>
  <c r="C14" i="39"/>
  <c r="D14" i="39" s="1"/>
  <c r="E14" i="39" s="1"/>
  <c r="C13" i="39"/>
  <c r="G21" i="74" l="1"/>
  <c r="D21" i="74" s="1"/>
  <c r="G20" i="74"/>
  <c r="D20" i="74" s="1"/>
  <c r="G19" i="74"/>
  <c r="D19" i="74" s="1"/>
  <c r="G18" i="74"/>
  <c r="D18" i="74" s="1"/>
  <c r="G17" i="74"/>
  <c r="D17" i="74" s="1"/>
  <c r="G16" i="74"/>
  <c r="D16" i="74" s="1"/>
  <c r="G15" i="74"/>
  <c r="D15" i="74" s="1"/>
  <c r="G14" i="74"/>
  <c r="D14" i="74" s="1"/>
  <c r="G13" i="74"/>
  <c r="D13" i="74" s="1"/>
  <c r="G12" i="74"/>
  <c r="D12" i="74" s="1"/>
  <c r="G11" i="74"/>
  <c r="D11" i="74" s="1"/>
  <c r="G16" i="47"/>
  <c r="D16" i="47" s="1"/>
  <c r="G15" i="47"/>
  <c r="D15" i="47" s="1"/>
  <c r="G14" i="47"/>
  <c r="D14" i="47" s="1"/>
  <c r="G13" i="47"/>
  <c r="D13" i="47" s="1"/>
  <c r="G12" i="47"/>
  <c r="D12" i="47" s="1"/>
  <c r="G11" i="47"/>
  <c r="D11" i="47" s="1"/>
  <c r="G10" i="47"/>
  <c r="D10" i="47" s="1"/>
  <c r="G9" i="47"/>
  <c r="D9" i="47" s="1"/>
  <c r="G11" i="98" l="1"/>
  <c r="D11" i="98" s="1"/>
  <c r="G10" i="98"/>
  <c r="D10" i="98" s="1"/>
  <c r="G9" i="98"/>
  <c r="D9" i="98" s="1"/>
  <c r="G22" i="56" l="1"/>
  <c r="D22" i="56" s="1"/>
  <c r="G17" i="56"/>
  <c r="D17" i="56" s="1"/>
  <c r="G19" i="56"/>
  <c r="D19" i="56" s="1"/>
  <c r="G14" i="56"/>
  <c r="D14" i="56" s="1"/>
  <c r="G18" i="56"/>
  <c r="D18" i="56" s="1"/>
  <c r="G12" i="56"/>
  <c r="D12" i="56" s="1"/>
  <c r="G21" i="56"/>
  <c r="D21" i="56" s="1"/>
  <c r="G20" i="56"/>
  <c r="D20" i="56" s="1"/>
  <c r="G16" i="56"/>
  <c r="D16" i="56" s="1"/>
  <c r="G13" i="56"/>
  <c r="D13" i="56" s="1"/>
  <c r="G10" i="56"/>
  <c r="D10" i="56" s="1"/>
  <c r="G15" i="56"/>
  <c r="D15" i="56" s="1"/>
  <c r="G11" i="56"/>
  <c r="D11" i="56" s="1"/>
  <c r="G9" i="56"/>
  <c r="D9" i="56" s="1"/>
  <c r="G19" i="77"/>
  <c r="D19" i="77" s="1"/>
  <c r="G18" i="77"/>
  <c r="D18" i="77" s="1"/>
  <c r="G16" i="77"/>
  <c r="D16" i="77" s="1"/>
  <c r="G17" i="77"/>
  <c r="D17" i="77" s="1"/>
  <c r="G15" i="77"/>
  <c r="D15" i="77" s="1"/>
  <c r="G10" i="77"/>
  <c r="D10" i="77" s="1"/>
  <c r="G12" i="77"/>
  <c r="D12" i="77" s="1"/>
  <c r="G14" i="77"/>
  <c r="D14" i="77" s="1"/>
  <c r="G9" i="77"/>
  <c r="D9" i="77" s="1"/>
  <c r="G13" i="77"/>
  <c r="D13" i="77" s="1"/>
  <c r="G11" i="77"/>
  <c r="D11" i="77" s="1"/>
  <c r="G23" i="91" l="1"/>
  <c r="D23" i="91" s="1"/>
  <c r="G22" i="91"/>
  <c r="D22" i="91" s="1"/>
  <c r="G20" i="91"/>
  <c r="D20" i="91" s="1"/>
  <c r="G27" i="91"/>
  <c r="D27" i="91" s="1"/>
  <c r="G25" i="91"/>
  <c r="D25" i="91" s="1"/>
  <c r="G26" i="91"/>
  <c r="D26" i="91" s="1"/>
  <c r="G19" i="91"/>
  <c r="D19" i="91" s="1"/>
  <c r="G18" i="91"/>
  <c r="D18" i="91" s="1"/>
  <c r="G24" i="91"/>
  <c r="D24" i="91" s="1"/>
  <c r="G21" i="91"/>
  <c r="D21" i="91" s="1"/>
  <c r="G14" i="91"/>
  <c r="D14" i="91" s="1"/>
  <c r="G17" i="91"/>
  <c r="D17" i="91" s="1"/>
  <c r="G15" i="91"/>
  <c r="D15" i="91" s="1"/>
  <c r="G12" i="91"/>
  <c r="D12" i="91" s="1"/>
  <c r="C23" i="91"/>
  <c r="C22" i="91"/>
  <c r="C20" i="91"/>
  <c r="C27" i="91"/>
  <c r="C25" i="91"/>
  <c r="C26" i="91"/>
  <c r="C19" i="91"/>
  <c r="C18" i="91"/>
  <c r="C24" i="91"/>
  <c r="C21" i="91"/>
  <c r="C14" i="91"/>
  <c r="C17" i="91"/>
  <c r="C15" i="91"/>
  <c r="C12" i="91"/>
  <c r="C16" i="91"/>
  <c r="C8" i="91"/>
  <c r="C13" i="91"/>
  <c r="C10" i="91"/>
  <c r="C9" i="91"/>
  <c r="C11" i="91"/>
  <c r="G98" i="36" l="1"/>
  <c r="D98" i="36" s="1"/>
  <c r="C98" i="36"/>
  <c r="G97" i="36"/>
  <c r="D97" i="36" s="1"/>
  <c r="C97" i="36"/>
  <c r="G48" i="36"/>
  <c r="D48" i="36" s="1"/>
  <c r="C48" i="36"/>
  <c r="G10" i="36"/>
  <c r="D10" i="36" s="1"/>
  <c r="G9" i="36"/>
  <c r="D9" i="36" s="1"/>
  <c r="G96" i="36"/>
  <c r="D96" i="36" s="1"/>
  <c r="G28" i="36"/>
  <c r="D28" i="36" s="1"/>
  <c r="G95" i="36"/>
  <c r="D95" i="36" s="1"/>
  <c r="G94" i="36"/>
  <c r="D94" i="36" s="1"/>
  <c r="G93" i="36"/>
  <c r="D93" i="36" s="1"/>
  <c r="G92" i="36"/>
  <c r="D92" i="36" s="1"/>
  <c r="G91" i="36"/>
  <c r="D91" i="36" s="1"/>
  <c r="G90" i="36"/>
  <c r="D90" i="36" s="1"/>
  <c r="G89" i="36"/>
  <c r="D89" i="36" s="1"/>
  <c r="G88" i="36"/>
  <c r="D88" i="36" s="1"/>
  <c r="G87" i="36"/>
  <c r="D87" i="36" s="1"/>
  <c r="G86" i="36"/>
  <c r="D86" i="36" s="1"/>
  <c r="G85" i="36"/>
  <c r="D85" i="36" s="1"/>
  <c r="G84" i="36"/>
  <c r="D84" i="36" s="1"/>
  <c r="G83" i="36"/>
  <c r="D83" i="36" s="1"/>
  <c r="G82" i="36"/>
  <c r="D82" i="36" s="1"/>
  <c r="G81" i="36"/>
  <c r="D81" i="36" s="1"/>
  <c r="G80" i="36"/>
  <c r="D80" i="36" s="1"/>
  <c r="G79" i="36"/>
  <c r="D79" i="36" s="1"/>
  <c r="G78" i="36"/>
  <c r="D78" i="36" s="1"/>
  <c r="G77" i="36"/>
  <c r="D77" i="36" s="1"/>
  <c r="G76" i="36"/>
  <c r="D76" i="36" s="1"/>
  <c r="G75" i="36"/>
  <c r="D75" i="36" s="1"/>
  <c r="G74" i="36"/>
  <c r="D74" i="36" s="1"/>
  <c r="G73" i="36"/>
  <c r="D73" i="36" s="1"/>
  <c r="G72" i="36"/>
  <c r="D72" i="36" s="1"/>
  <c r="G71" i="36"/>
  <c r="D71" i="36" s="1"/>
  <c r="G70" i="36"/>
  <c r="D70" i="36" s="1"/>
  <c r="G69" i="36"/>
  <c r="D69" i="36" s="1"/>
  <c r="G68" i="36"/>
  <c r="D68" i="36" s="1"/>
  <c r="G67" i="36"/>
  <c r="D67" i="36" s="1"/>
  <c r="G66" i="36"/>
  <c r="D66" i="36" s="1"/>
  <c r="G65" i="36"/>
  <c r="D65" i="36" s="1"/>
  <c r="G64" i="36"/>
  <c r="D64" i="36" s="1"/>
  <c r="G63" i="36"/>
  <c r="D63" i="36" s="1"/>
  <c r="G62" i="36"/>
  <c r="D62" i="36" s="1"/>
  <c r="G61" i="36"/>
  <c r="D61" i="36" s="1"/>
  <c r="G60" i="36"/>
  <c r="D60" i="36" s="1"/>
  <c r="G59" i="36"/>
  <c r="D59" i="36" s="1"/>
  <c r="G58" i="36"/>
  <c r="D58" i="36" s="1"/>
  <c r="G57" i="36"/>
  <c r="D57" i="36" s="1"/>
  <c r="G56" i="36"/>
  <c r="D56" i="36" s="1"/>
  <c r="G55" i="36"/>
  <c r="D55" i="36" s="1"/>
  <c r="G54" i="36"/>
  <c r="D54" i="36" s="1"/>
  <c r="G53" i="36"/>
  <c r="D53" i="36" s="1"/>
  <c r="G52" i="36"/>
  <c r="D52" i="36" s="1"/>
  <c r="G51" i="36"/>
  <c r="D51" i="36" s="1"/>
  <c r="G50" i="36"/>
  <c r="D50" i="36" s="1"/>
  <c r="G49" i="36"/>
  <c r="D49" i="36" s="1"/>
  <c r="G47" i="36"/>
  <c r="D47" i="36" s="1"/>
  <c r="G46" i="36"/>
  <c r="D46" i="36" s="1"/>
  <c r="G45" i="36"/>
  <c r="D45" i="36" s="1"/>
  <c r="G44" i="36"/>
  <c r="D44" i="36" s="1"/>
  <c r="G43" i="36"/>
  <c r="D43" i="36" s="1"/>
  <c r="G42" i="36"/>
  <c r="D42" i="36" s="1"/>
  <c r="G41" i="36"/>
  <c r="D41" i="36" s="1"/>
  <c r="G40" i="36"/>
  <c r="D40" i="36" s="1"/>
  <c r="G39" i="36"/>
  <c r="D39" i="36" s="1"/>
  <c r="G38" i="36"/>
  <c r="D38" i="36" s="1"/>
  <c r="G37" i="36"/>
  <c r="D37" i="36" s="1"/>
  <c r="G36" i="36"/>
  <c r="D36" i="36" s="1"/>
  <c r="G35" i="36"/>
  <c r="D35" i="36" s="1"/>
  <c r="G34" i="36"/>
  <c r="D34" i="36" s="1"/>
  <c r="G33" i="36"/>
  <c r="D33" i="36" s="1"/>
  <c r="G32" i="36"/>
  <c r="D32" i="36" s="1"/>
  <c r="G31" i="36"/>
  <c r="D31" i="36" s="1"/>
  <c r="G30" i="36"/>
  <c r="D30" i="36" s="1"/>
  <c r="G29" i="36"/>
  <c r="D29" i="36" s="1"/>
  <c r="G27" i="36"/>
  <c r="D27" i="36" s="1"/>
  <c r="G26" i="36"/>
  <c r="D26" i="36" s="1"/>
  <c r="G25" i="36"/>
  <c r="D25" i="36" s="1"/>
  <c r="G24" i="36"/>
  <c r="D24" i="36" s="1"/>
  <c r="G23" i="36"/>
  <c r="D23" i="36" s="1"/>
  <c r="G22" i="36"/>
  <c r="D22" i="36" s="1"/>
  <c r="G21" i="36"/>
  <c r="D21" i="36" s="1"/>
  <c r="G20" i="36"/>
  <c r="D20" i="36" s="1"/>
  <c r="G19" i="36"/>
  <c r="D19" i="36" s="1"/>
  <c r="G18" i="36"/>
  <c r="D18" i="36" s="1"/>
  <c r="G17" i="36"/>
  <c r="D17" i="36" s="1"/>
  <c r="G16" i="36"/>
  <c r="D16" i="36" s="1"/>
  <c r="C10" i="36"/>
  <c r="C9" i="36"/>
  <c r="C96" i="36"/>
  <c r="C28" i="36"/>
  <c r="C95" i="36"/>
  <c r="C94" i="36"/>
  <c r="C93" i="36"/>
  <c r="C92" i="36"/>
  <c r="C91" i="36"/>
  <c r="C90" i="36"/>
  <c r="C89" i="36"/>
  <c r="C88" i="36"/>
  <c r="C87" i="36"/>
  <c r="C86" i="36"/>
  <c r="C85" i="36"/>
  <c r="C84" i="36"/>
  <c r="C83" i="36"/>
  <c r="C82" i="36"/>
  <c r="C81" i="36"/>
  <c r="C80" i="36"/>
  <c r="C79" i="36"/>
  <c r="C78" i="36"/>
  <c r="C77" i="36"/>
  <c r="C76" i="36"/>
  <c r="C75" i="36"/>
  <c r="C74" i="36"/>
  <c r="C73" i="36"/>
  <c r="C72" i="36"/>
  <c r="C71" i="36"/>
  <c r="C70" i="36"/>
  <c r="C69" i="36"/>
  <c r="C68" i="36"/>
  <c r="C67" i="36"/>
  <c r="C66" i="36"/>
  <c r="C65" i="36"/>
  <c r="C64" i="36"/>
  <c r="C63" i="36"/>
  <c r="C62" i="36"/>
  <c r="C61" i="36"/>
  <c r="C60" i="36"/>
  <c r="C59" i="36"/>
  <c r="C58" i="36"/>
  <c r="C57" i="36"/>
  <c r="C56" i="36"/>
  <c r="C55" i="36"/>
  <c r="C54" i="36"/>
  <c r="C53" i="36"/>
  <c r="C52" i="36"/>
  <c r="C51" i="36"/>
  <c r="C50" i="36"/>
  <c r="C49" i="36"/>
  <c r="C47" i="36"/>
  <c r="C46" i="36"/>
  <c r="C45" i="36"/>
  <c r="C44" i="36"/>
  <c r="C43" i="36"/>
  <c r="C42" i="36"/>
  <c r="C41" i="36"/>
  <c r="C40" i="36"/>
  <c r="C39" i="36"/>
  <c r="C38" i="36"/>
  <c r="C37" i="36"/>
  <c r="C36" i="36"/>
  <c r="C35" i="36"/>
  <c r="C34" i="36"/>
  <c r="C33" i="36"/>
  <c r="C32" i="36"/>
  <c r="C31" i="36"/>
  <c r="C30" i="36"/>
  <c r="C29" i="36"/>
  <c r="C27" i="36"/>
  <c r="C26" i="36"/>
  <c r="C25" i="36"/>
  <c r="C24" i="36"/>
  <c r="C23" i="36"/>
  <c r="C22" i="36"/>
  <c r="C21" i="36"/>
  <c r="C20" i="36"/>
  <c r="C19" i="36"/>
  <c r="C18" i="36"/>
  <c r="C17" i="36"/>
  <c r="C16" i="36"/>
  <c r="C15" i="36"/>
  <c r="C11" i="36"/>
  <c r="C8" i="36"/>
  <c r="C12" i="36"/>
  <c r="C14" i="36"/>
  <c r="C13" i="36"/>
  <c r="G31" i="45"/>
  <c r="D31" i="45" s="1"/>
  <c r="C31" i="45"/>
  <c r="G45" i="45"/>
  <c r="D45" i="45" s="1"/>
  <c r="G78" i="45"/>
  <c r="D78" i="45" s="1"/>
  <c r="G76" i="45"/>
  <c r="D76" i="45" s="1"/>
  <c r="G74" i="45"/>
  <c r="D74" i="45" s="1"/>
  <c r="G39" i="45"/>
  <c r="D39" i="45" s="1"/>
  <c r="G36" i="45"/>
  <c r="D36" i="45" s="1"/>
  <c r="G35" i="45"/>
  <c r="D35" i="45" s="1"/>
  <c r="G32" i="45"/>
  <c r="D32" i="45" s="1"/>
  <c r="G27" i="45"/>
  <c r="D27" i="45" s="1"/>
  <c r="G25" i="45"/>
  <c r="D25" i="45" s="1"/>
  <c r="G34" i="45"/>
  <c r="D34" i="45" s="1"/>
  <c r="G9" i="45"/>
  <c r="D9" i="45" s="1"/>
  <c r="G8" i="45"/>
  <c r="D8" i="45" s="1"/>
  <c r="G93" i="45"/>
  <c r="D93" i="45" s="1"/>
  <c r="G90" i="45"/>
  <c r="D90" i="45" s="1"/>
  <c r="G85" i="45"/>
  <c r="D85" i="45" s="1"/>
  <c r="G84" i="45"/>
  <c r="D84" i="45" s="1"/>
  <c r="G81" i="45"/>
  <c r="D81" i="45" s="1"/>
  <c r="G79" i="45"/>
  <c r="D79" i="45" s="1"/>
  <c r="G75" i="45"/>
  <c r="D75" i="45" s="1"/>
  <c r="G51" i="45"/>
  <c r="D51" i="45" s="1"/>
  <c r="G72" i="45"/>
  <c r="D72" i="45" s="1"/>
  <c r="G52" i="45"/>
  <c r="D52" i="45" s="1"/>
  <c r="G65" i="45"/>
  <c r="D65" i="45" s="1"/>
  <c r="G50" i="45"/>
  <c r="D50" i="45" s="1"/>
  <c r="G62" i="45"/>
  <c r="D62" i="45" s="1"/>
  <c r="G56" i="45"/>
  <c r="D56" i="45" s="1"/>
  <c r="G41" i="45"/>
  <c r="D41" i="45" s="1"/>
  <c r="G80" i="45"/>
  <c r="D80" i="45" s="1"/>
  <c r="G46" i="45"/>
  <c r="D46" i="45" s="1"/>
  <c r="G44" i="45"/>
  <c r="D44" i="45" s="1"/>
  <c r="G49" i="45"/>
  <c r="D49" i="45" s="1"/>
  <c r="G70" i="45"/>
  <c r="D70" i="45" s="1"/>
  <c r="G43" i="45"/>
  <c r="D43" i="45" s="1"/>
  <c r="G47" i="45"/>
  <c r="D47" i="45" s="1"/>
  <c r="G21" i="45"/>
  <c r="D21" i="45" s="1"/>
  <c r="G24" i="45"/>
  <c r="D24" i="45" s="1"/>
  <c r="G23" i="45"/>
  <c r="D23" i="45" s="1"/>
  <c r="G22" i="45"/>
  <c r="D22" i="45" s="1"/>
  <c r="G20" i="45"/>
  <c r="D20" i="45" s="1"/>
  <c r="G92" i="45"/>
  <c r="D92" i="45" s="1"/>
  <c r="G55" i="45"/>
  <c r="D55" i="45" s="1"/>
  <c r="G89" i="45"/>
  <c r="D89" i="45" s="1"/>
  <c r="G88" i="45"/>
  <c r="D88" i="45" s="1"/>
  <c r="G48" i="45"/>
  <c r="D48" i="45" s="1"/>
  <c r="G86" i="45"/>
  <c r="D86" i="45" s="1"/>
  <c r="G77" i="45"/>
  <c r="D77" i="45" s="1"/>
  <c r="G71" i="45"/>
  <c r="D71" i="45" s="1"/>
  <c r="G33" i="45"/>
  <c r="D33" i="45" s="1"/>
  <c r="G29" i="45"/>
  <c r="D29" i="45" s="1"/>
  <c r="G28" i="45"/>
  <c r="D28" i="45" s="1"/>
  <c r="G17" i="45"/>
  <c r="D17" i="45" s="1"/>
  <c r="G13" i="45"/>
  <c r="D13" i="45" s="1"/>
  <c r="G57" i="45"/>
  <c r="D57" i="45" s="1"/>
  <c r="G87" i="45"/>
  <c r="D87" i="45" s="1"/>
  <c r="G53" i="45"/>
  <c r="D53" i="45" s="1"/>
  <c r="G54" i="45"/>
  <c r="D54" i="45" s="1"/>
  <c r="G73" i="45"/>
  <c r="D73" i="45" s="1"/>
  <c r="G15" i="45"/>
  <c r="D15" i="45" s="1"/>
  <c r="G10" i="45"/>
  <c r="D10" i="45" s="1"/>
  <c r="G42" i="45"/>
  <c r="D42" i="45" s="1"/>
  <c r="G38" i="45"/>
  <c r="D38" i="45" s="1"/>
  <c r="G68" i="45"/>
  <c r="D68" i="45" s="1"/>
  <c r="G67" i="45"/>
  <c r="D67" i="45" s="1"/>
  <c r="G37" i="45"/>
  <c r="D37" i="45" s="1"/>
  <c r="G40" i="45"/>
  <c r="D40" i="45" s="1"/>
  <c r="G26" i="45"/>
  <c r="D26" i="45" s="1"/>
  <c r="G66" i="45"/>
  <c r="D66" i="45" s="1"/>
  <c r="G30" i="45"/>
  <c r="D30" i="45" s="1"/>
  <c r="G64" i="45"/>
  <c r="D64" i="45" s="1"/>
  <c r="G60" i="45"/>
  <c r="D60" i="45" s="1"/>
  <c r="G16" i="45"/>
  <c r="D16" i="45" s="1"/>
  <c r="G14" i="45"/>
  <c r="D14" i="45" s="1"/>
  <c r="G11" i="45"/>
  <c r="D11" i="45" s="1"/>
  <c r="G12" i="45"/>
  <c r="D12" i="45" s="1"/>
  <c r="G58" i="45"/>
  <c r="D58" i="45" s="1"/>
  <c r="G91" i="45"/>
  <c r="D91" i="45" s="1"/>
  <c r="G82" i="45"/>
  <c r="D82" i="45" s="1"/>
  <c r="G61" i="45"/>
  <c r="D61" i="45" s="1"/>
  <c r="C45" i="45"/>
  <c r="C78" i="45"/>
  <c r="C76" i="45"/>
  <c r="C74" i="45"/>
  <c r="C39" i="45"/>
  <c r="C36" i="45"/>
  <c r="C35" i="45"/>
  <c r="C32" i="45"/>
  <c r="C27" i="45"/>
  <c r="C25" i="45"/>
  <c r="C34" i="45"/>
  <c r="C9" i="45"/>
  <c r="C8" i="45"/>
  <c r="C93" i="45"/>
  <c r="C90" i="45"/>
  <c r="C85" i="45"/>
  <c r="C84" i="45"/>
  <c r="C81" i="45"/>
  <c r="C79" i="45"/>
  <c r="C75" i="45"/>
  <c r="C51" i="45"/>
  <c r="C72" i="45"/>
  <c r="C52" i="45"/>
  <c r="C65" i="45"/>
  <c r="C50" i="45"/>
  <c r="C62" i="45"/>
  <c r="C56" i="45"/>
  <c r="C41" i="45"/>
  <c r="C80" i="45"/>
  <c r="C46" i="45"/>
  <c r="C44" i="45"/>
  <c r="C49" i="45"/>
  <c r="C70" i="45"/>
  <c r="C43" i="45"/>
  <c r="C47" i="45"/>
  <c r="C21" i="45"/>
  <c r="C24" i="45"/>
  <c r="C23" i="45"/>
  <c r="C22" i="45"/>
  <c r="C20" i="45"/>
  <c r="C92" i="45"/>
  <c r="C55" i="45"/>
  <c r="C88" i="45"/>
  <c r="C89" i="45"/>
  <c r="C48" i="45"/>
  <c r="C86" i="45"/>
  <c r="C77" i="45"/>
  <c r="C71" i="45"/>
  <c r="C33" i="45"/>
  <c r="C29" i="45"/>
  <c r="C28" i="45"/>
  <c r="C17" i="45"/>
  <c r="C13" i="45"/>
  <c r="C57" i="45"/>
  <c r="C87" i="45"/>
  <c r="C53" i="45"/>
  <c r="C54" i="45"/>
  <c r="C73" i="45"/>
  <c r="C15" i="45"/>
  <c r="C10" i="45"/>
  <c r="C42" i="45"/>
  <c r="C38" i="45"/>
  <c r="C68" i="45"/>
  <c r="C67" i="45"/>
  <c r="C37" i="45"/>
  <c r="C40" i="45"/>
  <c r="C26" i="45"/>
  <c r="C66" i="45"/>
  <c r="C30" i="45"/>
  <c r="C64" i="45"/>
  <c r="C60" i="45"/>
  <c r="C16" i="45"/>
  <c r="C14" i="45"/>
  <c r="C11" i="45"/>
  <c r="C12" i="45"/>
  <c r="C58" i="45"/>
  <c r="C91" i="45"/>
  <c r="C82" i="45"/>
  <c r="C61" i="45"/>
  <c r="C83" i="45"/>
  <c r="C63" i="45"/>
  <c r="C19" i="45"/>
  <c r="C18" i="45"/>
  <c r="C59" i="45"/>
  <c r="E90" i="45" l="1"/>
  <c r="AW417" i="1" s="1"/>
  <c r="E91" i="45"/>
  <c r="AW437" i="1" s="1"/>
  <c r="F5" i="45"/>
  <c r="E12" i="45"/>
  <c r="AW358" i="1" s="1"/>
  <c r="E18" i="45"/>
  <c r="AW326" i="1" s="1"/>
  <c r="E23" i="45"/>
  <c r="AW41" i="1" s="1"/>
  <c r="E28" i="45"/>
  <c r="AW84" i="1" s="1"/>
  <c r="E34" i="45"/>
  <c r="AW116" i="1" s="1"/>
  <c r="E39" i="45"/>
  <c r="AW306" i="1" s="1"/>
  <c r="E44" i="45"/>
  <c r="AW401" i="1" s="1"/>
  <c r="E50" i="45"/>
  <c r="AW375" i="1" s="1"/>
  <c r="E55" i="45"/>
  <c r="AW288" i="1" s="1"/>
  <c r="E60" i="45"/>
  <c r="AW249" i="1" s="1"/>
  <c r="E66" i="45"/>
  <c r="AW330" i="1" s="1"/>
  <c r="E71" i="45"/>
  <c r="AW200" i="1" s="1"/>
  <c r="E76" i="45"/>
  <c r="AW103" i="1" s="1"/>
  <c r="E82" i="45"/>
  <c r="AW402" i="1" s="1"/>
  <c r="E87" i="45"/>
  <c r="AW156" i="1" s="1"/>
  <c r="E92" i="45"/>
  <c r="AW378" i="1" s="1"/>
  <c r="E16" i="45"/>
  <c r="AW198" i="1" s="1"/>
  <c r="E27" i="45"/>
  <c r="AW355" i="1" s="1"/>
  <c r="E38" i="45"/>
  <c r="AW283" i="1" s="1"/>
  <c r="E48" i="45"/>
  <c r="AW68" i="1" s="1"/>
  <c r="E59" i="45"/>
  <c r="AW257" i="1" s="1"/>
  <c r="E70" i="45"/>
  <c r="AW453" i="1" s="1"/>
  <c r="E93" i="45"/>
  <c r="AW160" i="1" s="1"/>
  <c r="E89" i="45"/>
  <c r="AW286" i="1" s="1"/>
  <c r="E85" i="45"/>
  <c r="AW390" i="1" s="1"/>
  <c r="E81" i="45"/>
  <c r="AW344" i="1" s="1"/>
  <c r="E77" i="45"/>
  <c r="AW277" i="1" s="1"/>
  <c r="E73" i="45"/>
  <c r="AW415" i="1" s="1"/>
  <c r="E65" i="45"/>
  <c r="AW148" i="1" s="1"/>
  <c r="E61" i="45"/>
  <c r="AW25" i="1" s="1"/>
  <c r="E57" i="45"/>
  <c r="AW352" i="1" s="1"/>
  <c r="E53" i="45"/>
  <c r="AW49" i="1" s="1"/>
  <c r="E49" i="45"/>
  <c r="AW228" i="1" s="1"/>
  <c r="E45" i="45"/>
  <c r="AW287" i="1" s="1"/>
  <c r="E41" i="45"/>
  <c r="AW215" i="1" s="1"/>
  <c r="E37" i="45"/>
  <c r="AW151" i="1" s="1"/>
  <c r="E33" i="45"/>
  <c r="AW11" i="1" s="1"/>
  <c r="E29" i="45"/>
  <c r="AW398" i="1" s="1"/>
  <c r="E25" i="45"/>
  <c r="AW269" i="1" s="1"/>
  <c r="E21" i="45"/>
  <c r="AW243" i="1" s="1"/>
  <c r="E17" i="45"/>
  <c r="AW254" i="1" s="1"/>
  <c r="E13" i="45"/>
  <c r="AW128" i="1" s="1"/>
  <c r="E9" i="45"/>
  <c r="AW308" i="1" s="1"/>
  <c r="E8" i="45"/>
  <c r="AW100" i="1" s="1"/>
  <c r="E14" i="45"/>
  <c r="AW255" i="1" s="1"/>
  <c r="E19" i="45"/>
  <c r="AW158" i="1" s="1"/>
  <c r="E24" i="45"/>
  <c r="AW354" i="1" s="1"/>
  <c r="E30" i="45"/>
  <c r="AW432" i="1" s="1"/>
  <c r="E35" i="45"/>
  <c r="AW40" i="1" s="1"/>
  <c r="E40" i="45"/>
  <c r="AW71" i="1" s="1"/>
  <c r="E46" i="45"/>
  <c r="AW4" i="1" s="1"/>
  <c r="E51" i="45"/>
  <c r="AW365" i="1" s="1"/>
  <c r="E56" i="45"/>
  <c r="AW63" i="1" s="1"/>
  <c r="E62" i="45"/>
  <c r="AW372" i="1" s="1"/>
  <c r="E67" i="45"/>
  <c r="AW196" i="1" s="1"/>
  <c r="E72" i="45"/>
  <c r="E78" i="45"/>
  <c r="AW430" i="1" s="1"/>
  <c r="E83" i="45"/>
  <c r="AW181" i="1" s="1"/>
  <c r="E88" i="45"/>
  <c r="AW124" i="1" s="1"/>
  <c r="E11" i="45"/>
  <c r="AW109" i="1" s="1"/>
  <c r="E22" i="45"/>
  <c r="AW245" i="1" s="1"/>
  <c r="E32" i="45"/>
  <c r="AW184" i="1" s="1"/>
  <c r="E43" i="45"/>
  <c r="AW351" i="1" s="1"/>
  <c r="E54" i="45"/>
  <c r="AW304" i="1" s="1"/>
  <c r="E64" i="45"/>
  <c r="AW309" i="1" s="1"/>
  <c r="E75" i="45"/>
  <c r="AW278" i="1" s="1"/>
  <c r="E80" i="45"/>
  <c r="AW246" i="1" s="1"/>
  <c r="E86" i="45"/>
  <c r="AW115" i="1" s="1"/>
  <c r="E10" i="45"/>
  <c r="AW127" i="1" s="1"/>
  <c r="E15" i="45"/>
  <c r="AW445" i="1" s="1"/>
  <c r="E20" i="45"/>
  <c r="AW105" i="1" s="1"/>
  <c r="E26" i="45"/>
  <c r="AW190" i="1" s="1"/>
  <c r="E31" i="45"/>
  <c r="AW335" i="1" s="1"/>
  <c r="E36" i="45"/>
  <c r="AW460" i="1" s="1"/>
  <c r="E42" i="45"/>
  <c r="AW168" i="1" s="1"/>
  <c r="E47" i="45"/>
  <c r="AW305" i="1" s="1"/>
  <c r="E52" i="45"/>
  <c r="AW10" i="1" s="1"/>
  <c r="E58" i="45"/>
  <c r="AW465" i="1" s="1"/>
  <c r="E63" i="45"/>
  <c r="AW384" i="1" s="1"/>
  <c r="E68" i="45"/>
  <c r="AW234" i="1" s="1"/>
  <c r="E74" i="45"/>
  <c r="AW65" i="1" s="1"/>
  <c r="E79" i="45"/>
  <c r="AW119" i="1" s="1"/>
  <c r="E84" i="45"/>
  <c r="AW78" i="1" s="1"/>
  <c r="G29" i="37"/>
  <c r="D29" i="37" s="1"/>
  <c r="G28" i="37"/>
  <c r="D28" i="37" s="1"/>
  <c r="G27" i="37"/>
  <c r="D27" i="37" s="1"/>
  <c r="G26" i="37"/>
  <c r="D26" i="37" s="1"/>
  <c r="G25" i="37"/>
  <c r="D25" i="37" s="1"/>
  <c r="G24" i="37"/>
  <c r="D24" i="37" s="1"/>
  <c r="G23" i="37"/>
  <c r="D23" i="37" s="1"/>
  <c r="G22" i="37"/>
  <c r="D22" i="37" s="1"/>
  <c r="G21" i="37"/>
  <c r="D21" i="37" s="1"/>
  <c r="G20" i="37"/>
  <c r="D20" i="37" s="1"/>
  <c r="G19" i="37"/>
  <c r="D19" i="37" s="1"/>
  <c r="G18" i="37"/>
  <c r="D18" i="37" s="1"/>
  <c r="G17" i="37"/>
  <c r="D17" i="37" s="1"/>
  <c r="C26" i="37"/>
  <c r="C24" i="37"/>
  <c r="C25" i="37"/>
  <c r="C22" i="37"/>
  <c r="C20" i="37"/>
  <c r="C29" i="37"/>
  <c r="C23" i="37"/>
  <c r="C21" i="37"/>
  <c r="C19" i="37"/>
  <c r="C18" i="37"/>
  <c r="C16" i="37"/>
  <c r="C13" i="37"/>
  <c r="C12" i="37"/>
  <c r="C15" i="37"/>
  <c r="C9" i="37"/>
  <c r="C28" i="37"/>
  <c r="C17" i="37"/>
  <c r="C11" i="37"/>
  <c r="C14" i="37"/>
  <c r="C27" i="37"/>
  <c r="C10" i="37"/>
  <c r="C8" i="37"/>
  <c r="EJ254" i="1" l="1"/>
  <c r="EF254" i="1"/>
  <c r="G254" i="1"/>
  <c r="EB254" i="1" s="1"/>
  <c r="DZ254" i="1" s="1"/>
  <c r="EI254" i="1" s="1"/>
  <c r="EK254" i="1"/>
  <c r="EL254" i="1" s="1"/>
  <c r="ED254" i="1" s="1"/>
  <c r="EG254" i="1"/>
  <c r="G18" i="34"/>
  <c r="D18" i="34" s="1"/>
  <c r="C18" i="34"/>
  <c r="C11" i="34"/>
  <c r="C13" i="34"/>
  <c r="G19" i="33" l="1"/>
  <c r="G18" i="33"/>
  <c r="D18" i="33" s="1"/>
  <c r="G17" i="33"/>
  <c r="C16" i="33"/>
  <c r="C18" i="33"/>
  <c r="C10" i="33"/>
  <c r="C15" i="33"/>
  <c r="C19" i="33"/>
  <c r="C14" i="33"/>
  <c r="C17" i="33"/>
  <c r="C12" i="33"/>
  <c r="C13" i="33"/>
  <c r="C11" i="33"/>
  <c r="C9" i="33"/>
  <c r="C8" i="33"/>
  <c r="G11" i="32"/>
  <c r="G24" i="32"/>
  <c r="D24" i="32" s="1"/>
  <c r="G9" i="32"/>
  <c r="G12" i="32"/>
  <c r="G23" i="32"/>
  <c r="D23" i="32" s="1"/>
  <c r="G10" i="32"/>
  <c r="C19" i="32"/>
  <c r="C24" i="32"/>
  <c r="C21" i="32"/>
  <c r="C18" i="32"/>
  <c r="C23" i="32"/>
  <c r="C20" i="32"/>
  <c r="C17" i="32"/>
  <c r="C16" i="32"/>
  <c r="C15" i="32"/>
  <c r="C12" i="32"/>
  <c r="C10" i="32"/>
  <c r="C13" i="32"/>
  <c r="C11" i="32"/>
  <c r="C14" i="32"/>
  <c r="C22" i="32"/>
  <c r="C8" i="32"/>
  <c r="C9" i="32"/>
  <c r="G14" i="29"/>
  <c r="D14" i="29" s="1"/>
  <c r="G9" i="29"/>
  <c r="D9" i="29" s="1"/>
  <c r="G12" i="29"/>
  <c r="D12" i="29" s="1"/>
  <c r="G13" i="29"/>
  <c r="D13" i="29" s="1"/>
  <c r="G11" i="29"/>
  <c r="D11" i="29" s="1"/>
  <c r="G8" i="29"/>
  <c r="D8" i="29" s="1"/>
  <c r="G10" i="29"/>
  <c r="D10" i="29" s="1"/>
  <c r="C14" i="29"/>
  <c r="C9" i="29"/>
  <c r="C12" i="29"/>
  <c r="C13" i="29"/>
  <c r="C11" i="29"/>
  <c r="C8" i="29"/>
  <c r="C10" i="29"/>
  <c r="C19" i="29"/>
  <c r="C18" i="29"/>
  <c r="C17" i="29"/>
  <c r="C16" i="29"/>
  <c r="C15" i="29"/>
  <c r="E11" i="29" l="1"/>
  <c r="AS240" i="1" s="1"/>
  <c r="E10" i="29"/>
  <c r="AS425" i="1" s="1"/>
  <c r="E9" i="29"/>
  <c r="AS455" i="1" s="1"/>
  <c r="E13" i="29"/>
  <c r="AS230" i="1" s="1"/>
  <c r="E14" i="29"/>
  <c r="AS210" i="1" s="1"/>
  <c r="E8" i="29"/>
  <c r="AS85" i="1" s="1"/>
  <c r="E12" i="29"/>
  <c r="AS126" i="1" s="1"/>
  <c r="C22" i="28"/>
  <c r="C21" i="28"/>
  <c r="C19" i="28"/>
  <c r="C24" i="28"/>
  <c r="C20" i="28"/>
  <c r="C18" i="28"/>
  <c r="C15" i="28"/>
  <c r="C16" i="28"/>
  <c r="C23" i="28"/>
  <c r="C12" i="28"/>
  <c r="C13" i="28"/>
  <c r="C9" i="28"/>
  <c r="C11" i="28"/>
  <c r="C17" i="28"/>
  <c r="C10" i="28"/>
  <c r="C8" i="28"/>
  <c r="C14" i="28"/>
  <c r="G9" i="43" l="1"/>
  <c r="D9" i="43" s="1"/>
  <c r="G29" i="26" l="1"/>
  <c r="D29" i="26" s="1"/>
  <c r="G10" i="26"/>
  <c r="G11" i="26"/>
  <c r="C29" i="26"/>
  <c r="C20" i="26"/>
  <c r="C19" i="26"/>
  <c r="G12" i="31"/>
  <c r="D12" i="31" s="1"/>
  <c r="G19" i="31"/>
  <c r="D19" i="31" s="1"/>
  <c r="G22" i="31"/>
  <c r="D22" i="31" s="1"/>
  <c r="G15" i="31"/>
  <c r="D15" i="31" s="1"/>
  <c r="G9" i="31"/>
  <c r="D9" i="31" s="1"/>
  <c r="G21" i="31"/>
  <c r="D21" i="31" s="1"/>
  <c r="G20" i="31"/>
  <c r="D20" i="31" s="1"/>
  <c r="G18" i="31"/>
  <c r="D18" i="31" s="1"/>
  <c r="G17" i="31"/>
  <c r="D17" i="31" s="1"/>
  <c r="G16" i="31"/>
  <c r="D16" i="31" s="1"/>
  <c r="G14" i="31"/>
  <c r="D14" i="31" s="1"/>
  <c r="G13" i="31"/>
  <c r="D13" i="31" s="1"/>
  <c r="EM47" i="1" l="1"/>
  <c r="EH47" i="1"/>
  <c r="EE47" i="1"/>
  <c r="EC47" i="1"/>
  <c r="EA47" i="1"/>
  <c r="EM45" i="1"/>
  <c r="EH45" i="1"/>
  <c r="EC45" i="1"/>
  <c r="EA45" i="1"/>
  <c r="EM44" i="1"/>
  <c r="EH44" i="1"/>
  <c r="EC44" i="1"/>
  <c r="EA44" i="1"/>
  <c r="EM43" i="1"/>
  <c r="EH43" i="1"/>
  <c r="EE43" i="1"/>
  <c r="EC43" i="1"/>
  <c r="EA43" i="1"/>
  <c r="EM42" i="1"/>
  <c r="EH42" i="1"/>
  <c r="EG42" i="1"/>
  <c r="EK42" i="1" s="1"/>
  <c r="EL42" i="1" s="1"/>
  <c r="ED42" i="1" s="1"/>
  <c r="EF42" i="1"/>
  <c r="EE42" i="1"/>
  <c r="EC42" i="1"/>
  <c r="EA42" i="1"/>
  <c r="G42" i="1"/>
  <c r="EB42" i="1" s="1"/>
  <c r="DZ42" i="1" s="1"/>
  <c r="EJ42" i="1" s="1"/>
  <c r="EM41" i="1"/>
  <c r="EH41" i="1"/>
  <c r="EC41" i="1"/>
  <c r="EA41" i="1"/>
  <c r="EM40" i="1"/>
  <c r="EH40" i="1"/>
  <c r="EE40" i="1"/>
  <c r="EC40" i="1"/>
  <c r="EA40" i="1"/>
  <c r="EM39" i="1"/>
  <c r="EH39" i="1"/>
  <c r="EC39" i="1"/>
  <c r="EA39" i="1"/>
  <c r="EM38" i="1"/>
  <c r="EH38" i="1"/>
  <c r="EG38" i="1"/>
  <c r="EK38" i="1" s="1"/>
  <c r="EL38" i="1" s="1"/>
  <c r="ED38" i="1" s="1"/>
  <c r="EF38" i="1"/>
  <c r="EE38" i="1"/>
  <c r="EC38" i="1"/>
  <c r="EA38" i="1"/>
  <c r="G38" i="1"/>
  <c r="EB38" i="1" s="1"/>
  <c r="DZ38" i="1" s="1"/>
  <c r="EJ38" i="1" s="1"/>
  <c r="EM37" i="1"/>
  <c r="EH37" i="1"/>
  <c r="EE37" i="1"/>
  <c r="EC37" i="1"/>
  <c r="EA37" i="1"/>
  <c r="EM36" i="1"/>
  <c r="EH36" i="1"/>
  <c r="EE36" i="1"/>
  <c r="EC36" i="1"/>
  <c r="EA36" i="1"/>
  <c r="EM35" i="1"/>
  <c r="EH35" i="1"/>
  <c r="EG35" i="1"/>
  <c r="EK35" i="1" s="1"/>
  <c r="EL35" i="1" s="1"/>
  <c r="ED35" i="1" s="1"/>
  <c r="EF35" i="1"/>
  <c r="EE35" i="1"/>
  <c r="EC35" i="1"/>
  <c r="EA35" i="1"/>
  <c r="G35" i="1"/>
  <c r="EB35" i="1" s="1"/>
  <c r="DZ35" i="1" s="1"/>
  <c r="EJ35" i="1" s="1"/>
  <c r="EM34" i="1"/>
  <c r="EH34" i="1"/>
  <c r="EG34" i="1"/>
  <c r="EK34" i="1" s="1"/>
  <c r="EL34" i="1" s="1"/>
  <c r="ED34" i="1" s="1"/>
  <c r="EF34" i="1"/>
  <c r="EE34" i="1"/>
  <c r="EC34" i="1"/>
  <c r="EA34" i="1"/>
  <c r="G34" i="1"/>
  <c r="EB34" i="1" s="1"/>
  <c r="DZ34" i="1" s="1"/>
  <c r="EJ34" i="1" s="1"/>
  <c r="EM33" i="1"/>
  <c r="EH33" i="1"/>
  <c r="EG33" i="1"/>
  <c r="EK33" i="1" s="1"/>
  <c r="EL33" i="1" s="1"/>
  <c r="ED33" i="1" s="1"/>
  <c r="EF33" i="1"/>
  <c r="EE33" i="1"/>
  <c r="EC33" i="1"/>
  <c r="EA33" i="1"/>
  <c r="G33" i="1"/>
  <c r="EB33" i="1" s="1"/>
  <c r="DZ33" i="1" s="1"/>
  <c r="EJ33" i="1" s="1"/>
  <c r="EM32" i="1"/>
  <c r="EH32" i="1"/>
  <c r="EC32" i="1"/>
  <c r="EA32" i="1"/>
  <c r="EM31" i="1"/>
  <c r="EH31" i="1"/>
  <c r="EC31" i="1"/>
  <c r="EA31" i="1"/>
  <c r="EM30" i="1"/>
  <c r="EH30" i="1"/>
  <c r="EG30" i="1"/>
  <c r="EK30" i="1" s="1"/>
  <c r="EL30" i="1" s="1"/>
  <c r="ED30" i="1" s="1"/>
  <c r="EF30" i="1"/>
  <c r="EE30" i="1"/>
  <c r="EC30" i="1"/>
  <c r="EA30" i="1"/>
  <c r="G30" i="1"/>
  <c r="EB30" i="1" s="1"/>
  <c r="DZ30" i="1" s="1"/>
  <c r="EJ30" i="1" s="1"/>
  <c r="EM28" i="1"/>
  <c r="EH28" i="1"/>
  <c r="EF28" i="1"/>
  <c r="EE28" i="1"/>
  <c r="EC28" i="1"/>
  <c r="EA28" i="1"/>
  <c r="EM24" i="1"/>
  <c r="EH24" i="1"/>
  <c r="EF24" i="1"/>
  <c r="EE24" i="1"/>
  <c r="EC24" i="1"/>
  <c r="EA24" i="1"/>
  <c r="EM23" i="1"/>
  <c r="EH23" i="1"/>
  <c r="EC23" i="1"/>
  <c r="EA23" i="1"/>
  <c r="EM22" i="1"/>
  <c r="EH22" i="1"/>
  <c r="EG22" i="1"/>
  <c r="EK22" i="1" s="1"/>
  <c r="EL22" i="1" s="1"/>
  <c r="ED22" i="1" s="1"/>
  <c r="EF22" i="1"/>
  <c r="EE22" i="1"/>
  <c r="EC22" i="1"/>
  <c r="EA22" i="1"/>
  <c r="G22" i="1"/>
  <c r="EB22" i="1" s="1"/>
  <c r="DZ22" i="1" s="1"/>
  <c r="EJ22" i="1" s="1"/>
  <c r="EM21" i="1"/>
  <c r="EH21" i="1"/>
  <c r="EG21" i="1"/>
  <c r="EK21" i="1" s="1"/>
  <c r="EL21" i="1" s="1"/>
  <c r="ED21" i="1" s="1"/>
  <c r="EF21" i="1"/>
  <c r="EE21" i="1"/>
  <c r="EC21" i="1"/>
  <c r="EA21" i="1"/>
  <c r="G21" i="1"/>
  <c r="EB21" i="1" s="1"/>
  <c r="DZ21" i="1" s="1"/>
  <c r="EJ21" i="1" s="1"/>
  <c r="EM20" i="1"/>
  <c r="EH20" i="1"/>
  <c r="EG20" i="1"/>
  <c r="EK20" i="1" s="1"/>
  <c r="EL20" i="1" s="1"/>
  <c r="ED20" i="1" s="1"/>
  <c r="EF20" i="1"/>
  <c r="EE20" i="1"/>
  <c r="EC20" i="1"/>
  <c r="EA20" i="1"/>
  <c r="G20" i="1"/>
  <c r="EB20" i="1" s="1"/>
  <c r="DZ20" i="1" s="1"/>
  <c r="EJ20" i="1" s="1"/>
  <c r="EM19" i="1"/>
  <c r="ED19" i="1"/>
  <c r="EH19" i="1"/>
  <c r="EG19" i="1"/>
  <c r="EK19" i="1" s="1"/>
  <c r="EL19" i="1" s="1"/>
  <c r="EF19" i="1"/>
  <c r="EE19" i="1"/>
  <c r="EC19" i="1"/>
  <c r="EA19" i="1"/>
  <c r="G19" i="1"/>
  <c r="EB19" i="1" s="1"/>
  <c r="DZ19" i="1" s="1"/>
  <c r="EJ19" i="1" s="1"/>
  <c r="EM18" i="1"/>
  <c r="EH18" i="1"/>
  <c r="EG18" i="1"/>
  <c r="EK18" i="1" s="1"/>
  <c r="EL18" i="1" s="1"/>
  <c r="ED18" i="1" s="1"/>
  <c r="EF18" i="1"/>
  <c r="EE18" i="1"/>
  <c r="EC18" i="1"/>
  <c r="EA18" i="1"/>
  <c r="G18" i="1"/>
  <c r="EB18" i="1" s="1"/>
  <c r="DZ18" i="1" s="1"/>
  <c r="EJ18" i="1" s="1"/>
  <c r="EM16" i="1"/>
  <c r="EH16" i="1"/>
  <c r="EC16" i="1"/>
  <c r="EA16" i="1"/>
  <c r="EM15" i="1"/>
  <c r="EH15" i="1"/>
  <c r="EF15" i="1"/>
  <c r="EE15" i="1"/>
  <c r="EC15" i="1"/>
  <c r="EA15" i="1"/>
  <c r="EM12" i="1"/>
  <c r="EH12" i="1"/>
  <c r="EA12" i="1"/>
  <c r="EM11" i="1"/>
  <c r="EH11" i="1"/>
  <c r="EE11" i="1"/>
  <c r="EC11" i="1"/>
  <c r="EA11" i="1"/>
  <c r="EM10" i="1"/>
  <c r="EH10" i="1"/>
  <c r="EE10" i="1"/>
  <c r="EC10" i="1"/>
  <c r="EA10" i="1"/>
  <c r="EM9" i="1"/>
  <c r="EH9" i="1"/>
  <c r="EC9" i="1"/>
  <c r="EA9" i="1"/>
  <c r="G21" i="30"/>
  <c r="D21" i="30" s="1"/>
  <c r="G20" i="30"/>
  <c r="G19" i="30"/>
  <c r="G18" i="30"/>
  <c r="G17" i="30"/>
  <c r="G16" i="30"/>
  <c r="G15" i="30"/>
  <c r="G14" i="30"/>
  <c r="G13" i="30"/>
  <c r="G12" i="30"/>
  <c r="G11" i="30"/>
  <c r="EI42" i="1" l="1"/>
  <c r="EI38" i="1"/>
  <c r="EI18" i="1"/>
  <c r="EI21" i="1"/>
  <c r="EI19" i="1"/>
  <c r="EI30" i="1"/>
  <c r="EI20" i="1"/>
  <c r="EI35" i="1"/>
  <c r="EI33" i="1"/>
  <c r="EI34" i="1"/>
  <c r="EI22" i="1"/>
  <c r="D15" i="30"/>
  <c r="D16" i="30"/>
  <c r="D12" i="30"/>
  <c r="D14" i="30"/>
  <c r="G15" i="25"/>
  <c r="G14" i="25"/>
  <c r="G13" i="25"/>
  <c r="G12" i="25"/>
  <c r="D14" i="25" l="1"/>
  <c r="D13" i="25"/>
  <c r="D15" i="25"/>
  <c r="D12" i="25"/>
  <c r="G15" i="42"/>
  <c r="G14" i="42"/>
  <c r="D14" i="42" s="1"/>
  <c r="G13" i="42"/>
  <c r="D13" i="42" s="1"/>
  <c r="C12" i="42"/>
  <c r="C15" i="42"/>
  <c r="C14" i="42"/>
  <c r="C13" i="42"/>
  <c r="C11" i="42"/>
  <c r="C10" i="42"/>
  <c r="C9" i="42"/>
  <c r="C8" i="42"/>
  <c r="G16" i="22" l="1"/>
  <c r="D16" i="22" s="1"/>
  <c r="G13" i="22"/>
  <c r="D13" i="22" s="1"/>
  <c r="G14" i="22"/>
  <c r="D14" i="22" s="1"/>
  <c r="G11" i="22"/>
  <c r="D11" i="22" s="1"/>
  <c r="G12" i="22"/>
  <c r="D12" i="22" s="1"/>
  <c r="G15" i="22"/>
  <c r="D15" i="22" s="1"/>
  <c r="G18" i="22"/>
  <c r="D18" i="22" s="1"/>
  <c r="G10" i="22"/>
  <c r="D10" i="22" s="1"/>
  <c r="G17" i="22"/>
  <c r="D17" i="22" s="1"/>
  <c r="C16" i="22"/>
  <c r="C13" i="22"/>
  <c r="C14" i="22"/>
  <c r="C11" i="22"/>
  <c r="C12" i="22"/>
  <c r="C15" i="22"/>
  <c r="C18" i="22"/>
  <c r="C10" i="22"/>
  <c r="C17" i="22"/>
  <c r="C8" i="22"/>
  <c r="C9" i="22"/>
  <c r="G10" i="21" l="1"/>
  <c r="D10" i="21" s="1"/>
  <c r="E15" i="21"/>
  <c r="C10" i="21" s="1"/>
  <c r="G10" i="83" l="1"/>
  <c r="D10" i="83" s="1"/>
  <c r="G9" i="83"/>
  <c r="D9" i="83" s="1"/>
  <c r="G20" i="23" l="1"/>
  <c r="D20" i="23" s="1"/>
  <c r="G16" i="23"/>
  <c r="D16" i="23" s="1"/>
  <c r="G18" i="23"/>
  <c r="D18" i="23" s="1"/>
  <c r="G10" i="23"/>
  <c r="D10" i="23" s="1"/>
  <c r="G32" i="23"/>
  <c r="D32" i="23" s="1"/>
  <c r="G21" i="23"/>
  <c r="D21" i="23" s="1"/>
  <c r="G27" i="23"/>
  <c r="D27" i="23" s="1"/>
  <c r="G24" i="23"/>
  <c r="D24" i="23" s="1"/>
  <c r="G26" i="23"/>
  <c r="D26" i="23" s="1"/>
  <c r="G25" i="23"/>
  <c r="D25" i="23" s="1"/>
  <c r="G22" i="23"/>
  <c r="D22" i="23" s="1"/>
  <c r="G23" i="23"/>
  <c r="D23" i="23" s="1"/>
  <c r="G31" i="23"/>
  <c r="D31" i="23" s="1"/>
  <c r="G19" i="23"/>
  <c r="D19" i="23" s="1"/>
  <c r="G30" i="23"/>
  <c r="D30" i="23" s="1"/>
  <c r="G17" i="23"/>
  <c r="D17" i="23" s="1"/>
  <c r="G15" i="23"/>
  <c r="D15" i="23" s="1"/>
  <c r="G12" i="23"/>
  <c r="D12" i="23" s="1"/>
  <c r="G29" i="23"/>
  <c r="D29" i="23" s="1"/>
  <c r="G13" i="23"/>
  <c r="D13" i="23" s="1"/>
  <c r="G9" i="23"/>
  <c r="D9" i="23" s="1"/>
  <c r="G28" i="23"/>
  <c r="D28" i="23" s="1"/>
  <c r="C27" i="23"/>
  <c r="C24" i="23"/>
  <c r="C26" i="23"/>
  <c r="G10" i="35" l="1"/>
  <c r="D10" i="35" s="1"/>
  <c r="C20" i="18" l="1"/>
  <c r="C12" i="18"/>
  <c r="C15" i="18"/>
  <c r="C18" i="18"/>
  <c r="C14" i="18"/>
  <c r="C17" i="18"/>
  <c r="C16" i="18"/>
  <c r="C19" i="18"/>
  <c r="C8" i="18"/>
  <c r="C13" i="18"/>
  <c r="C11" i="18"/>
  <c r="C10" i="18"/>
  <c r="C9" i="18"/>
  <c r="C23" i="17" l="1"/>
  <c r="C21" i="17"/>
  <c r="G23" i="17"/>
  <c r="G24" i="17"/>
  <c r="G36" i="20" l="1"/>
  <c r="D36" i="20" s="1"/>
  <c r="G35" i="20"/>
  <c r="D35" i="20" s="1"/>
  <c r="G33" i="20"/>
  <c r="D33" i="20" s="1"/>
  <c r="G32" i="20"/>
  <c r="D32" i="20" s="1"/>
  <c r="G31" i="20"/>
  <c r="D31" i="20" s="1"/>
  <c r="G34" i="20"/>
  <c r="D34" i="20" s="1"/>
  <c r="G27" i="20"/>
  <c r="D27" i="20" s="1"/>
  <c r="G25" i="20"/>
  <c r="D25" i="20" s="1"/>
  <c r="G30" i="20"/>
  <c r="D30" i="20" s="1"/>
  <c r="G29" i="20"/>
  <c r="D29" i="20" s="1"/>
  <c r="G28" i="20"/>
  <c r="D28" i="20" s="1"/>
  <c r="G26" i="20"/>
  <c r="D26" i="20" s="1"/>
  <c r="G23" i="20"/>
  <c r="D23" i="20" s="1"/>
  <c r="G24" i="20"/>
  <c r="D24" i="20" s="1"/>
  <c r="G22" i="20"/>
  <c r="D22" i="20" s="1"/>
  <c r="G21" i="20"/>
  <c r="D21" i="20" s="1"/>
  <c r="G20" i="20"/>
  <c r="D20" i="20" s="1"/>
  <c r="G22" i="111"/>
  <c r="D22" i="111" s="1"/>
  <c r="G20" i="111"/>
  <c r="D20" i="111" s="1"/>
  <c r="G37" i="111"/>
  <c r="D37" i="111" s="1"/>
  <c r="G36" i="111"/>
  <c r="D36" i="111" s="1"/>
  <c r="G35" i="111"/>
  <c r="D35" i="111" s="1"/>
  <c r="G34" i="111"/>
  <c r="D34" i="111" s="1"/>
  <c r="G17" i="111"/>
  <c r="D17" i="111" s="1"/>
  <c r="G33" i="111"/>
  <c r="D33" i="111" s="1"/>
  <c r="G32" i="111"/>
  <c r="D32" i="111" s="1"/>
  <c r="G21" i="111"/>
  <c r="D21" i="111" s="1"/>
  <c r="G19" i="111"/>
  <c r="D19" i="111" s="1"/>
  <c r="G10" i="111"/>
  <c r="D10" i="111" s="1"/>
  <c r="G31" i="111"/>
  <c r="D31" i="111" s="1"/>
  <c r="G30" i="111"/>
  <c r="D30" i="111" s="1"/>
  <c r="G29" i="111"/>
  <c r="D29" i="111" s="1"/>
  <c r="G28" i="111"/>
  <c r="D28" i="111" s="1"/>
  <c r="G27" i="111"/>
  <c r="D27" i="111" s="1"/>
  <c r="G18" i="111"/>
  <c r="D18" i="111" s="1"/>
  <c r="G11" i="111"/>
  <c r="D11" i="111" s="1"/>
  <c r="G16" i="111"/>
  <c r="D16" i="111" s="1"/>
  <c r="G14" i="111"/>
  <c r="D14" i="111" s="1"/>
  <c r="G26" i="111"/>
  <c r="D26" i="111" s="1"/>
  <c r="G12" i="111"/>
  <c r="D12" i="111" s="1"/>
  <c r="G25" i="111"/>
  <c r="D25" i="111" s="1"/>
  <c r="G15" i="111"/>
  <c r="D15" i="111" s="1"/>
  <c r="G8" i="111"/>
  <c r="D8" i="111" s="1"/>
  <c r="G24" i="111"/>
  <c r="D24" i="111" s="1"/>
  <c r="G13" i="111"/>
  <c r="D13" i="111" s="1"/>
  <c r="C22" i="111"/>
  <c r="C20" i="111"/>
  <c r="C37" i="111"/>
  <c r="C36" i="111"/>
  <c r="C35" i="111"/>
  <c r="C34" i="111"/>
  <c r="C17" i="111"/>
  <c r="C33" i="111"/>
  <c r="C32" i="111"/>
  <c r="C21" i="111"/>
  <c r="C19" i="111"/>
  <c r="C10" i="111"/>
  <c r="C31" i="111"/>
  <c r="C30" i="111"/>
  <c r="C29" i="111"/>
  <c r="C28" i="111"/>
  <c r="C27" i="111"/>
  <c r="C18" i="111"/>
  <c r="C11" i="111"/>
  <c r="C16" i="111"/>
  <c r="C14" i="111"/>
  <c r="C26" i="111"/>
  <c r="C12" i="111"/>
  <c r="C25" i="111"/>
  <c r="C15" i="111"/>
  <c r="C24" i="111"/>
  <c r="C8" i="111"/>
  <c r="C13" i="111"/>
  <c r="C23" i="111"/>
  <c r="C9" i="111"/>
  <c r="G22" i="93" l="1"/>
  <c r="D22" i="93" s="1"/>
  <c r="G21" i="93"/>
  <c r="D21" i="93" s="1"/>
  <c r="G17" i="93"/>
  <c r="D17" i="93" s="1"/>
  <c r="G26" i="93"/>
  <c r="D26" i="93" s="1"/>
  <c r="G14" i="93"/>
  <c r="D14" i="93" s="1"/>
  <c r="G25" i="93"/>
  <c r="D25" i="93" s="1"/>
  <c r="G24" i="93"/>
  <c r="D24" i="93" s="1"/>
  <c r="G23" i="93"/>
  <c r="D23" i="93" s="1"/>
  <c r="G20" i="93"/>
  <c r="D20" i="93" s="1"/>
  <c r="G19" i="93"/>
  <c r="D19" i="93" s="1"/>
  <c r="G18" i="93"/>
  <c r="D18" i="93" s="1"/>
  <c r="G16" i="93"/>
  <c r="D16" i="93" s="1"/>
  <c r="G15" i="93"/>
  <c r="D15" i="93" s="1"/>
  <c r="G13" i="93"/>
  <c r="D13" i="93" s="1"/>
  <c r="G12" i="93"/>
  <c r="D12" i="93" s="1"/>
  <c r="G11" i="93"/>
  <c r="D11" i="93" s="1"/>
  <c r="G10" i="93"/>
  <c r="D10" i="93" s="1"/>
  <c r="G11" i="13" l="1"/>
  <c r="D11" i="13" s="1"/>
  <c r="E16" i="13" l="1"/>
  <c r="F16" i="13" s="1"/>
  <c r="E15" i="13"/>
  <c r="F15" i="13" s="1"/>
  <c r="E14" i="13"/>
  <c r="E13" i="13"/>
  <c r="G24" i="12"/>
  <c r="D24" i="12" s="1"/>
  <c r="G23" i="12"/>
  <c r="D23" i="12" s="1"/>
  <c r="G22" i="12"/>
  <c r="D22" i="12" s="1"/>
  <c r="G21" i="12"/>
  <c r="D21" i="12" s="1"/>
  <c r="G20" i="12"/>
  <c r="D20" i="12" s="1"/>
  <c r="G19" i="12"/>
  <c r="D19" i="12" s="1"/>
  <c r="G18" i="12"/>
  <c r="D18" i="12" s="1"/>
  <c r="G17" i="12"/>
  <c r="D17" i="12" s="1"/>
  <c r="G16" i="12"/>
  <c r="D16" i="12" s="1"/>
  <c r="G15" i="12"/>
  <c r="D15" i="12" s="1"/>
  <c r="G14" i="12"/>
  <c r="D14" i="12" s="1"/>
  <c r="F13" i="13" l="1"/>
  <c r="F14" i="13"/>
  <c r="G28" i="11"/>
  <c r="D28" i="11" s="1"/>
  <c r="G24" i="11"/>
  <c r="D24" i="11" s="1"/>
  <c r="G19" i="11"/>
  <c r="D19" i="11" s="1"/>
  <c r="G23" i="11"/>
  <c r="D23" i="11" s="1"/>
  <c r="G27" i="11"/>
  <c r="D27" i="11" s="1"/>
  <c r="G26" i="11"/>
  <c r="D26" i="11" s="1"/>
  <c r="G25" i="11"/>
  <c r="D25" i="11" s="1"/>
  <c r="G22" i="11"/>
  <c r="D22" i="11" s="1"/>
  <c r="G21" i="11"/>
  <c r="D21" i="11" s="1"/>
  <c r="G20" i="11"/>
  <c r="D20" i="11" s="1"/>
  <c r="G18" i="11"/>
  <c r="D18" i="11" s="1"/>
  <c r="G17" i="11"/>
  <c r="D17" i="11" s="1"/>
  <c r="G16" i="11"/>
  <c r="D16" i="11" s="1"/>
  <c r="G15" i="11"/>
  <c r="D15" i="11" s="1"/>
  <c r="G14" i="11"/>
  <c r="D14" i="11" s="1"/>
  <c r="G13" i="11"/>
  <c r="D13" i="11" s="1"/>
  <c r="G12" i="11"/>
  <c r="D12" i="11" s="1"/>
  <c r="G11" i="11"/>
  <c r="D11" i="11" s="1"/>
  <c r="G10" i="11"/>
  <c r="D10" i="11" s="1"/>
  <c r="G21" i="9" l="1"/>
  <c r="D21" i="9" s="1"/>
  <c r="G24" i="9"/>
  <c r="D24" i="9" s="1"/>
  <c r="G25" i="9"/>
  <c r="D25" i="9" s="1"/>
  <c r="G22" i="9"/>
  <c r="D22" i="9" s="1"/>
  <c r="G23" i="9"/>
  <c r="D23" i="9" s="1"/>
  <c r="G17" i="9"/>
  <c r="D17" i="9" s="1"/>
  <c r="G20" i="9"/>
  <c r="D20" i="9" s="1"/>
  <c r="G19" i="9"/>
  <c r="D19" i="9" s="1"/>
  <c r="G26" i="9"/>
  <c r="D26" i="9" s="1"/>
  <c r="G14" i="9"/>
  <c r="D14" i="9" s="1"/>
  <c r="G15" i="9"/>
  <c r="D15" i="9" s="1"/>
  <c r="G13" i="9"/>
  <c r="D13" i="9" s="1"/>
  <c r="G12" i="9"/>
  <c r="D12" i="9" s="1"/>
  <c r="G16" i="9"/>
  <c r="D16" i="9" s="1"/>
  <c r="G18" i="9"/>
  <c r="D18" i="9" s="1"/>
  <c r="G11" i="9"/>
  <c r="D11" i="9" s="1"/>
  <c r="G16" i="7" l="1"/>
  <c r="G12" i="8"/>
  <c r="D12" i="8" s="1"/>
  <c r="G11" i="8"/>
  <c r="D11" i="8" s="1"/>
  <c r="C14" i="7"/>
  <c r="C15" i="7"/>
  <c r="C16" i="7"/>
  <c r="C12" i="7"/>
  <c r="E14" i="6" l="1"/>
  <c r="F14" i="6" s="1"/>
  <c r="E13" i="6"/>
  <c r="F13" i="6" s="1"/>
  <c r="G12" i="48" l="1"/>
  <c r="D12" i="48" s="1"/>
  <c r="G11" i="48"/>
  <c r="D11" i="48" s="1"/>
  <c r="G10" i="48"/>
  <c r="D10" i="48" s="1"/>
  <c r="D13" i="5" l="1"/>
  <c r="E13" i="5" s="1"/>
  <c r="D12" i="5"/>
  <c r="E12" i="5" s="1"/>
  <c r="G12" i="4" l="1"/>
  <c r="D12" i="4" s="1"/>
  <c r="G11" i="4"/>
  <c r="D11" i="4" s="1"/>
  <c r="C16" i="76" l="1"/>
  <c r="G15" i="76"/>
  <c r="D15" i="76" s="1"/>
  <c r="G13" i="76"/>
  <c r="D13" i="76" s="1"/>
  <c r="G21" i="76"/>
  <c r="D21" i="76" s="1"/>
  <c r="G12" i="76"/>
  <c r="D12" i="76" s="1"/>
  <c r="G11" i="76"/>
  <c r="D11" i="76" s="1"/>
  <c r="G14" i="76"/>
  <c r="D14" i="76" s="1"/>
  <c r="G20" i="76"/>
  <c r="D20" i="76" s="1"/>
  <c r="G19" i="76"/>
  <c r="D19" i="76" s="1"/>
  <c r="G18" i="76"/>
  <c r="D18" i="76" s="1"/>
  <c r="G10" i="76"/>
  <c r="D10" i="76" s="1"/>
  <c r="G8" i="76"/>
  <c r="D8" i="76" s="1"/>
  <c r="G17" i="76"/>
  <c r="D17" i="76" s="1"/>
  <c r="G9" i="76"/>
  <c r="D9" i="76" s="1"/>
  <c r="G16" i="76"/>
  <c r="D16" i="76" s="1"/>
  <c r="F5" i="76" l="1"/>
  <c r="E13" i="76"/>
  <c r="I23" i="1" s="1"/>
  <c r="E14" i="76"/>
  <c r="I354" i="1" s="1"/>
  <c r="E10" i="76"/>
  <c r="E16" i="76"/>
  <c r="I428" i="1" s="1"/>
  <c r="E15" i="76"/>
  <c r="I4" i="1" s="1"/>
  <c r="E11" i="76"/>
  <c r="I137" i="1" s="1"/>
  <c r="E18" i="76"/>
  <c r="I279" i="1" s="1"/>
  <c r="E9" i="76"/>
  <c r="I364" i="1" s="1"/>
  <c r="E12" i="76"/>
  <c r="I165" i="1" s="1"/>
  <c r="E19" i="76"/>
  <c r="I220" i="1" s="1"/>
  <c r="E17" i="76"/>
  <c r="I140" i="1" s="1"/>
  <c r="E8" i="76"/>
  <c r="I326" i="1" s="1"/>
  <c r="E21" i="76"/>
  <c r="I44" i="1" s="1"/>
  <c r="E20" i="76"/>
  <c r="I222" i="1" s="1"/>
  <c r="AF283" i="84"/>
  <c r="AF282" i="84"/>
  <c r="AF281" i="84"/>
  <c r="AF280" i="84"/>
  <c r="AF279" i="84"/>
  <c r="AF278" i="84"/>
  <c r="AF277" i="84"/>
  <c r="AF276" i="84"/>
  <c r="AF275" i="84"/>
  <c r="AF274" i="84"/>
  <c r="AF273" i="84"/>
  <c r="AF272" i="84"/>
  <c r="AF271" i="84"/>
  <c r="AE282" i="84"/>
  <c r="AE275" i="84"/>
  <c r="AE281" i="84"/>
  <c r="AE278" i="84"/>
  <c r="AE283" i="84"/>
  <c r="AE280" i="84"/>
  <c r="AE273" i="84"/>
  <c r="AE277" i="84"/>
  <c r="AE271" i="84"/>
  <c r="AE279" i="84"/>
  <c r="AE276" i="84"/>
  <c r="AE272" i="84"/>
  <c r="AE274" i="84"/>
  <c r="C18" i="126"/>
  <c r="C16" i="126"/>
  <c r="C17" i="126"/>
  <c r="C13" i="126"/>
  <c r="C15" i="126"/>
  <c r="C11" i="126"/>
  <c r="C12" i="126"/>
  <c r="C14" i="126"/>
  <c r="C10" i="126"/>
  <c r="C9" i="126"/>
  <c r="C8" i="126"/>
  <c r="G12" i="123"/>
  <c r="D12" i="123" s="1"/>
  <c r="C12" i="123"/>
  <c r="C13" i="123"/>
  <c r="C10" i="123"/>
  <c r="C11" i="123"/>
  <c r="C21" i="123"/>
  <c r="C19" i="123"/>
  <c r="C15" i="123"/>
  <c r="C16" i="123"/>
  <c r="C18" i="123"/>
  <c r="C17" i="123"/>
  <c r="C9" i="123"/>
  <c r="C20" i="123"/>
  <c r="C14" i="123"/>
  <c r="C8" i="123"/>
  <c r="EK140" i="1" l="1"/>
  <c r="EL140" i="1" s="1"/>
  <c r="ED140" i="1" s="1"/>
  <c r="EG140" i="1"/>
  <c r="EF140" i="1"/>
  <c r="EJ140" i="1"/>
  <c r="G140" i="1"/>
  <c r="EB140" i="1" s="1"/>
  <c r="DZ140" i="1" s="1"/>
  <c r="EI140" i="1"/>
  <c r="EE140" i="1"/>
  <c r="EE279" i="1"/>
  <c r="EK279" i="1"/>
  <c r="EL279" i="1" s="1"/>
  <c r="ED279" i="1" s="1"/>
  <c r="EF279" i="1"/>
  <c r="EG279" i="1"/>
  <c r="G279" i="1"/>
  <c r="EB279" i="1" s="1"/>
  <c r="DZ279" i="1" s="1"/>
  <c r="EI279" i="1" s="1"/>
  <c r="EF222" i="1"/>
  <c r="G222" i="1"/>
  <c r="EB222" i="1" s="1"/>
  <c r="DZ222" i="1" s="1"/>
  <c r="EJ222" i="1" s="1"/>
  <c r="EI222" i="1"/>
  <c r="EE222" i="1"/>
  <c r="EG222" i="1"/>
  <c r="EK222" i="1"/>
  <c r="EL222" i="1" s="1"/>
  <c r="ED222" i="1" s="1"/>
  <c r="EE326" i="1"/>
  <c r="EE428" i="1"/>
  <c r="EE44" i="1"/>
  <c r="EG44" i="1"/>
  <c r="EK44" i="1"/>
  <c r="EF44" i="1"/>
  <c r="G44" i="1"/>
  <c r="EB44" i="1" s="1"/>
  <c r="DZ44" i="1" s="1"/>
  <c r="EF23" i="1"/>
  <c r="G23" i="1"/>
  <c r="EB23" i="1" s="1"/>
  <c r="DZ23" i="1" s="1"/>
  <c r="EJ23" i="1" s="1"/>
  <c r="EG23" i="1"/>
  <c r="EK23" i="1"/>
  <c r="EE23" i="1"/>
  <c r="G20" i="124"/>
  <c r="D20" i="124" s="1"/>
  <c r="G18" i="124"/>
  <c r="D18" i="124" s="1"/>
  <c r="G16" i="124"/>
  <c r="D16" i="124" s="1"/>
  <c r="G12" i="124"/>
  <c r="D12" i="124" s="1"/>
  <c r="G23" i="124"/>
  <c r="D23" i="124" s="1"/>
  <c r="G17" i="124"/>
  <c r="D17" i="124" s="1"/>
  <c r="C20" i="124"/>
  <c r="C18" i="124"/>
  <c r="C16" i="124"/>
  <c r="C12" i="124"/>
  <c r="C23" i="124"/>
  <c r="C17" i="124"/>
  <c r="C15" i="124"/>
  <c r="C13" i="124"/>
  <c r="C10" i="124"/>
  <c r="C8" i="124"/>
  <c r="C22" i="124"/>
  <c r="C14" i="124"/>
  <c r="C19" i="124"/>
  <c r="C21" i="124"/>
  <c r="C11" i="124"/>
  <c r="C9" i="124"/>
  <c r="C20" i="121"/>
  <c r="C18" i="121"/>
  <c r="C15" i="121"/>
  <c r="C11" i="121"/>
  <c r="C17" i="121"/>
  <c r="C16" i="121"/>
  <c r="C14" i="121"/>
  <c r="C12" i="121"/>
  <c r="C9" i="121"/>
  <c r="C8" i="121"/>
  <c r="C13" i="121"/>
  <c r="C19" i="121"/>
  <c r="C10" i="121"/>
  <c r="C21" i="121"/>
  <c r="G20" i="121"/>
  <c r="D20" i="121" s="1"/>
  <c r="G18" i="121"/>
  <c r="D18" i="121" s="1"/>
  <c r="G15" i="121"/>
  <c r="D15" i="121" s="1"/>
  <c r="G11" i="121"/>
  <c r="D11" i="121" s="1"/>
  <c r="G17" i="121"/>
  <c r="D17" i="121" s="1"/>
  <c r="G16" i="121"/>
  <c r="D16" i="121" s="1"/>
  <c r="G14" i="121"/>
  <c r="D14" i="121" s="1"/>
  <c r="G12" i="121"/>
  <c r="D12" i="121" s="1"/>
  <c r="EJ279" i="1" l="1"/>
  <c r="EL44" i="1"/>
  <c r="ED44" i="1" s="1"/>
  <c r="EL23" i="1"/>
  <c r="ED23" i="1" s="1"/>
  <c r="EI44" i="1"/>
  <c r="EJ44" i="1"/>
  <c r="EI23" i="1"/>
  <c r="G11" i="122"/>
  <c r="D11" i="122" s="1"/>
  <c r="G18" i="122"/>
  <c r="D18" i="122" s="1"/>
  <c r="G20" i="122"/>
  <c r="D20" i="122" s="1"/>
  <c r="G15" i="122"/>
  <c r="D15" i="122" s="1"/>
  <c r="G13" i="122"/>
  <c r="D13" i="122" s="1"/>
  <c r="C11" i="122"/>
  <c r="C18" i="122"/>
  <c r="C20" i="122"/>
  <c r="C15" i="122"/>
  <c r="C13" i="122"/>
  <c r="C17" i="122"/>
  <c r="C16" i="122"/>
  <c r="C12" i="122"/>
  <c r="C9" i="122"/>
  <c r="C8" i="122"/>
  <c r="C21" i="122"/>
  <c r="C14" i="122"/>
  <c r="C19" i="122"/>
  <c r="C17" i="115"/>
  <c r="C24" i="115"/>
  <c r="C15" i="115"/>
  <c r="C23" i="115"/>
  <c r="C22" i="115"/>
  <c r="C21" i="115"/>
  <c r="C20" i="115"/>
  <c r="C19" i="115"/>
  <c r="C18" i="115"/>
  <c r="C16" i="115"/>
  <c r="C14" i="115"/>
  <c r="C13" i="115"/>
  <c r="C12" i="115"/>
  <c r="C11" i="115"/>
  <c r="C10" i="115"/>
  <c r="C9" i="115"/>
  <c r="C8" i="115"/>
  <c r="G20" i="115"/>
  <c r="D20" i="115" s="1"/>
  <c r="G17" i="115"/>
  <c r="D17" i="115" s="1"/>
  <c r="G11" i="115"/>
  <c r="D11" i="115" s="1"/>
  <c r="G24" i="115"/>
  <c r="D24" i="115" s="1"/>
  <c r="G18" i="115"/>
  <c r="D18" i="115" s="1"/>
  <c r="G13" i="119" l="1"/>
  <c r="D13" i="119" s="1"/>
  <c r="G10" i="119"/>
  <c r="D10" i="119" s="1"/>
  <c r="G27" i="119"/>
  <c r="D27" i="119" s="1"/>
  <c r="G26" i="119"/>
  <c r="D26" i="119" s="1"/>
  <c r="G25" i="119"/>
  <c r="D25" i="119" s="1"/>
  <c r="G24" i="119"/>
  <c r="D24" i="119" s="1"/>
  <c r="G23" i="119"/>
  <c r="D23" i="119" s="1"/>
  <c r="G22" i="119"/>
  <c r="D22" i="119" s="1"/>
  <c r="G21" i="119"/>
  <c r="D21" i="119" s="1"/>
  <c r="G20" i="119"/>
  <c r="D20" i="119" s="1"/>
  <c r="G19" i="119"/>
  <c r="D19" i="119" s="1"/>
  <c r="G18" i="119"/>
  <c r="D18" i="119" s="1"/>
  <c r="G17" i="119"/>
  <c r="D17" i="119" s="1"/>
  <c r="G16" i="119"/>
  <c r="D16" i="119" s="1"/>
  <c r="G15" i="119"/>
  <c r="D15" i="119" s="1"/>
  <c r="C26" i="119"/>
  <c r="C25" i="119"/>
  <c r="C24" i="119"/>
  <c r="G14" i="119"/>
  <c r="D14" i="119" s="1"/>
  <c r="G12" i="119"/>
  <c r="D12" i="119" s="1"/>
  <c r="G11" i="119"/>
  <c r="D11" i="119" s="1"/>
  <c r="G28" i="118"/>
  <c r="D28" i="118" s="1"/>
  <c r="G27" i="118"/>
  <c r="D27" i="118" s="1"/>
  <c r="G26" i="118"/>
  <c r="D26" i="118" s="1"/>
  <c r="G25" i="118"/>
  <c r="D25" i="118" s="1"/>
  <c r="G24" i="118"/>
  <c r="D24" i="118" s="1"/>
  <c r="G23" i="118"/>
  <c r="D23" i="118" s="1"/>
  <c r="G22" i="118"/>
  <c r="D22" i="118" s="1"/>
  <c r="G21" i="118"/>
  <c r="D21" i="118" s="1"/>
  <c r="G20" i="118"/>
  <c r="D20" i="118" s="1"/>
  <c r="G19" i="118"/>
  <c r="D19" i="118" s="1"/>
  <c r="G18" i="118"/>
  <c r="D18" i="118" s="1"/>
  <c r="G17" i="118"/>
  <c r="D17" i="118" s="1"/>
  <c r="G16" i="118"/>
  <c r="D16" i="118" s="1"/>
  <c r="G15" i="118"/>
  <c r="D15" i="118" s="1"/>
  <c r="G14" i="118"/>
  <c r="D14" i="118" s="1"/>
  <c r="G13" i="118"/>
  <c r="D13" i="118" s="1"/>
  <c r="G12" i="118"/>
  <c r="D12" i="118" s="1"/>
  <c r="G11" i="118"/>
  <c r="D11" i="118" s="1"/>
  <c r="G10" i="118"/>
  <c r="D10" i="118" s="1"/>
  <c r="G32" i="114" l="1"/>
  <c r="D32" i="114" s="1"/>
  <c r="G30" i="114"/>
  <c r="D30" i="114" s="1"/>
  <c r="G28" i="114"/>
  <c r="D28" i="114" s="1"/>
  <c r="G29" i="114"/>
  <c r="D29" i="114" s="1"/>
  <c r="G33" i="114"/>
  <c r="D33" i="114" s="1"/>
  <c r="G27" i="114"/>
  <c r="D27" i="114" s="1"/>
  <c r="G35" i="114"/>
  <c r="D35" i="114" s="1"/>
  <c r="G24" i="114"/>
  <c r="D24" i="114" s="1"/>
  <c r="G26" i="114"/>
  <c r="D26" i="114" s="1"/>
  <c r="G20" i="114"/>
  <c r="D20" i="114" s="1"/>
  <c r="G16" i="114"/>
  <c r="D16" i="114" s="1"/>
  <c r="G8" i="114"/>
  <c r="D8" i="114" s="1"/>
  <c r="G17" i="114"/>
  <c r="D17" i="114" s="1"/>
  <c r="G9" i="114"/>
  <c r="D9" i="114" s="1"/>
  <c r="G31" i="114"/>
  <c r="D31" i="114" s="1"/>
  <c r="G25" i="114"/>
  <c r="D25" i="114" s="1"/>
  <c r="G21" i="114"/>
  <c r="D21" i="114" s="1"/>
  <c r="G22" i="114"/>
  <c r="D22" i="114" s="1"/>
  <c r="G23" i="114"/>
  <c r="D23" i="114" s="1"/>
  <c r="G22" i="112"/>
  <c r="D22" i="112" s="1"/>
  <c r="G28" i="112"/>
  <c r="D28" i="112" s="1"/>
  <c r="G21" i="112"/>
  <c r="D21" i="112" s="1"/>
  <c r="G26" i="112"/>
  <c r="D26" i="112" s="1"/>
  <c r="G27" i="112"/>
  <c r="D27" i="112" s="1"/>
  <c r="G23" i="112"/>
  <c r="D23" i="112" s="1"/>
  <c r="G24" i="112"/>
  <c r="D24" i="112" s="1"/>
  <c r="G17" i="112"/>
  <c r="D17" i="112" s="1"/>
  <c r="G25" i="112"/>
  <c r="D25" i="112" s="1"/>
  <c r="G12" i="112"/>
  <c r="D12" i="112" s="1"/>
  <c r="G15" i="112"/>
  <c r="D15" i="112" s="1"/>
  <c r="G19" i="112"/>
  <c r="D19" i="112" s="1"/>
  <c r="G13" i="112"/>
  <c r="D13" i="112" s="1"/>
  <c r="G14" i="113" l="1"/>
  <c r="G26" i="113"/>
  <c r="D26" i="113" s="1"/>
  <c r="G28" i="113"/>
  <c r="D28" i="113" s="1"/>
  <c r="G10" i="113"/>
  <c r="D10" i="113" s="1"/>
  <c r="G11" i="113"/>
  <c r="G13" i="113"/>
  <c r="G17" i="113"/>
  <c r="G35" i="113"/>
  <c r="D35" i="113" s="1"/>
  <c r="G27" i="113"/>
  <c r="G33" i="113"/>
  <c r="G32" i="113"/>
  <c r="G12" i="113"/>
  <c r="G20" i="113"/>
  <c r="D20" i="113" s="1"/>
  <c r="G15" i="113"/>
  <c r="G18" i="113"/>
  <c r="G16" i="113"/>
  <c r="G22" i="110"/>
  <c r="D22" i="110" s="1"/>
  <c r="G28" i="110"/>
  <c r="D28" i="110" s="1"/>
  <c r="G21" i="110"/>
  <c r="D21" i="110" s="1"/>
  <c r="D14" i="113" l="1"/>
  <c r="D27" i="113"/>
  <c r="G16" i="117" l="1"/>
  <c r="D16" i="117" s="1"/>
  <c r="G15" i="117"/>
  <c r="D15" i="117" s="1"/>
  <c r="G14" i="117"/>
  <c r="D14" i="117" s="1"/>
  <c r="G13" i="117"/>
  <c r="D13" i="117" s="1"/>
  <c r="G17" i="117"/>
  <c r="D17" i="117" s="1"/>
  <c r="G10" i="117"/>
  <c r="D10" i="117" s="1"/>
  <c r="F13" i="90" l="1"/>
  <c r="F14" i="90"/>
  <c r="E14" i="90"/>
  <c r="C9" i="90" s="1"/>
  <c r="E13" i="90"/>
  <c r="C8" i="90" l="1"/>
  <c r="G12" i="101"/>
  <c r="D12" i="101" l="1"/>
  <c r="G9" i="103"/>
  <c r="D9" i="103" s="1"/>
  <c r="G10" i="102"/>
  <c r="D10" i="102" s="1"/>
  <c r="G9" i="102"/>
  <c r="D9" i="102" s="1"/>
  <c r="G8" i="102"/>
  <c r="D8" i="102" s="1"/>
  <c r="E10" i="102" l="1"/>
  <c r="CY74" i="1" s="1"/>
  <c r="E11" i="102"/>
  <c r="CY446" i="1" s="1"/>
  <c r="E9" i="102"/>
  <c r="CY337" i="1" s="1"/>
  <c r="E8" i="102"/>
  <c r="CY57" i="1" s="1"/>
  <c r="F5" i="102"/>
  <c r="G10" i="85"/>
  <c r="D10" i="85" s="1"/>
  <c r="G15" i="85"/>
  <c r="D15" i="85" s="1"/>
  <c r="G16" i="85"/>
  <c r="D16" i="85" s="1"/>
  <c r="G12" i="85"/>
  <c r="D12" i="85" s="1"/>
  <c r="G17" i="85"/>
  <c r="D17" i="85" s="1"/>
  <c r="G9" i="85"/>
  <c r="D9" i="85" s="1"/>
  <c r="G26" i="67" l="1"/>
  <c r="D26" i="67" s="1"/>
  <c r="G24" i="67"/>
  <c r="D24" i="67" s="1"/>
  <c r="G9" i="67"/>
  <c r="D9" i="67" s="1"/>
  <c r="G14" i="67"/>
  <c r="D14" i="67" s="1"/>
  <c r="G25" i="67"/>
  <c r="D25" i="67" s="1"/>
  <c r="G23" i="67"/>
  <c r="D23" i="67" s="1"/>
  <c r="G30" i="67"/>
  <c r="D30" i="67" s="1"/>
  <c r="G18" i="67"/>
  <c r="D18" i="67" s="1"/>
  <c r="G21" i="70"/>
  <c r="D21" i="70" s="1"/>
  <c r="G22" i="70"/>
  <c r="D22" i="70" s="1"/>
  <c r="G9" i="68" l="1"/>
  <c r="D9" i="68" s="1"/>
  <c r="G9" i="86" l="1"/>
  <c r="D9" i="86" s="1"/>
  <c r="EM5" i="1" l="1"/>
  <c r="EH5" i="1"/>
  <c r="EF5" i="1"/>
  <c r="EE5" i="1"/>
  <c r="EC5" i="1"/>
  <c r="EA5" i="1"/>
  <c r="G30" i="64"/>
  <c r="D30" i="64" s="1"/>
  <c r="G23" i="64"/>
  <c r="D23" i="64" s="1"/>
  <c r="G27" i="64"/>
  <c r="D27" i="64" s="1"/>
  <c r="G37" i="64"/>
  <c r="D37" i="64" s="1"/>
  <c r="G11" i="97" l="1"/>
  <c r="D11" i="97" s="1"/>
  <c r="G9" i="73"/>
  <c r="D9" i="73" s="1"/>
  <c r="G20" i="38"/>
  <c r="D20" i="38" s="1"/>
  <c r="G14" i="38"/>
  <c r="D14" i="38" s="1"/>
  <c r="G19" i="38"/>
  <c r="D19" i="38" s="1"/>
  <c r="G11" i="59"/>
  <c r="D11" i="59" s="1"/>
  <c r="G10" i="59"/>
  <c r="D10" i="59" s="1"/>
  <c r="G20" i="54"/>
  <c r="D20" i="54" s="1"/>
  <c r="G18" i="54"/>
  <c r="D18" i="54" s="1"/>
  <c r="G19" i="54"/>
  <c r="D19" i="54" s="1"/>
  <c r="G9" i="54"/>
  <c r="D9" i="54" s="1"/>
  <c r="G14" i="54"/>
  <c r="D14" i="54" s="1"/>
  <c r="G8" i="54"/>
  <c r="D8" i="54" s="1"/>
  <c r="G16" i="54"/>
  <c r="D16" i="54" s="1"/>
  <c r="G17" i="54"/>
  <c r="D17" i="54" s="1"/>
  <c r="G21" i="54"/>
  <c r="D21" i="54" s="1"/>
  <c r="G12" i="54"/>
  <c r="D12" i="54" s="1"/>
  <c r="G13" i="54"/>
  <c r="D13" i="54" s="1"/>
  <c r="G11" i="54"/>
  <c r="D11" i="54" s="1"/>
  <c r="G9" i="82" l="1"/>
  <c r="D9" i="82" s="1"/>
  <c r="G11" i="73"/>
  <c r="D11" i="73" s="1"/>
  <c r="G10" i="73"/>
  <c r="D10" i="73" s="1"/>
  <c r="G8" i="73"/>
  <c r="D8" i="73" s="1"/>
  <c r="E9" i="73" l="1"/>
  <c r="BW310" i="1" s="1"/>
  <c r="F5" i="73"/>
  <c r="E11" i="73"/>
  <c r="BW223" i="1" s="1"/>
  <c r="E10" i="73"/>
  <c r="BW31" i="1" s="1"/>
  <c r="E8" i="73"/>
  <c r="BW83" i="1" s="1"/>
  <c r="G11" i="49" l="1"/>
  <c r="D11" i="49" s="1"/>
  <c r="G9" i="58"/>
  <c r="D9" i="58" s="1"/>
  <c r="G8" i="58"/>
  <c r="D8" i="58" s="1"/>
  <c r="G11" i="58"/>
  <c r="D11" i="58" s="1"/>
  <c r="G10" i="58"/>
  <c r="D10" i="58" s="1"/>
  <c r="G14" i="62"/>
  <c r="D14" i="62" s="1"/>
  <c r="G11" i="62"/>
  <c r="D11" i="62" s="1"/>
  <c r="G12" i="62"/>
  <c r="D12" i="62" s="1"/>
  <c r="E41" i="58" l="1"/>
  <c r="BS452" i="1" s="1"/>
  <c r="E38" i="58"/>
  <c r="BS461" i="1" s="1"/>
  <c r="E35" i="58"/>
  <c r="BS153" i="1" s="1"/>
  <c r="E32" i="58"/>
  <c r="BS258" i="1" s="1"/>
  <c r="E29" i="58"/>
  <c r="BS148" i="1" s="1"/>
  <c r="E26" i="58"/>
  <c r="E23" i="58"/>
  <c r="BS267" i="1" s="1"/>
  <c r="E20" i="58"/>
  <c r="BS130" i="1" s="1"/>
  <c r="E14" i="58"/>
  <c r="BS387" i="1" s="1"/>
  <c r="E42" i="58"/>
  <c r="BS464" i="1" s="1"/>
  <c r="E39" i="58"/>
  <c r="BS405" i="1" s="1"/>
  <c r="E36" i="58"/>
  <c r="BS381" i="1" s="1"/>
  <c r="E33" i="58"/>
  <c r="BS422" i="1" s="1"/>
  <c r="E30" i="58"/>
  <c r="BS269" i="1" s="1"/>
  <c r="E27" i="58"/>
  <c r="BS386" i="1" s="1"/>
  <c r="E17" i="58"/>
  <c r="BS340" i="1" s="1"/>
  <c r="E15" i="58"/>
  <c r="BS434" i="1" s="1"/>
  <c r="E40" i="58"/>
  <c r="BS206" i="1" s="1"/>
  <c r="E37" i="58"/>
  <c r="BS300" i="1" s="1"/>
  <c r="E31" i="58"/>
  <c r="BS184" i="1" s="1"/>
  <c r="E28" i="58"/>
  <c r="BS233" i="1" s="1"/>
  <c r="E24" i="58"/>
  <c r="BS435" i="1" s="1"/>
  <c r="E21" i="58"/>
  <c r="BS239" i="1" s="1"/>
  <c r="E18" i="58"/>
  <c r="BS48" i="1" s="1"/>
  <c r="E13" i="58"/>
  <c r="BS199" i="1" s="1"/>
  <c r="E43" i="58"/>
  <c r="E34" i="58"/>
  <c r="BS64" i="1" s="1"/>
  <c r="E25" i="58"/>
  <c r="BS189" i="1" s="1"/>
  <c r="E22" i="58"/>
  <c r="BS205" i="1" s="1"/>
  <c r="E19" i="58"/>
  <c r="BS92" i="1" s="1"/>
  <c r="E16" i="58"/>
  <c r="BS416" i="1" s="1"/>
  <c r="G9" i="63"/>
  <c r="D9" i="63" s="1"/>
  <c r="G10" i="63"/>
  <c r="D10" i="63" s="1"/>
  <c r="G11" i="63"/>
  <c r="D11" i="63" s="1"/>
  <c r="EK381" i="1" l="1"/>
  <c r="EL381" i="1" s="1"/>
  <c r="ED381" i="1" s="1"/>
  <c r="EG381" i="1"/>
  <c r="G381" i="1"/>
  <c r="EB381" i="1" s="1"/>
  <c r="DZ381" i="1" s="1"/>
  <c r="EK258" i="1"/>
  <c r="EL258" i="1" s="1"/>
  <c r="ED258" i="1" s="1"/>
  <c r="G258" i="1"/>
  <c r="EB258" i="1" s="1"/>
  <c r="DZ258" i="1" s="1"/>
  <c r="EG258" i="1"/>
  <c r="EK416" i="1"/>
  <c r="EL416" i="1" s="1"/>
  <c r="ED416" i="1" s="1"/>
  <c r="EG416" i="1"/>
  <c r="G416" i="1"/>
  <c r="EB416" i="1" s="1"/>
  <c r="DZ416" i="1" s="1"/>
  <c r="EK405" i="1"/>
  <c r="EL405" i="1" s="1"/>
  <c r="ED405" i="1" s="1"/>
  <c r="EG405" i="1"/>
  <c r="G405" i="1"/>
  <c r="EB405" i="1" s="1"/>
  <c r="DZ405" i="1" s="1"/>
  <c r="EK435" i="1"/>
  <c r="EL435" i="1" s="1"/>
  <c r="ED435" i="1" s="1"/>
  <c r="EG435" i="1"/>
  <c r="G435" i="1"/>
  <c r="EB435" i="1" s="1"/>
  <c r="DZ435" i="1" s="1"/>
  <c r="EK206" i="1"/>
  <c r="EL206" i="1" s="1"/>
  <c r="ED206" i="1" s="1"/>
  <c r="EG206" i="1"/>
  <c r="G206" i="1"/>
  <c r="EB206" i="1" s="1"/>
  <c r="DZ206" i="1" s="1"/>
  <c r="G464" i="1"/>
  <c r="EB464" i="1" s="1"/>
  <c r="DZ464" i="1" s="1"/>
  <c r="EK464" i="1"/>
  <c r="EL464" i="1" s="1"/>
  <c r="ED464" i="1" s="1"/>
  <c r="EG464" i="1"/>
  <c r="EK452" i="1"/>
  <c r="EL452" i="1" s="1"/>
  <c r="ED452" i="1" s="1"/>
  <c r="EG452" i="1"/>
  <c r="G452" i="1"/>
  <c r="EB452" i="1" s="1"/>
  <c r="DZ452" i="1" s="1"/>
  <c r="G17" i="49"/>
  <c r="D17" i="49" s="1"/>
  <c r="G15" i="49"/>
  <c r="D15" i="49" s="1"/>
  <c r="G12" i="49"/>
  <c r="D12" i="49" s="1"/>
  <c r="G10" i="49"/>
  <c r="D10" i="49" s="1"/>
  <c r="G9" i="49"/>
  <c r="D9" i="49" s="1"/>
  <c r="G16" i="49"/>
  <c r="D16" i="49" s="1"/>
  <c r="G18" i="49"/>
  <c r="D18" i="49" s="1"/>
  <c r="G8" i="49"/>
  <c r="D8" i="49" s="1"/>
  <c r="G13" i="49"/>
  <c r="D13" i="49" s="1"/>
  <c r="G24" i="71"/>
  <c r="D24" i="71" s="1"/>
  <c r="G23" i="71"/>
  <c r="D23" i="71" s="1"/>
  <c r="G20" i="71"/>
  <c r="D20" i="71" s="1"/>
  <c r="G19" i="71"/>
  <c r="D19" i="71" s="1"/>
  <c r="G16" i="71"/>
  <c r="D16" i="71" s="1"/>
  <c r="G21" i="71"/>
  <c r="D21" i="71" s="1"/>
  <c r="G12" i="71"/>
  <c r="D12" i="71" s="1"/>
  <c r="G17" i="71"/>
  <c r="D17" i="71" s="1"/>
  <c r="G11" i="71"/>
  <c r="D11" i="71" s="1"/>
  <c r="G18" i="71"/>
  <c r="D18" i="71" s="1"/>
  <c r="G13" i="71"/>
  <c r="D13" i="71" s="1"/>
  <c r="G14" i="71"/>
  <c r="D14" i="71" s="1"/>
  <c r="G22" i="71"/>
  <c r="D22" i="71" s="1"/>
  <c r="G10" i="71"/>
  <c r="D10" i="71" s="1"/>
  <c r="G9" i="71"/>
  <c r="D9" i="71" s="1"/>
  <c r="G8" i="71"/>
  <c r="D8" i="71" s="1"/>
  <c r="EJ405" i="1" l="1"/>
  <c r="EI405" i="1"/>
  <c r="EJ381" i="1"/>
  <c r="EI381" i="1"/>
  <c r="EJ452" i="1"/>
  <c r="EI452" i="1"/>
  <c r="EI464" i="1"/>
  <c r="EJ464" i="1"/>
  <c r="EJ435" i="1"/>
  <c r="EI435" i="1"/>
  <c r="EJ206" i="1"/>
  <c r="EI206" i="1"/>
  <c r="EJ416" i="1"/>
  <c r="EI416" i="1"/>
  <c r="EJ258" i="1"/>
  <c r="EI258" i="1"/>
  <c r="F5" i="49"/>
  <c r="G16" i="72"/>
  <c r="D16" i="72" s="1"/>
  <c r="G10" i="72"/>
  <c r="D10" i="72" s="1"/>
  <c r="G8" i="72"/>
  <c r="D8" i="72" s="1"/>
  <c r="G12" i="65" l="1"/>
  <c r="D12" i="65" s="1"/>
  <c r="G11" i="65"/>
  <c r="D11" i="65" s="1"/>
  <c r="G9" i="65"/>
  <c r="D9" i="65" s="1"/>
  <c r="G9" i="46" l="1"/>
  <c r="D9" i="46" s="1"/>
  <c r="G9" i="60" l="1"/>
  <c r="D9" i="60" s="1"/>
  <c r="G10" i="60"/>
  <c r="D10" i="60" s="1"/>
  <c r="G11" i="41" l="1"/>
  <c r="D11" i="41" s="1"/>
  <c r="G14" i="37" l="1"/>
  <c r="D14" i="37" s="1"/>
  <c r="G15" i="37"/>
  <c r="D15" i="37" s="1"/>
  <c r="G13" i="37"/>
  <c r="D13" i="37" s="1"/>
  <c r="G16" i="37"/>
  <c r="D16" i="37" s="1"/>
  <c r="G11" i="37"/>
  <c r="D11" i="37" s="1"/>
  <c r="G12" i="36" l="1"/>
  <c r="D12" i="36" s="1"/>
  <c r="G18" i="29" l="1"/>
  <c r="D18" i="29" s="1"/>
  <c r="G17" i="29"/>
  <c r="D17" i="29" s="1"/>
  <c r="G20" i="28" l="1"/>
  <c r="D20" i="28" s="1"/>
  <c r="G12" i="28"/>
  <c r="G16" i="28"/>
  <c r="G11" i="28"/>
  <c r="G12" i="43"/>
  <c r="G11" i="43"/>
  <c r="G10" i="43"/>
  <c r="G8" i="43"/>
  <c r="D11" i="28" l="1"/>
  <c r="D11" i="43"/>
  <c r="D10" i="43"/>
  <c r="G8" i="27"/>
  <c r="D8" i="27" s="1"/>
  <c r="G9" i="27"/>
  <c r="D9" i="27" s="1"/>
  <c r="G10" i="27"/>
  <c r="D10" i="27" s="1"/>
  <c r="G11" i="27"/>
  <c r="D11" i="27" s="1"/>
  <c r="G14" i="34"/>
  <c r="D14" i="34" s="1"/>
  <c r="G10" i="34"/>
  <c r="D10" i="34" s="1"/>
  <c r="G13" i="34"/>
  <c r="D13" i="34" s="1"/>
  <c r="G9" i="34"/>
  <c r="D9" i="34" s="1"/>
  <c r="G15" i="34"/>
  <c r="D15" i="34" s="1"/>
  <c r="G17" i="34"/>
  <c r="D17" i="34" s="1"/>
  <c r="G19" i="34"/>
  <c r="D19" i="34" s="1"/>
  <c r="G16" i="34"/>
  <c r="D16" i="34" s="1"/>
  <c r="G8" i="34"/>
  <c r="D8" i="34" s="1"/>
  <c r="E11" i="27" l="1"/>
  <c r="AP60" i="1" s="1"/>
  <c r="F5" i="27"/>
  <c r="E8" i="27"/>
  <c r="AP369" i="1" s="1"/>
  <c r="E10" i="27"/>
  <c r="AP142" i="1" s="1"/>
  <c r="E9" i="27"/>
  <c r="AP134" i="1" s="1"/>
  <c r="G10" i="30"/>
  <c r="D10" i="30" s="1"/>
  <c r="D20" i="30" l="1"/>
  <c r="D13" i="30"/>
  <c r="G10" i="42"/>
  <c r="D10" i="42" s="1"/>
  <c r="G12" i="83" l="1"/>
  <c r="D12" i="83" s="1"/>
  <c r="E14" i="21" l="1"/>
  <c r="C9" i="21" s="1"/>
  <c r="E13" i="21"/>
  <c r="C8" i="21" s="1"/>
  <c r="G11" i="83"/>
  <c r="D11" i="83" s="1"/>
  <c r="G8" i="83"/>
  <c r="D8" i="83" s="1"/>
  <c r="E9" i="83" l="1"/>
  <c r="AH123" i="1" s="1"/>
  <c r="E12" i="83"/>
  <c r="AH107" i="1" s="1"/>
  <c r="F5" i="83"/>
  <c r="E10" i="83"/>
  <c r="AH66" i="1" s="1"/>
  <c r="E11" i="83"/>
  <c r="AH312" i="1" s="1"/>
  <c r="E8" i="83"/>
  <c r="AH16" i="1" s="1"/>
  <c r="G10" i="19"/>
  <c r="D10" i="19" s="1"/>
  <c r="G9" i="19" l="1"/>
  <c r="D9" i="19" s="1"/>
  <c r="G8" i="19"/>
  <c r="D8" i="19" s="1"/>
  <c r="E10" i="19" l="1"/>
  <c r="AE16" i="1" s="1"/>
  <c r="E8" i="19"/>
  <c r="AE123" i="1" s="1"/>
  <c r="E9" i="19"/>
  <c r="AF66" i="1" s="1"/>
  <c r="F5" i="19"/>
  <c r="EM46" i="1"/>
  <c r="EH46" i="1"/>
  <c r="EF46" i="1"/>
  <c r="EE46" i="1"/>
  <c r="EC46" i="1"/>
  <c r="EA46" i="1"/>
  <c r="EM6" i="1"/>
  <c r="EH6" i="1"/>
  <c r="EG6" i="1"/>
  <c r="EF6" i="1"/>
  <c r="EE6" i="1"/>
  <c r="EA6" i="1"/>
  <c r="EB6" i="1"/>
  <c r="DZ6" i="1" s="1"/>
  <c r="EJ6" i="1" s="1"/>
  <c r="EM29" i="1"/>
  <c r="EH29" i="1"/>
  <c r="EF29" i="1"/>
  <c r="EE29" i="1"/>
  <c r="EC29" i="1"/>
  <c r="EA29" i="1"/>
  <c r="EM26" i="1"/>
  <c r="EH26" i="1"/>
  <c r="EF26" i="1"/>
  <c r="EE26" i="1"/>
  <c r="EC26" i="1"/>
  <c r="EA26" i="1"/>
  <c r="EM8" i="1"/>
  <c r="EH8" i="1"/>
  <c r="EF8" i="1"/>
  <c r="EE8" i="1"/>
  <c r="EC8" i="1"/>
  <c r="EA8" i="1"/>
  <c r="EM13" i="1"/>
  <c r="EH13" i="1"/>
  <c r="EE13" i="1"/>
  <c r="EC13" i="1"/>
  <c r="EA13" i="1"/>
  <c r="EM27" i="1"/>
  <c r="EH27" i="1"/>
  <c r="EE27" i="1"/>
  <c r="EC27" i="1"/>
  <c r="EA27" i="1"/>
  <c r="EM25" i="1"/>
  <c r="EH25" i="1"/>
  <c r="EE25" i="1"/>
  <c r="EA25" i="1"/>
  <c r="EM14" i="1"/>
  <c r="EH14" i="1"/>
  <c r="EE14" i="1"/>
  <c r="EC14" i="1"/>
  <c r="EA14" i="1"/>
  <c r="EM7" i="1"/>
  <c r="EH7" i="1"/>
  <c r="EE7" i="1"/>
  <c r="EC7" i="1"/>
  <c r="EA7" i="1"/>
  <c r="EM4" i="1"/>
  <c r="EH4" i="1"/>
  <c r="EC4" i="1"/>
  <c r="EA4" i="1"/>
  <c r="EM1104" i="1"/>
  <c r="EH1104" i="1"/>
  <c r="EG1104" i="1"/>
  <c r="EF1104" i="1"/>
  <c r="EE1104" i="1"/>
  <c r="EC1104" i="1"/>
  <c r="EA1104" i="1"/>
  <c r="ED6" i="1" l="1"/>
  <c r="EK6" i="1"/>
  <c r="EL6" i="1" s="1"/>
  <c r="EK1104" i="1"/>
  <c r="EL1104" i="1" s="1"/>
  <c r="ED1104" i="1" s="1"/>
  <c r="EI6" i="1"/>
  <c r="G20" i="18"/>
  <c r="D20" i="18" s="1"/>
  <c r="G19" i="18"/>
  <c r="G18" i="18"/>
  <c r="G17" i="18"/>
  <c r="G16" i="18"/>
  <c r="G15" i="18"/>
  <c r="G14" i="18"/>
  <c r="G13" i="18"/>
  <c r="G12" i="18"/>
  <c r="G11" i="18"/>
  <c r="G10" i="18"/>
  <c r="D13" i="18" l="1"/>
  <c r="D16" i="18"/>
  <c r="D18" i="18"/>
  <c r="D19" i="18"/>
  <c r="D11" i="18"/>
  <c r="D15" i="18"/>
  <c r="D17" i="18"/>
  <c r="D12" i="18"/>
  <c r="D14" i="18"/>
  <c r="G25" i="17"/>
  <c r="G11" i="14" l="1"/>
  <c r="D11" i="14" s="1"/>
  <c r="G18" i="20" l="1"/>
  <c r="D18" i="20" s="1"/>
  <c r="G17" i="20"/>
  <c r="D17" i="20" s="1"/>
  <c r="G19" i="20"/>
  <c r="D19" i="20" s="1"/>
  <c r="G16" i="20"/>
  <c r="D16" i="20" s="1"/>
  <c r="G11" i="20"/>
  <c r="D11" i="20" s="1"/>
  <c r="G15" i="20"/>
  <c r="D15" i="20" s="1"/>
  <c r="G14" i="20"/>
  <c r="D14" i="20" s="1"/>
  <c r="G10" i="20"/>
  <c r="D10" i="20" s="1"/>
  <c r="G8" i="20"/>
  <c r="D8" i="20" s="1"/>
  <c r="G13" i="20"/>
  <c r="D13" i="20" s="1"/>
  <c r="G14" i="92" l="1"/>
  <c r="G13" i="92"/>
  <c r="D13" i="92" s="1"/>
  <c r="G18" i="92"/>
  <c r="G17" i="92"/>
  <c r="G16" i="92"/>
  <c r="G12" i="92"/>
  <c r="G11" i="92"/>
  <c r="G15" i="92"/>
  <c r="D15" i="92" s="1"/>
  <c r="D12" i="92" l="1"/>
  <c r="D14" i="92"/>
  <c r="D18" i="92"/>
  <c r="D16" i="92"/>
  <c r="D17" i="92"/>
  <c r="G9" i="9" l="1"/>
  <c r="D9" i="9" s="1"/>
  <c r="G15" i="7" l="1"/>
  <c r="G14" i="7"/>
  <c r="G13" i="7"/>
  <c r="G12" i="7"/>
  <c r="D15" i="7" l="1"/>
  <c r="D14" i="7"/>
  <c r="G10" i="4" l="1"/>
  <c r="D10" i="4" s="1"/>
  <c r="G9" i="4"/>
  <c r="G8" i="4"/>
  <c r="D8" i="4" l="1"/>
  <c r="D9" i="4"/>
  <c r="G12" i="10"/>
  <c r="D12" i="10" s="1"/>
  <c r="E8" i="4" l="1"/>
  <c r="K16" i="1" s="1"/>
  <c r="E10" i="4"/>
  <c r="K312" i="1" s="1"/>
  <c r="E9" i="4"/>
  <c r="K66" i="1" s="1"/>
  <c r="E12" i="4"/>
  <c r="K123" i="1" s="1"/>
  <c r="E11" i="4"/>
  <c r="K369" i="1" s="1"/>
  <c r="EM1103" i="1"/>
  <c r="EH1103" i="1"/>
  <c r="EG1103" i="1"/>
  <c r="EF1103" i="1"/>
  <c r="EE1103" i="1"/>
  <c r="EC1103" i="1"/>
  <c r="EA1103" i="1"/>
  <c r="EB1103" i="1"/>
  <c r="DZ1103" i="1" s="1"/>
  <c r="EM1102" i="1"/>
  <c r="EH1102" i="1"/>
  <c r="EG1102" i="1"/>
  <c r="EF1102" i="1"/>
  <c r="EE1102" i="1"/>
  <c r="EC1102" i="1"/>
  <c r="EA1102" i="1"/>
  <c r="EB1102" i="1"/>
  <c r="DZ1102" i="1" s="1"/>
  <c r="EM1101" i="1"/>
  <c r="EH1101" i="1"/>
  <c r="EG1101" i="1"/>
  <c r="EF1101" i="1"/>
  <c r="EE1101" i="1"/>
  <c r="EC1101" i="1"/>
  <c r="EA1101" i="1"/>
  <c r="EB1101" i="1"/>
  <c r="DZ1101" i="1" s="1"/>
  <c r="EM1100" i="1"/>
  <c r="EH1100" i="1"/>
  <c r="EG1100" i="1"/>
  <c r="EF1100" i="1"/>
  <c r="EE1100" i="1"/>
  <c r="EC1100" i="1"/>
  <c r="EA1100" i="1"/>
  <c r="EB1100" i="1"/>
  <c r="DZ1100" i="1" s="1"/>
  <c r="EM1099" i="1"/>
  <c r="EH1099" i="1"/>
  <c r="EG1099" i="1"/>
  <c r="EF1099" i="1"/>
  <c r="EE1099" i="1"/>
  <c r="EC1099" i="1"/>
  <c r="EA1099" i="1"/>
  <c r="EB1099" i="1"/>
  <c r="DZ1099" i="1" s="1"/>
  <c r="EJ1099" i="1" s="1"/>
  <c r="EM1098" i="1"/>
  <c r="EH1098" i="1"/>
  <c r="EG1098" i="1"/>
  <c r="EF1098" i="1"/>
  <c r="EE1098" i="1"/>
  <c r="EC1098" i="1"/>
  <c r="EA1098" i="1"/>
  <c r="EB1098" i="1"/>
  <c r="DZ1098" i="1" s="1"/>
  <c r="EM1097" i="1"/>
  <c r="EH1097" i="1"/>
  <c r="EG1097" i="1"/>
  <c r="EF1097" i="1"/>
  <c r="EE1097" i="1"/>
  <c r="EC1097" i="1"/>
  <c r="EA1097" i="1"/>
  <c r="EB1097" i="1"/>
  <c r="DZ1097" i="1" s="1"/>
  <c r="EJ1097" i="1" s="1"/>
  <c r="EM1096" i="1"/>
  <c r="EH1096" i="1"/>
  <c r="EG1096" i="1"/>
  <c r="EF1096" i="1"/>
  <c r="EE1096" i="1"/>
  <c r="EC1096" i="1"/>
  <c r="EA1096" i="1"/>
  <c r="EB1096" i="1"/>
  <c r="DZ1096" i="1" s="1"/>
  <c r="EM1095" i="1"/>
  <c r="EH1095" i="1"/>
  <c r="EG1095" i="1"/>
  <c r="EF1095" i="1"/>
  <c r="EE1095" i="1"/>
  <c r="EC1095" i="1"/>
  <c r="EA1095" i="1"/>
  <c r="EB1095" i="1"/>
  <c r="DZ1095" i="1" s="1"/>
  <c r="EM1094" i="1"/>
  <c r="EH1094" i="1"/>
  <c r="EG1094" i="1"/>
  <c r="EF1094" i="1"/>
  <c r="EE1094" i="1"/>
  <c r="EC1094" i="1"/>
  <c r="EA1094" i="1"/>
  <c r="EB1094" i="1"/>
  <c r="DZ1094" i="1" s="1"/>
  <c r="EM1093" i="1"/>
  <c r="EH1093" i="1"/>
  <c r="EG1093" i="1"/>
  <c r="EF1093" i="1"/>
  <c r="EE1093" i="1"/>
  <c r="EC1093" i="1"/>
  <c r="EA1093" i="1"/>
  <c r="EB1093" i="1"/>
  <c r="DZ1093" i="1" s="1"/>
  <c r="EM1092" i="1"/>
  <c r="EH1092" i="1"/>
  <c r="EG1092" i="1"/>
  <c r="EF1092" i="1"/>
  <c r="EE1092" i="1"/>
  <c r="EC1092" i="1"/>
  <c r="EA1092" i="1"/>
  <c r="EB1092" i="1"/>
  <c r="DZ1092" i="1" s="1"/>
  <c r="EM1091" i="1"/>
  <c r="EH1091" i="1"/>
  <c r="EG1091" i="1"/>
  <c r="EF1091" i="1"/>
  <c r="EE1091" i="1"/>
  <c r="EC1091" i="1"/>
  <c r="EA1091" i="1"/>
  <c r="EB1091" i="1"/>
  <c r="DZ1091" i="1" s="1"/>
  <c r="EM1090" i="1"/>
  <c r="EH1090" i="1"/>
  <c r="EG1090" i="1"/>
  <c r="EF1090" i="1"/>
  <c r="EE1090" i="1"/>
  <c r="EC1090" i="1"/>
  <c r="EA1090" i="1"/>
  <c r="EB1090" i="1"/>
  <c r="DZ1090" i="1" s="1"/>
  <c r="EJ1090" i="1" s="1"/>
  <c r="EM1089" i="1"/>
  <c r="EH1089" i="1"/>
  <c r="EG1089" i="1"/>
  <c r="EF1089" i="1"/>
  <c r="EE1089" i="1"/>
  <c r="EC1089" i="1"/>
  <c r="EA1089" i="1"/>
  <c r="EB1089" i="1"/>
  <c r="DZ1089" i="1" s="1"/>
  <c r="EM1088" i="1"/>
  <c r="EH1088" i="1"/>
  <c r="EG1088" i="1"/>
  <c r="EF1088" i="1"/>
  <c r="EE1088" i="1"/>
  <c r="EC1088" i="1"/>
  <c r="EA1088" i="1"/>
  <c r="EB1088" i="1"/>
  <c r="DZ1088" i="1" s="1"/>
  <c r="EM1087" i="1"/>
  <c r="EH1087" i="1"/>
  <c r="EG1087" i="1"/>
  <c r="EF1087" i="1"/>
  <c r="EE1087" i="1"/>
  <c r="EC1087" i="1"/>
  <c r="EA1087" i="1"/>
  <c r="EB1087" i="1"/>
  <c r="DZ1087" i="1" s="1"/>
  <c r="EM1086" i="1"/>
  <c r="EH1086" i="1"/>
  <c r="EG1086" i="1"/>
  <c r="EF1086" i="1"/>
  <c r="EE1086" i="1"/>
  <c r="EC1086" i="1"/>
  <c r="EA1086" i="1"/>
  <c r="EB1086" i="1"/>
  <c r="DZ1086" i="1" s="1"/>
  <c r="EM1085" i="1"/>
  <c r="EH1085" i="1"/>
  <c r="EG1085" i="1"/>
  <c r="EF1085" i="1"/>
  <c r="EE1085" i="1"/>
  <c r="EC1085" i="1"/>
  <c r="EA1085" i="1"/>
  <c r="EB1085" i="1"/>
  <c r="DZ1085" i="1" s="1"/>
  <c r="EM1084" i="1"/>
  <c r="EH1084" i="1"/>
  <c r="EG1084" i="1"/>
  <c r="EF1084" i="1"/>
  <c r="EE1084" i="1"/>
  <c r="EC1084" i="1"/>
  <c r="EA1084" i="1"/>
  <c r="EB1084" i="1"/>
  <c r="DZ1084" i="1" s="1"/>
  <c r="EM1083" i="1"/>
  <c r="EH1083" i="1"/>
  <c r="EG1083" i="1"/>
  <c r="EF1083" i="1"/>
  <c r="EE1083" i="1"/>
  <c r="EC1083" i="1"/>
  <c r="EA1083" i="1"/>
  <c r="EB1083" i="1"/>
  <c r="DZ1083" i="1" s="1"/>
  <c r="EM1082" i="1"/>
  <c r="EH1082" i="1"/>
  <c r="EG1082" i="1"/>
  <c r="EF1082" i="1"/>
  <c r="EE1082" i="1"/>
  <c r="EC1082" i="1"/>
  <c r="EA1082" i="1"/>
  <c r="EB1082" i="1"/>
  <c r="DZ1082" i="1" s="1"/>
  <c r="EJ1082" i="1" s="1"/>
  <c r="EM1081" i="1"/>
  <c r="EH1081" i="1"/>
  <c r="EG1081" i="1"/>
  <c r="EF1081" i="1"/>
  <c r="EE1081" i="1"/>
  <c r="EC1081" i="1"/>
  <c r="EA1081" i="1"/>
  <c r="EB1081" i="1"/>
  <c r="DZ1081" i="1" s="1"/>
  <c r="EM1080" i="1"/>
  <c r="EH1080" i="1"/>
  <c r="EG1080" i="1"/>
  <c r="EF1080" i="1"/>
  <c r="EE1080" i="1"/>
  <c r="EC1080" i="1"/>
  <c r="EA1080" i="1"/>
  <c r="EB1080" i="1"/>
  <c r="DZ1080" i="1" s="1"/>
  <c r="EM1079" i="1"/>
  <c r="EH1079" i="1"/>
  <c r="EG1079" i="1"/>
  <c r="EF1079" i="1"/>
  <c r="EE1079" i="1"/>
  <c r="EC1079" i="1"/>
  <c r="EA1079" i="1"/>
  <c r="EB1079" i="1"/>
  <c r="DZ1079" i="1" s="1"/>
  <c r="EM1078" i="1"/>
  <c r="EH1078" i="1"/>
  <c r="EG1078" i="1"/>
  <c r="EF1078" i="1"/>
  <c r="EE1078" i="1"/>
  <c r="EC1078" i="1"/>
  <c r="EA1078" i="1"/>
  <c r="EB1078" i="1"/>
  <c r="DZ1078" i="1" s="1"/>
  <c r="EM1077" i="1"/>
  <c r="EH1077" i="1"/>
  <c r="EG1077" i="1"/>
  <c r="EF1077" i="1"/>
  <c r="EE1077" i="1"/>
  <c r="EC1077" i="1"/>
  <c r="EA1077" i="1"/>
  <c r="EB1077" i="1"/>
  <c r="DZ1077" i="1" s="1"/>
  <c r="EM1076" i="1"/>
  <c r="EH1076" i="1"/>
  <c r="EG1076" i="1"/>
  <c r="EF1076" i="1"/>
  <c r="EE1076" i="1"/>
  <c r="EC1076" i="1"/>
  <c r="EA1076" i="1"/>
  <c r="EB1076" i="1"/>
  <c r="DZ1076" i="1" s="1"/>
  <c r="EM1075" i="1"/>
  <c r="EH1075" i="1"/>
  <c r="EG1075" i="1"/>
  <c r="EF1075" i="1"/>
  <c r="EE1075" i="1"/>
  <c r="EC1075" i="1"/>
  <c r="EA1075" i="1"/>
  <c r="EB1075" i="1"/>
  <c r="DZ1075" i="1" s="1"/>
  <c r="EM1074" i="1"/>
  <c r="EH1074" i="1"/>
  <c r="EG1074" i="1"/>
  <c r="EF1074" i="1"/>
  <c r="EE1074" i="1"/>
  <c r="EC1074" i="1"/>
  <c r="EA1074" i="1"/>
  <c r="EB1074" i="1"/>
  <c r="DZ1074" i="1" s="1"/>
  <c r="EM1073" i="1"/>
  <c r="EH1073" i="1"/>
  <c r="EG1073" i="1"/>
  <c r="EF1073" i="1"/>
  <c r="EE1073" i="1"/>
  <c r="EC1073" i="1"/>
  <c r="EA1073" i="1"/>
  <c r="EB1073" i="1"/>
  <c r="DZ1073" i="1" s="1"/>
  <c r="EM1072" i="1"/>
  <c r="EH1072" i="1"/>
  <c r="EG1072" i="1"/>
  <c r="EF1072" i="1"/>
  <c r="EE1072" i="1"/>
  <c r="EC1072" i="1"/>
  <c r="EA1072" i="1"/>
  <c r="EB1072" i="1"/>
  <c r="DZ1072" i="1" s="1"/>
  <c r="EM1071" i="1"/>
  <c r="EH1071" i="1"/>
  <c r="EG1071" i="1"/>
  <c r="EF1071" i="1"/>
  <c r="EE1071" i="1"/>
  <c r="EC1071" i="1"/>
  <c r="EA1071" i="1"/>
  <c r="EB1071" i="1"/>
  <c r="DZ1071" i="1" s="1"/>
  <c r="EM1070" i="1"/>
  <c r="EH1070" i="1"/>
  <c r="EG1070" i="1"/>
  <c r="EF1070" i="1"/>
  <c r="EE1070" i="1"/>
  <c r="EC1070" i="1"/>
  <c r="EA1070" i="1"/>
  <c r="EB1070" i="1"/>
  <c r="DZ1070" i="1" s="1"/>
  <c r="EM1069" i="1"/>
  <c r="EH1069" i="1"/>
  <c r="EG1069" i="1"/>
  <c r="EF1069" i="1"/>
  <c r="EE1069" i="1"/>
  <c r="EC1069" i="1"/>
  <c r="EA1069" i="1"/>
  <c r="EB1069" i="1"/>
  <c r="DZ1069" i="1" s="1"/>
  <c r="EJ1069" i="1" s="1"/>
  <c r="EM1068" i="1"/>
  <c r="EH1068" i="1"/>
  <c r="EG1068" i="1"/>
  <c r="EF1068" i="1"/>
  <c r="EE1068" i="1"/>
  <c r="EC1068" i="1"/>
  <c r="EA1068" i="1"/>
  <c r="EB1068" i="1"/>
  <c r="DZ1068" i="1" s="1"/>
  <c r="EJ1068" i="1" s="1"/>
  <c r="EM1067" i="1"/>
  <c r="EH1067" i="1"/>
  <c r="EG1067" i="1"/>
  <c r="EF1067" i="1"/>
  <c r="EE1067" i="1"/>
  <c r="EC1067" i="1"/>
  <c r="EA1067" i="1"/>
  <c r="EB1067" i="1"/>
  <c r="DZ1067" i="1" s="1"/>
  <c r="EJ1067" i="1" s="1"/>
  <c r="EM1066" i="1"/>
  <c r="EH1066" i="1"/>
  <c r="EG1066" i="1"/>
  <c r="EF1066" i="1"/>
  <c r="EE1066" i="1"/>
  <c r="EC1066" i="1"/>
  <c r="EA1066" i="1"/>
  <c r="EB1066" i="1"/>
  <c r="DZ1066" i="1" s="1"/>
  <c r="EM1065" i="1"/>
  <c r="EH1065" i="1"/>
  <c r="EG1065" i="1"/>
  <c r="EF1065" i="1"/>
  <c r="EE1065" i="1"/>
  <c r="EC1065" i="1"/>
  <c r="EA1065" i="1"/>
  <c r="EB1065" i="1"/>
  <c r="DZ1065" i="1" s="1"/>
  <c r="EM1064" i="1"/>
  <c r="EH1064" i="1"/>
  <c r="EG1064" i="1"/>
  <c r="EF1064" i="1"/>
  <c r="EE1064" i="1"/>
  <c r="EC1064" i="1"/>
  <c r="EA1064" i="1"/>
  <c r="EB1064" i="1"/>
  <c r="DZ1064" i="1" s="1"/>
  <c r="EM1063" i="1"/>
  <c r="EH1063" i="1"/>
  <c r="EG1063" i="1"/>
  <c r="EF1063" i="1"/>
  <c r="EE1063" i="1"/>
  <c r="EC1063" i="1"/>
  <c r="EA1063" i="1"/>
  <c r="EB1063" i="1"/>
  <c r="DZ1063" i="1" s="1"/>
  <c r="EM1062" i="1"/>
  <c r="EH1062" i="1"/>
  <c r="EG1062" i="1"/>
  <c r="EF1062" i="1"/>
  <c r="EE1062" i="1"/>
  <c r="EC1062" i="1"/>
  <c r="EA1062" i="1"/>
  <c r="EB1062" i="1"/>
  <c r="DZ1062" i="1" s="1"/>
  <c r="EM1061" i="1"/>
  <c r="EH1061" i="1"/>
  <c r="EG1061" i="1"/>
  <c r="EF1061" i="1"/>
  <c r="EE1061" i="1"/>
  <c r="EC1061" i="1"/>
  <c r="EA1061" i="1"/>
  <c r="EB1061" i="1"/>
  <c r="DZ1061" i="1" s="1"/>
  <c r="EJ1061" i="1" s="1"/>
  <c r="EM1060" i="1"/>
  <c r="EH1060" i="1"/>
  <c r="EG1060" i="1"/>
  <c r="EF1060" i="1"/>
  <c r="EE1060" i="1"/>
  <c r="EC1060" i="1"/>
  <c r="EA1060" i="1"/>
  <c r="EB1060" i="1"/>
  <c r="DZ1060" i="1" s="1"/>
  <c r="EM1059" i="1"/>
  <c r="EH1059" i="1"/>
  <c r="EG1059" i="1"/>
  <c r="EF1059" i="1"/>
  <c r="EE1059" i="1"/>
  <c r="EC1059" i="1"/>
  <c r="EA1059" i="1"/>
  <c r="EB1059" i="1"/>
  <c r="DZ1059" i="1" s="1"/>
  <c r="EJ1059" i="1" s="1"/>
  <c r="EM1058" i="1"/>
  <c r="EH1058" i="1"/>
  <c r="EG1058" i="1"/>
  <c r="EF1058" i="1"/>
  <c r="EE1058" i="1"/>
  <c r="EC1058" i="1"/>
  <c r="EA1058" i="1"/>
  <c r="EB1058" i="1"/>
  <c r="DZ1058" i="1" s="1"/>
  <c r="EM1057" i="1"/>
  <c r="EH1057" i="1"/>
  <c r="EG1057" i="1"/>
  <c r="EF1057" i="1"/>
  <c r="EE1057" i="1"/>
  <c r="EC1057" i="1"/>
  <c r="EA1057" i="1"/>
  <c r="EB1057" i="1"/>
  <c r="DZ1057" i="1" s="1"/>
  <c r="EM1056" i="1"/>
  <c r="EH1056" i="1"/>
  <c r="EG1056" i="1"/>
  <c r="EF1056" i="1"/>
  <c r="EE1056" i="1"/>
  <c r="EC1056" i="1"/>
  <c r="EA1056" i="1"/>
  <c r="EB1056" i="1"/>
  <c r="DZ1056" i="1" s="1"/>
  <c r="EM1055" i="1"/>
  <c r="EH1055" i="1"/>
  <c r="EG1055" i="1"/>
  <c r="EF1055" i="1"/>
  <c r="EE1055" i="1"/>
  <c r="EC1055" i="1"/>
  <c r="EA1055" i="1"/>
  <c r="EB1055" i="1"/>
  <c r="DZ1055" i="1" s="1"/>
  <c r="EM1054" i="1"/>
  <c r="EH1054" i="1"/>
  <c r="EG1054" i="1"/>
  <c r="EF1054" i="1"/>
  <c r="EE1054" i="1"/>
  <c r="EC1054" i="1"/>
  <c r="EA1054" i="1"/>
  <c r="EB1054" i="1"/>
  <c r="DZ1054" i="1" s="1"/>
  <c r="EM1053" i="1"/>
  <c r="EH1053" i="1"/>
  <c r="EG1053" i="1"/>
  <c r="EF1053" i="1"/>
  <c r="EE1053" i="1"/>
  <c r="EC1053" i="1"/>
  <c r="EA1053" i="1"/>
  <c r="EB1053" i="1"/>
  <c r="DZ1053" i="1" s="1"/>
  <c r="EM1052" i="1"/>
  <c r="EH1052" i="1"/>
  <c r="EG1052" i="1"/>
  <c r="EF1052" i="1"/>
  <c r="EE1052" i="1"/>
  <c r="EC1052" i="1"/>
  <c r="EA1052" i="1"/>
  <c r="EB1052" i="1"/>
  <c r="DZ1052" i="1" s="1"/>
  <c r="EM1051" i="1"/>
  <c r="EH1051" i="1"/>
  <c r="EG1051" i="1"/>
  <c r="EF1051" i="1"/>
  <c r="EE1051" i="1"/>
  <c r="EC1051" i="1"/>
  <c r="EA1051" i="1"/>
  <c r="EB1051" i="1"/>
  <c r="DZ1051" i="1" s="1"/>
  <c r="EM1050" i="1"/>
  <c r="EH1050" i="1"/>
  <c r="EG1050" i="1"/>
  <c r="EF1050" i="1"/>
  <c r="EE1050" i="1"/>
  <c r="EC1050" i="1"/>
  <c r="EA1050" i="1"/>
  <c r="EB1050" i="1"/>
  <c r="DZ1050" i="1" s="1"/>
  <c r="EM1049" i="1"/>
  <c r="EH1049" i="1"/>
  <c r="EG1049" i="1"/>
  <c r="EF1049" i="1"/>
  <c r="EE1049" i="1"/>
  <c r="EC1049" i="1"/>
  <c r="EA1049" i="1"/>
  <c r="EB1049" i="1"/>
  <c r="DZ1049" i="1" s="1"/>
  <c r="EM1048" i="1"/>
  <c r="EH1048" i="1"/>
  <c r="EG1048" i="1"/>
  <c r="EF1048" i="1"/>
  <c r="EE1048" i="1"/>
  <c r="EC1048" i="1"/>
  <c r="EA1048" i="1"/>
  <c r="EB1048" i="1"/>
  <c r="DZ1048" i="1" s="1"/>
  <c r="EM1047" i="1"/>
  <c r="EH1047" i="1"/>
  <c r="EG1047" i="1"/>
  <c r="EF1047" i="1"/>
  <c r="EE1047" i="1"/>
  <c r="EC1047" i="1"/>
  <c r="EA1047" i="1"/>
  <c r="EB1047" i="1"/>
  <c r="DZ1047" i="1" s="1"/>
  <c r="EM1046" i="1"/>
  <c r="EH1046" i="1"/>
  <c r="EG1046" i="1"/>
  <c r="EF1046" i="1"/>
  <c r="EE1046" i="1"/>
  <c r="EC1046" i="1"/>
  <c r="EA1046" i="1"/>
  <c r="EB1046" i="1"/>
  <c r="DZ1046" i="1" s="1"/>
  <c r="EM1045" i="1"/>
  <c r="EH1045" i="1"/>
  <c r="EG1045" i="1"/>
  <c r="EF1045" i="1"/>
  <c r="EE1045" i="1"/>
  <c r="EC1045" i="1"/>
  <c r="EA1045" i="1"/>
  <c r="EB1045" i="1"/>
  <c r="DZ1045" i="1" s="1"/>
  <c r="EM1044" i="1"/>
  <c r="EH1044" i="1"/>
  <c r="EG1044" i="1"/>
  <c r="EF1044" i="1"/>
  <c r="EE1044" i="1"/>
  <c r="EC1044" i="1"/>
  <c r="EA1044" i="1"/>
  <c r="EB1044" i="1"/>
  <c r="DZ1044" i="1" s="1"/>
  <c r="EM1043" i="1"/>
  <c r="EH1043" i="1"/>
  <c r="EG1043" i="1"/>
  <c r="EF1043" i="1"/>
  <c r="EE1043" i="1"/>
  <c r="EC1043" i="1"/>
  <c r="EA1043" i="1"/>
  <c r="EB1043" i="1"/>
  <c r="DZ1043" i="1" s="1"/>
  <c r="EM1042" i="1"/>
  <c r="EH1042" i="1"/>
  <c r="EG1042" i="1"/>
  <c r="EF1042" i="1"/>
  <c r="EE1042" i="1"/>
  <c r="EC1042" i="1"/>
  <c r="EA1042" i="1"/>
  <c r="EB1042" i="1"/>
  <c r="DZ1042" i="1" s="1"/>
  <c r="EM1041" i="1"/>
  <c r="EH1041" i="1"/>
  <c r="EG1041" i="1"/>
  <c r="EF1041" i="1"/>
  <c r="EE1041" i="1"/>
  <c r="EC1041" i="1"/>
  <c r="EA1041" i="1"/>
  <c r="EB1041" i="1"/>
  <c r="DZ1041" i="1" s="1"/>
  <c r="EM1040" i="1"/>
  <c r="EH1040" i="1"/>
  <c r="EG1040" i="1"/>
  <c r="EF1040" i="1"/>
  <c r="EE1040" i="1"/>
  <c r="EC1040" i="1"/>
  <c r="EA1040" i="1"/>
  <c r="EB1040" i="1"/>
  <c r="DZ1040" i="1" s="1"/>
  <c r="EM1039" i="1"/>
  <c r="EH1039" i="1"/>
  <c r="EG1039" i="1"/>
  <c r="EF1039" i="1"/>
  <c r="EE1039" i="1"/>
  <c r="EC1039" i="1"/>
  <c r="EA1039" i="1"/>
  <c r="EB1039" i="1"/>
  <c r="DZ1039" i="1" s="1"/>
  <c r="EM1038" i="1"/>
  <c r="EH1038" i="1"/>
  <c r="EG1038" i="1"/>
  <c r="EF1038" i="1"/>
  <c r="EE1038" i="1"/>
  <c r="EC1038" i="1"/>
  <c r="EA1038" i="1"/>
  <c r="EB1038" i="1"/>
  <c r="DZ1038" i="1" s="1"/>
  <c r="EJ1038" i="1" s="1"/>
  <c r="EM1037" i="1"/>
  <c r="EH1037" i="1"/>
  <c r="EG1037" i="1"/>
  <c r="EF1037" i="1"/>
  <c r="EE1037" i="1"/>
  <c r="EC1037" i="1"/>
  <c r="EA1037" i="1"/>
  <c r="EB1037" i="1"/>
  <c r="DZ1037" i="1" s="1"/>
  <c r="EJ1037" i="1" s="1"/>
  <c r="EM1036" i="1"/>
  <c r="EH1036" i="1"/>
  <c r="EG1036" i="1"/>
  <c r="EF1036" i="1"/>
  <c r="EE1036" i="1"/>
  <c r="EC1036" i="1"/>
  <c r="EA1036" i="1"/>
  <c r="EB1036" i="1"/>
  <c r="DZ1036" i="1" s="1"/>
  <c r="EM1035" i="1"/>
  <c r="EH1035" i="1"/>
  <c r="EG1035" i="1"/>
  <c r="EF1035" i="1"/>
  <c r="EE1035" i="1"/>
  <c r="EC1035" i="1"/>
  <c r="EA1035" i="1"/>
  <c r="EB1035" i="1"/>
  <c r="DZ1035" i="1" s="1"/>
  <c r="EM1034" i="1"/>
  <c r="EH1034" i="1"/>
  <c r="EG1034" i="1"/>
  <c r="EF1034" i="1"/>
  <c r="EE1034" i="1"/>
  <c r="EC1034" i="1"/>
  <c r="EA1034" i="1"/>
  <c r="EB1034" i="1"/>
  <c r="DZ1034" i="1" s="1"/>
  <c r="EM1033" i="1"/>
  <c r="EH1033" i="1"/>
  <c r="EG1033" i="1"/>
  <c r="EF1033" i="1"/>
  <c r="EE1033" i="1"/>
  <c r="EC1033" i="1"/>
  <c r="EA1033" i="1"/>
  <c r="EB1033" i="1"/>
  <c r="DZ1033" i="1" s="1"/>
  <c r="EM1032" i="1"/>
  <c r="EH1032" i="1"/>
  <c r="EG1032" i="1"/>
  <c r="EF1032" i="1"/>
  <c r="EE1032" i="1"/>
  <c r="EC1032" i="1"/>
  <c r="EA1032" i="1"/>
  <c r="EB1032" i="1"/>
  <c r="DZ1032" i="1" s="1"/>
  <c r="EM1031" i="1"/>
  <c r="EH1031" i="1"/>
  <c r="EG1031" i="1"/>
  <c r="EF1031" i="1"/>
  <c r="EE1031" i="1"/>
  <c r="EC1031" i="1"/>
  <c r="EA1031" i="1"/>
  <c r="EB1031" i="1"/>
  <c r="DZ1031" i="1" s="1"/>
  <c r="EM1030" i="1"/>
  <c r="EH1030" i="1"/>
  <c r="EG1030" i="1"/>
  <c r="EF1030" i="1"/>
  <c r="EE1030" i="1"/>
  <c r="EC1030" i="1"/>
  <c r="EA1030" i="1"/>
  <c r="EB1030" i="1"/>
  <c r="DZ1030" i="1" s="1"/>
  <c r="EM1029" i="1"/>
  <c r="EH1029" i="1"/>
  <c r="EG1029" i="1"/>
  <c r="EF1029" i="1"/>
  <c r="EE1029" i="1"/>
  <c r="EC1029" i="1"/>
  <c r="EA1029" i="1"/>
  <c r="EB1029" i="1"/>
  <c r="DZ1029" i="1" s="1"/>
  <c r="EM1028" i="1"/>
  <c r="EH1028" i="1"/>
  <c r="EG1028" i="1"/>
  <c r="EF1028" i="1"/>
  <c r="EE1028" i="1"/>
  <c r="EC1028" i="1"/>
  <c r="EA1028" i="1"/>
  <c r="EB1028" i="1"/>
  <c r="DZ1028" i="1" s="1"/>
  <c r="EM1027" i="1"/>
  <c r="EH1027" i="1"/>
  <c r="EG1027" i="1"/>
  <c r="EF1027" i="1"/>
  <c r="EE1027" i="1"/>
  <c r="EC1027" i="1"/>
  <c r="EA1027" i="1"/>
  <c r="EB1027" i="1"/>
  <c r="DZ1027" i="1" s="1"/>
  <c r="EJ1027" i="1" s="1"/>
  <c r="EM1026" i="1"/>
  <c r="EH1026" i="1"/>
  <c r="EG1026" i="1"/>
  <c r="EF1026" i="1"/>
  <c r="EE1026" i="1"/>
  <c r="EC1026" i="1"/>
  <c r="EA1026" i="1"/>
  <c r="EB1026" i="1"/>
  <c r="DZ1026" i="1" s="1"/>
  <c r="EM1025" i="1"/>
  <c r="EH1025" i="1"/>
  <c r="EG1025" i="1"/>
  <c r="EF1025" i="1"/>
  <c r="EE1025" i="1"/>
  <c r="EC1025" i="1"/>
  <c r="EA1025" i="1"/>
  <c r="EB1025" i="1"/>
  <c r="DZ1025" i="1" s="1"/>
  <c r="EJ1025" i="1" s="1"/>
  <c r="EM1024" i="1"/>
  <c r="EH1024" i="1"/>
  <c r="EG1024" i="1"/>
  <c r="EF1024" i="1"/>
  <c r="EE1024" i="1"/>
  <c r="EC1024" i="1"/>
  <c r="EA1024" i="1"/>
  <c r="EB1024" i="1"/>
  <c r="DZ1024" i="1" s="1"/>
  <c r="EM1023" i="1"/>
  <c r="EH1023" i="1"/>
  <c r="EG1023" i="1"/>
  <c r="EF1023" i="1"/>
  <c r="EE1023" i="1"/>
  <c r="EC1023" i="1"/>
  <c r="EA1023" i="1"/>
  <c r="EB1023" i="1"/>
  <c r="DZ1023" i="1" s="1"/>
  <c r="EM1022" i="1"/>
  <c r="EH1022" i="1"/>
  <c r="EG1022" i="1"/>
  <c r="EF1022" i="1"/>
  <c r="EE1022" i="1"/>
  <c r="EC1022" i="1"/>
  <c r="EA1022" i="1"/>
  <c r="EB1022" i="1"/>
  <c r="DZ1022" i="1" s="1"/>
  <c r="EM1021" i="1"/>
  <c r="EH1021" i="1"/>
  <c r="EG1021" i="1"/>
  <c r="EF1021" i="1"/>
  <c r="EE1021" i="1"/>
  <c r="EC1021" i="1"/>
  <c r="EA1021" i="1"/>
  <c r="EB1021" i="1"/>
  <c r="DZ1021" i="1" s="1"/>
  <c r="EM1020" i="1"/>
  <c r="EH1020" i="1"/>
  <c r="EG1020" i="1"/>
  <c r="EF1020" i="1"/>
  <c r="EE1020" i="1"/>
  <c r="EC1020" i="1"/>
  <c r="EA1020" i="1"/>
  <c r="EB1020" i="1"/>
  <c r="DZ1020" i="1" s="1"/>
  <c r="EM1019" i="1"/>
  <c r="EH1019" i="1"/>
  <c r="EG1019" i="1"/>
  <c r="EF1019" i="1"/>
  <c r="EE1019" i="1"/>
  <c r="EC1019" i="1"/>
  <c r="EA1019" i="1"/>
  <c r="EB1019" i="1"/>
  <c r="DZ1019" i="1" s="1"/>
  <c r="EM1018" i="1"/>
  <c r="EH1018" i="1"/>
  <c r="EG1018" i="1"/>
  <c r="EF1018" i="1"/>
  <c r="EE1018" i="1"/>
  <c r="EC1018" i="1"/>
  <c r="EA1018" i="1"/>
  <c r="EB1018" i="1"/>
  <c r="DZ1018" i="1" s="1"/>
  <c r="EM1017" i="1"/>
  <c r="EH1017" i="1"/>
  <c r="EG1017" i="1"/>
  <c r="EF1017" i="1"/>
  <c r="EE1017" i="1"/>
  <c r="EC1017" i="1"/>
  <c r="EA1017" i="1"/>
  <c r="EB1017" i="1"/>
  <c r="DZ1017" i="1" s="1"/>
  <c r="EM1016" i="1"/>
  <c r="EH1016" i="1"/>
  <c r="EG1016" i="1"/>
  <c r="EF1016" i="1"/>
  <c r="EE1016" i="1"/>
  <c r="EC1016" i="1"/>
  <c r="EA1016" i="1"/>
  <c r="EB1016" i="1"/>
  <c r="DZ1016" i="1" s="1"/>
  <c r="EJ1016" i="1" s="1"/>
  <c r="EM1015" i="1"/>
  <c r="EH1015" i="1"/>
  <c r="EG1015" i="1"/>
  <c r="EF1015" i="1"/>
  <c r="EE1015" i="1"/>
  <c r="EC1015" i="1"/>
  <c r="EA1015" i="1"/>
  <c r="EB1015" i="1"/>
  <c r="DZ1015" i="1" s="1"/>
  <c r="EM1014" i="1"/>
  <c r="EH1014" i="1"/>
  <c r="EG1014" i="1"/>
  <c r="EF1014" i="1"/>
  <c r="EE1014" i="1"/>
  <c r="EC1014" i="1"/>
  <c r="EA1014" i="1"/>
  <c r="EB1014" i="1"/>
  <c r="DZ1014" i="1" s="1"/>
  <c r="EJ1014" i="1" s="1"/>
  <c r="EM1013" i="1"/>
  <c r="EH1013" i="1"/>
  <c r="EG1013" i="1"/>
  <c r="EF1013" i="1"/>
  <c r="EE1013" i="1"/>
  <c r="EC1013" i="1"/>
  <c r="EA1013" i="1"/>
  <c r="EB1013" i="1"/>
  <c r="DZ1013" i="1" s="1"/>
  <c r="EM1012" i="1"/>
  <c r="EH1012" i="1"/>
  <c r="EG1012" i="1"/>
  <c r="EF1012" i="1"/>
  <c r="EE1012" i="1"/>
  <c r="EC1012" i="1"/>
  <c r="EA1012" i="1"/>
  <c r="EB1012" i="1"/>
  <c r="DZ1012" i="1" s="1"/>
  <c r="EJ1012" i="1" s="1"/>
  <c r="EM1011" i="1"/>
  <c r="EH1011" i="1"/>
  <c r="EG1011" i="1"/>
  <c r="EF1011" i="1"/>
  <c r="EE1011" i="1"/>
  <c r="EC1011" i="1"/>
  <c r="EA1011" i="1"/>
  <c r="EB1011" i="1"/>
  <c r="DZ1011" i="1" s="1"/>
  <c r="EM1010" i="1"/>
  <c r="EH1010" i="1"/>
  <c r="EG1010" i="1"/>
  <c r="EF1010" i="1"/>
  <c r="EE1010" i="1"/>
  <c r="EC1010" i="1"/>
  <c r="EA1010" i="1"/>
  <c r="EB1010" i="1"/>
  <c r="DZ1010" i="1" s="1"/>
  <c r="EM1009" i="1"/>
  <c r="EH1009" i="1"/>
  <c r="EG1009" i="1"/>
  <c r="EF1009" i="1"/>
  <c r="EE1009" i="1"/>
  <c r="EC1009" i="1"/>
  <c r="EA1009" i="1"/>
  <c r="EB1009" i="1"/>
  <c r="DZ1009" i="1" s="1"/>
  <c r="EM1008" i="1"/>
  <c r="EH1008" i="1"/>
  <c r="EG1008" i="1"/>
  <c r="EF1008" i="1"/>
  <c r="EE1008" i="1"/>
  <c r="EC1008" i="1"/>
  <c r="EA1008" i="1"/>
  <c r="EB1008" i="1"/>
  <c r="DZ1008" i="1" s="1"/>
  <c r="EJ1008" i="1" s="1"/>
  <c r="EM1007" i="1"/>
  <c r="EH1007" i="1"/>
  <c r="EG1007" i="1"/>
  <c r="EF1007" i="1"/>
  <c r="EE1007" i="1"/>
  <c r="EC1007" i="1"/>
  <c r="EA1007" i="1"/>
  <c r="EB1007" i="1"/>
  <c r="DZ1007" i="1" s="1"/>
  <c r="EM1006" i="1"/>
  <c r="EH1006" i="1"/>
  <c r="EG1006" i="1"/>
  <c r="EF1006" i="1"/>
  <c r="EE1006" i="1"/>
  <c r="EC1006" i="1"/>
  <c r="EA1006" i="1"/>
  <c r="EB1006" i="1"/>
  <c r="DZ1006" i="1" s="1"/>
  <c r="EM1005" i="1"/>
  <c r="EH1005" i="1"/>
  <c r="EG1005" i="1"/>
  <c r="EF1005" i="1"/>
  <c r="EE1005" i="1"/>
  <c r="EC1005" i="1"/>
  <c r="EA1005" i="1"/>
  <c r="EB1005" i="1"/>
  <c r="DZ1005" i="1" s="1"/>
  <c r="EM1004" i="1"/>
  <c r="EH1004" i="1"/>
  <c r="EG1004" i="1"/>
  <c r="EF1004" i="1"/>
  <c r="EE1004" i="1"/>
  <c r="EC1004" i="1"/>
  <c r="EA1004" i="1"/>
  <c r="EB1004" i="1"/>
  <c r="DZ1004" i="1" s="1"/>
  <c r="EM1003" i="1"/>
  <c r="EH1003" i="1"/>
  <c r="EG1003" i="1"/>
  <c r="EF1003" i="1"/>
  <c r="EE1003" i="1"/>
  <c r="EC1003" i="1"/>
  <c r="EA1003" i="1"/>
  <c r="EB1003" i="1"/>
  <c r="DZ1003" i="1" s="1"/>
  <c r="EM1002" i="1"/>
  <c r="EH1002" i="1"/>
  <c r="EG1002" i="1"/>
  <c r="EF1002" i="1"/>
  <c r="EE1002" i="1"/>
  <c r="EC1002" i="1"/>
  <c r="EA1002" i="1"/>
  <c r="EB1002" i="1"/>
  <c r="DZ1002" i="1" s="1"/>
  <c r="EM1001" i="1"/>
  <c r="EH1001" i="1"/>
  <c r="EG1001" i="1"/>
  <c r="EF1001" i="1"/>
  <c r="EE1001" i="1"/>
  <c r="EC1001" i="1"/>
  <c r="EA1001" i="1"/>
  <c r="EB1001" i="1"/>
  <c r="DZ1001" i="1" s="1"/>
  <c r="EM1000" i="1"/>
  <c r="EH1000" i="1"/>
  <c r="EG1000" i="1"/>
  <c r="EF1000" i="1"/>
  <c r="EE1000" i="1"/>
  <c r="EC1000" i="1"/>
  <c r="EA1000" i="1"/>
  <c r="EB1000" i="1"/>
  <c r="DZ1000" i="1" s="1"/>
  <c r="EM999" i="1"/>
  <c r="EH999" i="1"/>
  <c r="EG999" i="1"/>
  <c r="EF999" i="1"/>
  <c r="EE999" i="1"/>
  <c r="EC999" i="1"/>
  <c r="EA999" i="1"/>
  <c r="EB999" i="1"/>
  <c r="DZ999" i="1" s="1"/>
  <c r="EM998" i="1"/>
  <c r="EH998" i="1"/>
  <c r="EG998" i="1"/>
  <c r="EF998" i="1"/>
  <c r="EE998" i="1"/>
  <c r="EC998" i="1"/>
  <c r="EA998" i="1"/>
  <c r="EB998" i="1"/>
  <c r="DZ998" i="1" s="1"/>
  <c r="EM997" i="1"/>
  <c r="EH997" i="1"/>
  <c r="EG997" i="1"/>
  <c r="EF997" i="1"/>
  <c r="EE997" i="1"/>
  <c r="EC997" i="1"/>
  <c r="EA997" i="1"/>
  <c r="EB997" i="1"/>
  <c r="DZ997" i="1" s="1"/>
  <c r="EM996" i="1"/>
  <c r="EH996" i="1"/>
  <c r="EG996" i="1"/>
  <c r="EF996" i="1"/>
  <c r="EE996" i="1"/>
  <c r="EC996" i="1"/>
  <c r="EA996" i="1"/>
  <c r="EB996" i="1"/>
  <c r="DZ996" i="1" s="1"/>
  <c r="EJ996" i="1" s="1"/>
  <c r="EM995" i="1"/>
  <c r="EH995" i="1"/>
  <c r="EG995" i="1"/>
  <c r="EF995" i="1"/>
  <c r="EE995" i="1"/>
  <c r="EC995" i="1"/>
  <c r="EA995" i="1"/>
  <c r="EB995" i="1"/>
  <c r="DZ995" i="1" s="1"/>
  <c r="EJ995" i="1" s="1"/>
  <c r="EM994" i="1"/>
  <c r="EH994" i="1"/>
  <c r="EG994" i="1"/>
  <c r="EF994" i="1"/>
  <c r="EE994" i="1"/>
  <c r="EC994" i="1"/>
  <c r="EA994" i="1"/>
  <c r="EB994" i="1"/>
  <c r="DZ994" i="1" s="1"/>
  <c r="EJ994" i="1" s="1"/>
  <c r="EM993" i="1"/>
  <c r="EH993" i="1"/>
  <c r="EG993" i="1"/>
  <c r="EF993" i="1"/>
  <c r="EE993" i="1"/>
  <c r="EC993" i="1"/>
  <c r="EA993" i="1"/>
  <c r="EB993" i="1"/>
  <c r="DZ993" i="1" s="1"/>
  <c r="EM992" i="1"/>
  <c r="EH992" i="1"/>
  <c r="EG992" i="1"/>
  <c r="EF992" i="1"/>
  <c r="EE992" i="1"/>
  <c r="EC992" i="1"/>
  <c r="EA992" i="1"/>
  <c r="EB992" i="1"/>
  <c r="DZ992" i="1" s="1"/>
  <c r="EM991" i="1"/>
  <c r="EH991" i="1"/>
  <c r="EG991" i="1"/>
  <c r="EF991" i="1"/>
  <c r="EE991" i="1"/>
  <c r="EC991" i="1"/>
  <c r="EA991" i="1"/>
  <c r="EB991" i="1"/>
  <c r="DZ991" i="1" s="1"/>
  <c r="EM990" i="1"/>
  <c r="EH990" i="1"/>
  <c r="EG990" i="1"/>
  <c r="EF990" i="1"/>
  <c r="EE990" i="1"/>
  <c r="EC990" i="1"/>
  <c r="EA990" i="1"/>
  <c r="EB990" i="1"/>
  <c r="DZ990" i="1" s="1"/>
  <c r="EM989" i="1"/>
  <c r="EH989" i="1"/>
  <c r="EG989" i="1"/>
  <c r="EF989" i="1"/>
  <c r="EE989" i="1"/>
  <c r="EC989" i="1"/>
  <c r="EA989" i="1"/>
  <c r="EB989" i="1"/>
  <c r="DZ989" i="1" s="1"/>
  <c r="EM988" i="1"/>
  <c r="EH988" i="1"/>
  <c r="EG988" i="1"/>
  <c r="EF988" i="1"/>
  <c r="EE988" i="1"/>
  <c r="EC988" i="1"/>
  <c r="EA988" i="1"/>
  <c r="EB988" i="1"/>
  <c r="DZ988" i="1" s="1"/>
  <c r="EM987" i="1"/>
  <c r="EH987" i="1"/>
  <c r="EG987" i="1"/>
  <c r="EF987" i="1"/>
  <c r="EE987" i="1"/>
  <c r="EC987" i="1"/>
  <c r="EA987" i="1"/>
  <c r="EB987" i="1"/>
  <c r="DZ987" i="1" s="1"/>
  <c r="EJ987" i="1" s="1"/>
  <c r="EM986" i="1"/>
  <c r="EH986" i="1"/>
  <c r="EG986" i="1"/>
  <c r="EF986" i="1"/>
  <c r="EE986" i="1"/>
  <c r="EC986" i="1"/>
  <c r="EA986" i="1"/>
  <c r="EB986" i="1"/>
  <c r="DZ986" i="1" s="1"/>
  <c r="EM985" i="1"/>
  <c r="EH985" i="1"/>
  <c r="EG985" i="1"/>
  <c r="EF985" i="1"/>
  <c r="EE985" i="1"/>
  <c r="EC985" i="1"/>
  <c r="EA985" i="1"/>
  <c r="EB985" i="1"/>
  <c r="DZ985" i="1" s="1"/>
  <c r="EJ985" i="1" s="1"/>
  <c r="EM984" i="1"/>
  <c r="EH984" i="1"/>
  <c r="EG984" i="1"/>
  <c r="EF984" i="1"/>
  <c r="EE984" i="1"/>
  <c r="EC984" i="1"/>
  <c r="EA984" i="1"/>
  <c r="EB984" i="1"/>
  <c r="DZ984" i="1" s="1"/>
  <c r="EM983" i="1"/>
  <c r="EH983" i="1"/>
  <c r="EG983" i="1"/>
  <c r="EF983" i="1"/>
  <c r="EE983" i="1"/>
  <c r="EC983" i="1"/>
  <c r="EA983" i="1"/>
  <c r="EB983" i="1"/>
  <c r="DZ983" i="1" s="1"/>
  <c r="EJ983" i="1" s="1"/>
  <c r="EM982" i="1"/>
  <c r="EH982" i="1"/>
  <c r="EG982" i="1"/>
  <c r="EF982" i="1"/>
  <c r="EE982" i="1"/>
  <c r="EC982" i="1"/>
  <c r="EA982" i="1"/>
  <c r="EB982" i="1"/>
  <c r="DZ982" i="1" s="1"/>
  <c r="EM981" i="1"/>
  <c r="EH981" i="1"/>
  <c r="EG981" i="1"/>
  <c r="EF981" i="1"/>
  <c r="EE981" i="1"/>
  <c r="EC981" i="1"/>
  <c r="EA981" i="1"/>
  <c r="EB981" i="1"/>
  <c r="DZ981" i="1" s="1"/>
  <c r="EJ981" i="1" s="1"/>
  <c r="EM980" i="1"/>
  <c r="EH980" i="1"/>
  <c r="EG980" i="1"/>
  <c r="EF980" i="1"/>
  <c r="EE980" i="1"/>
  <c r="EC980" i="1"/>
  <c r="EA980" i="1"/>
  <c r="EB980" i="1"/>
  <c r="DZ980" i="1" s="1"/>
  <c r="EM979" i="1"/>
  <c r="EH979" i="1"/>
  <c r="EG979" i="1"/>
  <c r="EF979" i="1"/>
  <c r="EE979" i="1"/>
  <c r="EC979" i="1"/>
  <c r="EA979" i="1"/>
  <c r="EB979" i="1"/>
  <c r="DZ979" i="1" s="1"/>
  <c r="EM978" i="1"/>
  <c r="EH978" i="1"/>
  <c r="EG978" i="1"/>
  <c r="EF978" i="1"/>
  <c r="EE978" i="1"/>
  <c r="EC978" i="1"/>
  <c r="EA978" i="1"/>
  <c r="EB978" i="1"/>
  <c r="DZ978" i="1" s="1"/>
  <c r="EM977" i="1"/>
  <c r="EH977" i="1"/>
  <c r="EG977" i="1"/>
  <c r="EF977" i="1"/>
  <c r="EE977" i="1"/>
  <c r="EC977" i="1"/>
  <c r="EA977" i="1"/>
  <c r="EB977" i="1"/>
  <c r="DZ977" i="1" s="1"/>
  <c r="EM976" i="1"/>
  <c r="EH976" i="1"/>
  <c r="EG976" i="1"/>
  <c r="EF976" i="1"/>
  <c r="EE976" i="1"/>
  <c r="EC976" i="1"/>
  <c r="EA976" i="1"/>
  <c r="EB976" i="1"/>
  <c r="DZ976" i="1" s="1"/>
  <c r="EM975" i="1"/>
  <c r="EH975" i="1"/>
  <c r="EG975" i="1"/>
  <c r="EF975" i="1"/>
  <c r="EE975" i="1"/>
  <c r="EC975" i="1"/>
  <c r="EA975" i="1"/>
  <c r="EB975" i="1"/>
  <c r="DZ975" i="1" s="1"/>
  <c r="EJ975" i="1" s="1"/>
  <c r="EM974" i="1"/>
  <c r="EH974" i="1"/>
  <c r="EG974" i="1"/>
  <c r="EF974" i="1"/>
  <c r="EE974" i="1"/>
  <c r="EC974" i="1"/>
  <c r="EA974" i="1"/>
  <c r="EB974" i="1"/>
  <c r="DZ974" i="1" s="1"/>
  <c r="EM973" i="1"/>
  <c r="EH973" i="1"/>
  <c r="EG973" i="1"/>
  <c r="EF973" i="1"/>
  <c r="EE973" i="1"/>
  <c r="EC973" i="1"/>
  <c r="EA973" i="1"/>
  <c r="EB973" i="1"/>
  <c r="DZ973" i="1" s="1"/>
  <c r="EJ973" i="1" s="1"/>
  <c r="EM972" i="1"/>
  <c r="EH972" i="1"/>
  <c r="EG972" i="1"/>
  <c r="EF972" i="1"/>
  <c r="EE972" i="1"/>
  <c r="EC972" i="1"/>
  <c r="EA972" i="1"/>
  <c r="EB972" i="1"/>
  <c r="DZ972" i="1" s="1"/>
  <c r="EM971" i="1"/>
  <c r="EH971" i="1"/>
  <c r="EG971" i="1"/>
  <c r="EF971" i="1"/>
  <c r="EE971" i="1"/>
  <c r="EC971" i="1"/>
  <c r="EA971" i="1"/>
  <c r="EB971" i="1"/>
  <c r="DZ971" i="1" s="1"/>
  <c r="EM970" i="1"/>
  <c r="EH970" i="1"/>
  <c r="EG970" i="1"/>
  <c r="EF970" i="1"/>
  <c r="EE970" i="1"/>
  <c r="EC970" i="1"/>
  <c r="EA970" i="1"/>
  <c r="EB970" i="1"/>
  <c r="DZ970" i="1" s="1"/>
  <c r="EM969" i="1"/>
  <c r="EH969" i="1"/>
  <c r="EG969" i="1"/>
  <c r="EF969" i="1"/>
  <c r="EE969" i="1"/>
  <c r="EC969" i="1"/>
  <c r="EA969" i="1"/>
  <c r="EB969" i="1"/>
  <c r="DZ969" i="1" s="1"/>
  <c r="EM968" i="1"/>
  <c r="EH968" i="1"/>
  <c r="EG968" i="1"/>
  <c r="EF968" i="1"/>
  <c r="EE968" i="1"/>
  <c r="EC968" i="1"/>
  <c r="EA968" i="1"/>
  <c r="EB968" i="1"/>
  <c r="DZ968" i="1" s="1"/>
  <c r="EM967" i="1"/>
  <c r="EH967" i="1"/>
  <c r="EG967" i="1"/>
  <c r="EF967" i="1"/>
  <c r="EE967" i="1"/>
  <c r="EC967" i="1"/>
  <c r="EA967" i="1"/>
  <c r="EB967" i="1"/>
  <c r="DZ967" i="1" s="1"/>
  <c r="EM966" i="1"/>
  <c r="EH966" i="1"/>
  <c r="EG966" i="1"/>
  <c r="EF966" i="1"/>
  <c r="EE966" i="1"/>
  <c r="EC966" i="1"/>
  <c r="EA966" i="1"/>
  <c r="EB966" i="1"/>
  <c r="DZ966" i="1" s="1"/>
  <c r="EM965" i="1"/>
  <c r="EH965" i="1"/>
  <c r="EG965" i="1"/>
  <c r="EF965" i="1"/>
  <c r="EE965" i="1"/>
  <c r="EC965" i="1"/>
  <c r="EA965" i="1"/>
  <c r="EB965" i="1"/>
  <c r="DZ965" i="1" s="1"/>
  <c r="EM964" i="1"/>
  <c r="EH964" i="1"/>
  <c r="EG964" i="1"/>
  <c r="EF964" i="1"/>
  <c r="EE964" i="1"/>
  <c r="EC964" i="1"/>
  <c r="EA964" i="1"/>
  <c r="EB964" i="1"/>
  <c r="DZ964" i="1" s="1"/>
  <c r="EM963" i="1"/>
  <c r="EH963" i="1"/>
  <c r="EG963" i="1"/>
  <c r="EF963" i="1"/>
  <c r="EE963" i="1"/>
  <c r="EC963" i="1"/>
  <c r="EA963" i="1"/>
  <c r="EB963" i="1"/>
  <c r="DZ963" i="1" s="1"/>
  <c r="EM962" i="1"/>
  <c r="EH962" i="1"/>
  <c r="EG962" i="1"/>
  <c r="EF962" i="1"/>
  <c r="EE962" i="1"/>
  <c r="EC962" i="1"/>
  <c r="EA962" i="1"/>
  <c r="EB962" i="1"/>
  <c r="DZ962" i="1" s="1"/>
  <c r="EM961" i="1"/>
  <c r="EH961" i="1"/>
  <c r="EG961" i="1"/>
  <c r="EF961" i="1"/>
  <c r="EE961" i="1"/>
  <c r="EC961" i="1"/>
  <c r="EA961" i="1"/>
  <c r="EB961" i="1"/>
  <c r="DZ961" i="1" s="1"/>
  <c r="EM960" i="1"/>
  <c r="EH960" i="1"/>
  <c r="EG960" i="1"/>
  <c r="EF960" i="1"/>
  <c r="EE960" i="1"/>
  <c r="EC960" i="1"/>
  <c r="EA960" i="1"/>
  <c r="EB960" i="1"/>
  <c r="DZ960" i="1" s="1"/>
  <c r="EM959" i="1"/>
  <c r="EH959" i="1"/>
  <c r="EG959" i="1"/>
  <c r="EF959" i="1"/>
  <c r="EE959" i="1"/>
  <c r="EC959" i="1"/>
  <c r="EA959" i="1"/>
  <c r="EB959" i="1"/>
  <c r="DZ959" i="1" s="1"/>
  <c r="EM958" i="1"/>
  <c r="EH958" i="1"/>
  <c r="EG958" i="1"/>
  <c r="EF958" i="1"/>
  <c r="EE958" i="1"/>
  <c r="EC958" i="1"/>
  <c r="EA958" i="1"/>
  <c r="EB958" i="1"/>
  <c r="DZ958" i="1" s="1"/>
  <c r="EM957" i="1"/>
  <c r="EH957" i="1"/>
  <c r="EG957" i="1"/>
  <c r="EF957" i="1"/>
  <c r="EE957" i="1"/>
  <c r="EC957" i="1"/>
  <c r="EA957" i="1"/>
  <c r="EB957" i="1"/>
  <c r="DZ957" i="1" s="1"/>
  <c r="EJ957" i="1" s="1"/>
  <c r="EM956" i="1"/>
  <c r="EH956" i="1"/>
  <c r="EG956" i="1"/>
  <c r="EF956" i="1"/>
  <c r="EE956" i="1"/>
  <c r="EC956" i="1"/>
  <c r="EA956" i="1"/>
  <c r="EB956" i="1"/>
  <c r="DZ956" i="1" s="1"/>
  <c r="EM955" i="1"/>
  <c r="EH955" i="1"/>
  <c r="EG955" i="1"/>
  <c r="EF955" i="1"/>
  <c r="EE955" i="1"/>
  <c r="EC955" i="1"/>
  <c r="EA955" i="1"/>
  <c r="EB955" i="1"/>
  <c r="DZ955" i="1" s="1"/>
  <c r="EM954" i="1"/>
  <c r="EH954" i="1"/>
  <c r="EG954" i="1"/>
  <c r="EF954" i="1"/>
  <c r="EE954" i="1"/>
  <c r="EC954" i="1"/>
  <c r="EA954" i="1"/>
  <c r="EB954" i="1"/>
  <c r="DZ954" i="1" s="1"/>
  <c r="EM953" i="1"/>
  <c r="EH953" i="1"/>
  <c r="EG953" i="1"/>
  <c r="EF953" i="1"/>
  <c r="EE953" i="1"/>
  <c r="EC953" i="1"/>
  <c r="EA953" i="1"/>
  <c r="EB953" i="1"/>
  <c r="DZ953" i="1" s="1"/>
  <c r="EM952" i="1"/>
  <c r="EH952" i="1"/>
  <c r="EG952" i="1"/>
  <c r="EF952" i="1"/>
  <c r="EE952" i="1"/>
  <c r="EC952" i="1"/>
  <c r="EA952" i="1"/>
  <c r="EB952" i="1"/>
  <c r="DZ952" i="1" s="1"/>
  <c r="EM951" i="1"/>
  <c r="EH951" i="1"/>
  <c r="EG951" i="1"/>
  <c r="EF951" i="1"/>
  <c r="EE951" i="1"/>
  <c r="EC951" i="1"/>
  <c r="EA951" i="1"/>
  <c r="EB951" i="1"/>
  <c r="DZ951" i="1" s="1"/>
  <c r="EJ951" i="1" s="1"/>
  <c r="EM950" i="1"/>
  <c r="EH950" i="1"/>
  <c r="EG950" i="1"/>
  <c r="EF950" i="1"/>
  <c r="EE950" i="1"/>
  <c r="EC950" i="1"/>
  <c r="EA950" i="1"/>
  <c r="EB950" i="1"/>
  <c r="DZ950" i="1" s="1"/>
  <c r="EJ950" i="1" s="1"/>
  <c r="EM949" i="1"/>
  <c r="EH949" i="1"/>
  <c r="EG949" i="1"/>
  <c r="EF949" i="1"/>
  <c r="EE949" i="1"/>
  <c r="EC949" i="1"/>
  <c r="EA949" i="1"/>
  <c r="EB949" i="1"/>
  <c r="DZ949" i="1" s="1"/>
  <c r="EM948" i="1"/>
  <c r="EH948" i="1"/>
  <c r="EG948" i="1"/>
  <c r="EF948" i="1"/>
  <c r="EE948" i="1"/>
  <c r="EC948" i="1"/>
  <c r="EA948" i="1"/>
  <c r="EB948" i="1"/>
  <c r="DZ948" i="1" s="1"/>
  <c r="EM947" i="1"/>
  <c r="EH947" i="1"/>
  <c r="EG947" i="1"/>
  <c r="EF947" i="1"/>
  <c r="EE947" i="1"/>
  <c r="EC947" i="1"/>
  <c r="EA947" i="1"/>
  <c r="EB947" i="1"/>
  <c r="DZ947" i="1" s="1"/>
  <c r="EM946" i="1"/>
  <c r="EH946" i="1"/>
  <c r="EG946" i="1"/>
  <c r="EF946" i="1"/>
  <c r="EE946" i="1"/>
  <c r="EC946" i="1"/>
  <c r="EA946" i="1"/>
  <c r="EB946" i="1"/>
  <c r="DZ946" i="1" s="1"/>
  <c r="EM945" i="1"/>
  <c r="EH945" i="1"/>
  <c r="EG945" i="1"/>
  <c r="EF945" i="1"/>
  <c r="EE945" i="1"/>
  <c r="EC945" i="1"/>
  <c r="EA945" i="1"/>
  <c r="EB945" i="1"/>
  <c r="DZ945" i="1" s="1"/>
  <c r="EM944" i="1"/>
  <c r="EH944" i="1"/>
  <c r="EG944" i="1"/>
  <c r="EF944" i="1"/>
  <c r="EE944" i="1"/>
  <c r="EC944" i="1"/>
  <c r="EA944" i="1"/>
  <c r="EB944" i="1"/>
  <c r="DZ944" i="1" s="1"/>
  <c r="EM943" i="1"/>
  <c r="EH943" i="1"/>
  <c r="EG943" i="1"/>
  <c r="EF943" i="1"/>
  <c r="EE943" i="1"/>
  <c r="EC943" i="1"/>
  <c r="EA943" i="1"/>
  <c r="EB943" i="1"/>
  <c r="DZ943" i="1" s="1"/>
  <c r="EM942" i="1"/>
  <c r="EH942" i="1"/>
  <c r="EG942" i="1"/>
  <c r="EF942" i="1"/>
  <c r="EE942" i="1"/>
  <c r="EC942" i="1"/>
  <c r="EA942" i="1"/>
  <c r="EB942" i="1"/>
  <c r="DZ942" i="1" s="1"/>
  <c r="EJ942" i="1" s="1"/>
  <c r="EM941" i="1"/>
  <c r="EH941" i="1"/>
  <c r="EG941" i="1"/>
  <c r="EF941" i="1"/>
  <c r="EE941" i="1"/>
  <c r="EC941" i="1"/>
  <c r="EA941" i="1"/>
  <c r="EB941" i="1"/>
  <c r="DZ941" i="1" s="1"/>
  <c r="EM940" i="1"/>
  <c r="EH940" i="1"/>
  <c r="EG940" i="1"/>
  <c r="EF940" i="1"/>
  <c r="EE940" i="1"/>
  <c r="EC940" i="1"/>
  <c r="EA940" i="1"/>
  <c r="EB940" i="1"/>
  <c r="DZ940" i="1" s="1"/>
  <c r="EM939" i="1"/>
  <c r="EH939" i="1"/>
  <c r="EG939" i="1"/>
  <c r="EF939" i="1"/>
  <c r="EE939" i="1"/>
  <c r="EC939" i="1"/>
  <c r="EA939" i="1"/>
  <c r="EB939" i="1"/>
  <c r="DZ939" i="1" s="1"/>
  <c r="EM938" i="1"/>
  <c r="EH938" i="1"/>
  <c r="EG938" i="1"/>
  <c r="EF938" i="1"/>
  <c r="EE938" i="1"/>
  <c r="EC938" i="1"/>
  <c r="EA938" i="1"/>
  <c r="EB938" i="1"/>
  <c r="DZ938" i="1" s="1"/>
  <c r="EM937" i="1"/>
  <c r="EH937" i="1"/>
  <c r="EG937" i="1"/>
  <c r="EF937" i="1"/>
  <c r="EE937" i="1"/>
  <c r="EC937" i="1"/>
  <c r="EA937" i="1"/>
  <c r="EB937" i="1"/>
  <c r="DZ937" i="1" s="1"/>
  <c r="EM936" i="1"/>
  <c r="EH936" i="1"/>
  <c r="EG936" i="1"/>
  <c r="EF936" i="1"/>
  <c r="EE936" i="1"/>
  <c r="EC936" i="1"/>
  <c r="EA936" i="1"/>
  <c r="EB936" i="1"/>
  <c r="DZ936" i="1" s="1"/>
  <c r="EM935" i="1"/>
  <c r="EH935" i="1"/>
  <c r="EG935" i="1"/>
  <c r="EF935" i="1"/>
  <c r="EE935" i="1"/>
  <c r="EC935" i="1"/>
  <c r="EA935" i="1"/>
  <c r="EB935" i="1"/>
  <c r="DZ935" i="1" s="1"/>
  <c r="EM934" i="1"/>
  <c r="EH934" i="1"/>
  <c r="EG934" i="1"/>
  <c r="EF934" i="1"/>
  <c r="EE934" i="1"/>
  <c r="EC934" i="1"/>
  <c r="EA934" i="1"/>
  <c r="EB934" i="1"/>
  <c r="DZ934" i="1" s="1"/>
  <c r="EJ934" i="1" s="1"/>
  <c r="EM933" i="1"/>
  <c r="EH933" i="1"/>
  <c r="EG933" i="1"/>
  <c r="EF933" i="1"/>
  <c r="EE933" i="1"/>
  <c r="EC933" i="1"/>
  <c r="EA933" i="1"/>
  <c r="EB933" i="1"/>
  <c r="DZ933" i="1" s="1"/>
  <c r="EM932" i="1"/>
  <c r="EH932" i="1"/>
  <c r="EG932" i="1"/>
  <c r="EF932" i="1"/>
  <c r="EE932" i="1"/>
  <c r="EC932" i="1"/>
  <c r="EA932" i="1"/>
  <c r="EB932" i="1"/>
  <c r="DZ932" i="1" s="1"/>
  <c r="EM931" i="1"/>
  <c r="EH931" i="1"/>
  <c r="EG931" i="1"/>
  <c r="EF931" i="1"/>
  <c r="EE931" i="1"/>
  <c r="EC931" i="1"/>
  <c r="EA931" i="1"/>
  <c r="EB931" i="1"/>
  <c r="DZ931" i="1" s="1"/>
  <c r="EM930" i="1"/>
  <c r="EH930" i="1"/>
  <c r="EG930" i="1"/>
  <c r="EF930" i="1"/>
  <c r="EE930" i="1"/>
  <c r="EC930" i="1"/>
  <c r="EA930" i="1"/>
  <c r="EB930" i="1"/>
  <c r="DZ930" i="1" s="1"/>
  <c r="EM929" i="1"/>
  <c r="EH929" i="1"/>
  <c r="EG929" i="1"/>
  <c r="EF929" i="1"/>
  <c r="EE929" i="1"/>
  <c r="EC929" i="1"/>
  <c r="EA929" i="1"/>
  <c r="EB929" i="1"/>
  <c r="DZ929" i="1" s="1"/>
  <c r="EM928" i="1"/>
  <c r="EH928" i="1"/>
  <c r="EG928" i="1"/>
  <c r="EF928" i="1"/>
  <c r="EE928" i="1"/>
  <c r="EC928" i="1"/>
  <c r="EA928" i="1"/>
  <c r="EB928" i="1"/>
  <c r="DZ928" i="1" s="1"/>
  <c r="EJ928" i="1" s="1"/>
  <c r="EM927" i="1"/>
  <c r="EH927" i="1"/>
  <c r="EG927" i="1"/>
  <c r="EF927" i="1"/>
  <c r="EE927" i="1"/>
  <c r="EC927" i="1"/>
  <c r="EA927" i="1"/>
  <c r="EB927" i="1"/>
  <c r="DZ927" i="1" s="1"/>
  <c r="EJ927" i="1" s="1"/>
  <c r="EM926" i="1"/>
  <c r="EH926" i="1"/>
  <c r="EG926" i="1"/>
  <c r="EF926" i="1"/>
  <c r="EE926" i="1"/>
  <c r="EC926" i="1"/>
  <c r="EA926" i="1"/>
  <c r="EB926" i="1"/>
  <c r="DZ926" i="1" s="1"/>
  <c r="EM925" i="1"/>
  <c r="EH925" i="1"/>
  <c r="EG925" i="1"/>
  <c r="EF925" i="1"/>
  <c r="EE925" i="1"/>
  <c r="EC925" i="1"/>
  <c r="EA925" i="1"/>
  <c r="EB925" i="1"/>
  <c r="DZ925" i="1" s="1"/>
  <c r="EM924" i="1"/>
  <c r="EH924" i="1"/>
  <c r="EG924" i="1"/>
  <c r="EF924" i="1"/>
  <c r="EE924" i="1"/>
  <c r="EC924" i="1"/>
  <c r="EA924" i="1"/>
  <c r="EB924" i="1"/>
  <c r="DZ924" i="1" s="1"/>
  <c r="EM923" i="1"/>
  <c r="EH923" i="1"/>
  <c r="EG923" i="1"/>
  <c r="EF923" i="1"/>
  <c r="EE923" i="1"/>
  <c r="EC923" i="1"/>
  <c r="EA923" i="1"/>
  <c r="EB923" i="1"/>
  <c r="DZ923" i="1" s="1"/>
  <c r="EJ923" i="1" s="1"/>
  <c r="EM922" i="1"/>
  <c r="EH922" i="1"/>
  <c r="EG922" i="1"/>
  <c r="EF922" i="1"/>
  <c r="EE922" i="1"/>
  <c r="EC922" i="1"/>
  <c r="EA922" i="1"/>
  <c r="EB922" i="1"/>
  <c r="DZ922" i="1" s="1"/>
  <c r="EJ922" i="1" s="1"/>
  <c r="EM921" i="1"/>
  <c r="EH921" i="1"/>
  <c r="EG921" i="1"/>
  <c r="EF921" i="1"/>
  <c r="EE921" i="1"/>
  <c r="EC921" i="1"/>
  <c r="EA921" i="1"/>
  <c r="EB921" i="1"/>
  <c r="DZ921" i="1" s="1"/>
  <c r="EM920" i="1"/>
  <c r="EH920" i="1"/>
  <c r="EG920" i="1"/>
  <c r="EF920" i="1"/>
  <c r="EE920" i="1"/>
  <c r="EC920" i="1"/>
  <c r="EA920" i="1"/>
  <c r="EB920" i="1"/>
  <c r="DZ920" i="1" s="1"/>
  <c r="EM919" i="1"/>
  <c r="EH919" i="1"/>
  <c r="EG919" i="1"/>
  <c r="EF919" i="1"/>
  <c r="EE919" i="1"/>
  <c r="EC919" i="1"/>
  <c r="EA919" i="1"/>
  <c r="EB919" i="1"/>
  <c r="DZ919" i="1" s="1"/>
  <c r="EM918" i="1"/>
  <c r="EH918" i="1"/>
  <c r="EG918" i="1"/>
  <c r="EF918" i="1"/>
  <c r="EE918" i="1"/>
  <c r="EC918" i="1"/>
  <c r="EA918" i="1"/>
  <c r="EB918" i="1"/>
  <c r="DZ918" i="1" s="1"/>
  <c r="EM917" i="1"/>
  <c r="EH917" i="1"/>
  <c r="EG917" i="1"/>
  <c r="EF917" i="1"/>
  <c r="EE917" i="1"/>
  <c r="EC917" i="1"/>
  <c r="EA917" i="1"/>
  <c r="EB917" i="1"/>
  <c r="DZ917" i="1" s="1"/>
  <c r="EJ917" i="1" s="1"/>
  <c r="EM916" i="1"/>
  <c r="EH916" i="1"/>
  <c r="EG916" i="1"/>
  <c r="EF916" i="1"/>
  <c r="EE916" i="1"/>
  <c r="EC916" i="1"/>
  <c r="EA916" i="1"/>
  <c r="EB916" i="1"/>
  <c r="DZ916" i="1" s="1"/>
  <c r="EM915" i="1"/>
  <c r="EH915" i="1"/>
  <c r="EG915" i="1"/>
  <c r="EF915" i="1"/>
  <c r="EE915" i="1"/>
  <c r="EC915" i="1"/>
  <c r="EA915" i="1"/>
  <c r="EB915" i="1"/>
  <c r="DZ915" i="1" s="1"/>
  <c r="EM914" i="1"/>
  <c r="EH914" i="1"/>
  <c r="EG914" i="1"/>
  <c r="EF914" i="1"/>
  <c r="EE914" i="1"/>
  <c r="EC914" i="1"/>
  <c r="EA914" i="1"/>
  <c r="EB914" i="1"/>
  <c r="DZ914" i="1" s="1"/>
  <c r="EM913" i="1"/>
  <c r="EH913" i="1"/>
  <c r="EG913" i="1"/>
  <c r="EF913" i="1"/>
  <c r="EE913" i="1"/>
  <c r="EC913" i="1"/>
  <c r="EA913" i="1"/>
  <c r="EB913" i="1"/>
  <c r="DZ913" i="1" s="1"/>
  <c r="EJ913" i="1" s="1"/>
  <c r="EM912" i="1"/>
  <c r="EH912" i="1"/>
  <c r="EG912" i="1"/>
  <c r="EF912" i="1"/>
  <c r="EE912" i="1"/>
  <c r="EC912" i="1"/>
  <c r="EA912" i="1"/>
  <c r="EB912" i="1"/>
  <c r="DZ912" i="1" s="1"/>
  <c r="EM911" i="1"/>
  <c r="EH911" i="1"/>
  <c r="EG911" i="1"/>
  <c r="EF911" i="1"/>
  <c r="EE911" i="1"/>
  <c r="EC911" i="1"/>
  <c r="EA911" i="1"/>
  <c r="EB911" i="1"/>
  <c r="DZ911" i="1" s="1"/>
  <c r="EM910" i="1"/>
  <c r="EH910" i="1"/>
  <c r="EG910" i="1"/>
  <c r="EF910" i="1"/>
  <c r="EE910" i="1"/>
  <c r="EC910" i="1"/>
  <c r="EA910" i="1"/>
  <c r="EB910" i="1"/>
  <c r="DZ910" i="1" s="1"/>
  <c r="EM909" i="1"/>
  <c r="EH909" i="1"/>
  <c r="EG909" i="1"/>
  <c r="EF909" i="1"/>
  <c r="EE909" i="1"/>
  <c r="EC909" i="1"/>
  <c r="EA909" i="1"/>
  <c r="EB909" i="1"/>
  <c r="DZ909" i="1" s="1"/>
  <c r="EM908" i="1"/>
  <c r="EH908" i="1"/>
  <c r="EG908" i="1"/>
  <c r="EF908" i="1"/>
  <c r="EE908" i="1"/>
  <c r="EC908" i="1"/>
  <c r="EA908" i="1"/>
  <c r="EB908" i="1"/>
  <c r="DZ908" i="1" s="1"/>
  <c r="EM907" i="1"/>
  <c r="EH907" i="1"/>
  <c r="EG907" i="1"/>
  <c r="EF907" i="1"/>
  <c r="EE907" i="1"/>
  <c r="EC907" i="1"/>
  <c r="EA907" i="1"/>
  <c r="EB907" i="1"/>
  <c r="DZ907" i="1" s="1"/>
  <c r="EM906" i="1"/>
  <c r="EH906" i="1"/>
  <c r="EG906" i="1"/>
  <c r="EF906" i="1"/>
  <c r="EE906" i="1"/>
  <c r="EC906" i="1"/>
  <c r="EA906" i="1"/>
  <c r="EB906" i="1"/>
  <c r="DZ906" i="1" s="1"/>
  <c r="EJ906" i="1" s="1"/>
  <c r="EM905" i="1"/>
  <c r="EH905" i="1"/>
  <c r="EG905" i="1"/>
  <c r="EF905" i="1"/>
  <c r="EE905" i="1"/>
  <c r="EC905" i="1"/>
  <c r="EA905" i="1"/>
  <c r="EB905" i="1"/>
  <c r="DZ905" i="1" s="1"/>
  <c r="EM904" i="1"/>
  <c r="EH904" i="1"/>
  <c r="EG904" i="1"/>
  <c r="EF904" i="1"/>
  <c r="EE904" i="1"/>
  <c r="EC904" i="1"/>
  <c r="EA904" i="1"/>
  <c r="EB904" i="1"/>
  <c r="DZ904" i="1" s="1"/>
  <c r="EJ904" i="1" s="1"/>
  <c r="EM903" i="1"/>
  <c r="EH903" i="1"/>
  <c r="EG903" i="1"/>
  <c r="EF903" i="1"/>
  <c r="EE903" i="1"/>
  <c r="EC903" i="1"/>
  <c r="EA903" i="1"/>
  <c r="EB903" i="1"/>
  <c r="DZ903" i="1" s="1"/>
  <c r="EM902" i="1"/>
  <c r="EH902" i="1"/>
  <c r="EG902" i="1"/>
  <c r="EF902" i="1"/>
  <c r="EE902" i="1"/>
  <c r="EC902" i="1"/>
  <c r="EA902" i="1"/>
  <c r="EB902" i="1"/>
  <c r="DZ902" i="1" s="1"/>
  <c r="EM901" i="1"/>
  <c r="EH901" i="1"/>
  <c r="EG901" i="1"/>
  <c r="EF901" i="1"/>
  <c r="EE901" i="1"/>
  <c r="EC901" i="1"/>
  <c r="EA901" i="1"/>
  <c r="EB901" i="1"/>
  <c r="DZ901" i="1" s="1"/>
  <c r="EJ901" i="1" s="1"/>
  <c r="EM900" i="1"/>
  <c r="EH900" i="1"/>
  <c r="EG900" i="1"/>
  <c r="EF900" i="1"/>
  <c r="EE900" i="1"/>
  <c r="EC900" i="1"/>
  <c r="EA900" i="1"/>
  <c r="EB900" i="1"/>
  <c r="DZ900" i="1" s="1"/>
  <c r="EM899" i="1"/>
  <c r="EH899" i="1"/>
  <c r="EG899" i="1"/>
  <c r="EF899" i="1"/>
  <c r="EE899" i="1"/>
  <c r="EC899" i="1"/>
  <c r="EA899" i="1"/>
  <c r="EB899" i="1"/>
  <c r="DZ899" i="1" s="1"/>
  <c r="EM898" i="1"/>
  <c r="EH898" i="1"/>
  <c r="EG898" i="1"/>
  <c r="EF898" i="1"/>
  <c r="EE898" i="1"/>
  <c r="EC898" i="1"/>
  <c r="EA898" i="1"/>
  <c r="EB898" i="1"/>
  <c r="DZ898" i="1" s="1"/>
  <c r="EM897" i="1"/>
  <c r="EH897" i="1"/>
  <c r="EG897" i="1"/>
  <c r="EF897" i="1"/>
  <c r="EE897" i="1"/>
  <c r="EC897" i="1"/>
  <c r="EA897" i="1"/>
  <c r="EB897" i="1"/>
  <c r="DZ897" i="1" s="1"/>
  <c r="EM896" i="1"/>
  <c r="EH896" i="1"/>
  <c r="EG896" i="1"/>
  <c r="EF896" i="1"/>
  <c r="EE896" i="1"/>
  <c r="EC896" i="1"/>
  <c r="EA896" i="1"/>
  <c r="EB896" i="1"/>
  <c r="DZ896" i="1" s="1"/>
  <c r="EM895" i="1"/>
  <c r="EH895" i="1"/>
  <c r="EG895" i="1"/>
  <c r="EF895" i="1"/>
  <c r="EE895" i="1"/>
  <c r="EC895" i="1"/>
  <c r="EA895" i="1"/>
  <c r="EB895" i="1"/>
  <c r="DZ895" i="1" s="1"/>
  <c r="EM894" i="1"/>
  <c r="EH894" i="1"/>
  <c r="EG894" i="1"/>
  <c r="EF894" i="1"/>
  <c r="EE894" i="1"/>
  <c r="EC894" i="1"/>
  <c r="EA894" i="1"/>
  <c r="EB894" i="1"/>
  <c r="DZ894" i="1" s="1"/>
  <c r="EM893" i="1"/>
  <c r="EH893" i="1"/>
  <c r="EG893" i="1"/>
  <c r="EF893" i="1"/>
  <c r="EE893" i="1"/>
  <c r="EC893" i="1"/>
  <c r="EA893" i="1"/>
  <c r="EB893" i="1"/>
  <c r="DZ893" i="1" s="1"/>
  <c r="EM892" i="1"/>
  <c r="EH892" i="1"/>
  <c r="EG892" i="1"/>
  <c r="EF892" i="1"/>
  <c r="EE892" i="1"/>
  <c r="EC892" i="1"/>
  <c r="EA892" i="1"/>
  <c r="EB892" i="1"/>
  <c r="DZ892" i="1" s="1"/>
  <c r="EM891" i="1"/>
  <c r="EH891" i="1"/>
  <c r="EG891" i="1"/>
  <c r="EF891" i="1"/>
  <c r="EE891" i="1"/>
  <c r="EC891" i="1"/>
  <c r="EA891" i="1"/>
  <c r="EB891" i="1"/>
  <c r="DZ891" i="1" s="1"/>
  <c r="EJ891" i="1" s="1"/>
  <c r="EM890" i="1"/>
  <c r="EH890" i="1"/>
  <c r="EG890" i="1"/>
  <c r="EF890" i="1"/>
  <c r="EE890" i="1"/>
  <c r="EC890" i="1"/>
  <c r="EA890" i="1"/>
  <c r="EB890" i="1"/>
  <c r="DZ890" i="1" s="1"/>
  <c r="EM889" i="1"/>
  <c r="EH889" i="1"/>
  <c r="EG889" i="1"/>
  <c r="EF889" i="1"/>
  <c r="EE889" i="1"/>
  <c r="EC889" i="1"/>
  <c r="EA889" i="1"/>
  <c r="EB889" i="1"/>
  <c r="DZ889" i="1" s="1"/>
  <c r="EM888" i="1"/>
  <c r="EH888" i="1"/>
  <c r="EG888" i="1"/>
  <c r="EF888" i="1"/>
  <c r="EE888" i="1"/>
  <c r="EC888" i="1"/>
  <c r="EA888" i="1"/>
  <c r="EB888" i="1"/>
  <c r="DZ888" i="1" s="1"/>
  <c r="EJ888" i="1" s="1"/>
  <c r="EM887" i="1"/>
  <c r="EH887" i="1"/>
  <c r="EG887" i="1"/>
  <c r="EF887" i="1"/>
  <c r="EE887" i="1"/>
  <c r="EC887" i="1"/>
  <c r="EA887" i="1"/>
  <c r="EB887" i="1"/>
  <c r="DZ887" i="1" s="1"/>
  <c r="EM886" i="1"/>
  <c r="EH886" i="1"/>
  <c r="EG886" i="1"/>
  <c r="EF886" i="1"/>
  <c r="EE886" i="1"/>
  <c r="EC886" i="1"/>
  <c r="EA886" i="1"/>
  <c r="EB886" i="1"/>
  <c r="DZ886" i="1" s="1"/>
  <c r="EM885" i="1"/>
  <c r="EH885" i="1"/>
  <c r="EG885" i="1"/>
  <c r="EF885" i="1"/>
  <c r="EE885" i="1"/>
  <c r="EC885" i="1"/>
  <c r="EA885" i="1"/>
  <c r="EB885" i="1"/>
  <c r="DZ885" i="1" s="1"/>
  <c r="EM884" i="1"/>
  <c r="EH884" i="1"/>
  <c r="EG884" i="1"/>
  <c r="EF884" i="1"/>
  <c r="EE884" i="1"/>
  <c r="EC884" i="1"/>
  <c r="EA884" i="1"/>
  <c r="EB884" i="1"/>
  <c r="DZ884" i="1" s="1"/>
  <c r="EJ884" i="1" s="1"/>
  <c r="EM883" i="1"/>
  <c r="EH883" i="1"/>
  <c r="EG883" i="1"/>
  <c r="EF883" i="1"/>
  <c r="EE883" i="1"/>
  <c r="EC883" i="1"/>
  <c r="EA883" i="1"/>
  <c r="EB883" i="1"/>
  <c r="DZ883" i="1" s="1"/>
  <c r="EM882" i="1"/>
  <c r="EH882" i="1"/>
  <c r="EG882" i="1"/>
  <c r="EF882" i="1"/>
  <c r="EE882" i="1"/>
  <c r="EC882" i="1"/>
  <c r="EA882" i="1"/>
  <c r="EB882" i="1"/>
  <c r="DZ882" i="1" s="1"/>
  <c r="EM881" i="1"/>
  <c r="EH881" i="1"/>
  <c r="EG881" i="1"/>
  <c r="EF881" i="1"/>
  <c r="EE881" i="1"/>
  <c r="EC881" i="1"/>
  <c r="EA881" i="1"/>
  <c r="EB881" i="1"/>
  <c r="DZ881" i="1" s="1"/>
  <c r="EJ881" i="1" s="1"/>
  <c r="EM880" i="1"/>
  <c r="EH880" i="1"/>
  <c r="EG880" i="1"/>
  <c r="EF880" i="1"/>
  <c r="EE880" i="1"/>
  <c r="EC880" i="1"/>
  <c r="EA880" i="1"/>
  <c r="EB880" i="1"/>
  <c r="DZ880" i="1" s="1"/>
  <c r="EM879" i="1"/>
  <c r="EH879" i="1"/>
  <c r="EG879" i="1"/>
  <c r="EF879" i="1"/>
  <c r="EE879" i="1"/>
  <c r="EC879" i="1"/>
  <c r="EA879" i="1"/>
  <c r="EB879" i="1"/>
  <c r="DZ879" i="1" s="1"/>
  <c r="EM878" i="1"/>
  <c r="EH878" i="1"/>
  <c r="EG878" i="1"/>
  <c r="EF878" i="1"/>
  <c r="EE878" i="1"/>
  <c r="EC878" i="1"/>
  <c r="EA878" i="1"/>
  <c r="EB878" i="1"/>
  <c r="DZ878" i="1" s="1"/>
  <c r="EM877" i="1"/>
  <c r="EH877" i="1"/>
  <c r="EG877" i="1"/>
  <c r="EF877" i="1"/>
  <c r="EE877" i="1"/>
  <c r="EC877" i="1"/>
  <c r="EA877" i="1"/>
  <c r="EB877" i="1"/>
  <c r="DZ877" i="1" s="1"/>
  <c r="EM876" i="1"/>
  <c r="EH876" i="1"/>
  <c r="EG876" i="1"/>
  <c r="EF876" i="1"/>
  <c r="EE876" i="1"/>
  <c r="EC876" i="1"/>
  <c r="EA876" i="1"/>
  <c r="EB876" i="1"/>
  <c r="DZ876" i="1" s="1"/>
  <c r="EM875" i="1"/>
  <c r="EH875" i="1"/>
  <c r="EG875" i="1"/>
  <c r="EF875" i="1"/>
  <c r="EE875" i="1"/>
  <c r="EC875" i="1"/>
  <c r="EA875" i="1"/>
  <c r="EB875" i="1"/>
  <c r="DZ875" i="1" s="1"/>
  <c r="EM874" i="1"/>
  <c r="EH874" i="1"/>
  <c r="EG874" i="1"/>
  <c r="EF874" i="1"/>
  <c r="EE874" i="1"/>
  <c r="EC874" i="1"/>
  <c r="EA874" i="1"/>
  <c r="EB874" i="1"/>
  <c r="DZ874" i="1" s="1"/>
  <c r="EM873" i="1"/>
  <c r="EH873" i="1"/>
  <c r="EG873" i="1"/>
  <c r="EF873" i="1"/>
  <c r="EE873" i="1"/>
  <c r="EC873" i="1"/>
  <c r="EA873" i="1"/>
  <c r="EB873" i="1"/>
  <c r="DZ873" i="1" s="1"/>
  <c r="EM872" i="1"/>
  <c r="EH872" i="1"/>
  <c r="EG872" i="1"/>
  <c r="EF872" i="1"/>
  <c r="EE872" i="1"/>
  <c r="EC872" i="1"/>
  <c r="EA872" i="1"/>
  <c r="EB872" i="1"/>
  <c r="DZ872" i="1" s="1"/>
  <c r="EM871" i="1"/>
  <c r="EH871" i="1"/>
  <c r="EG871" i="1"/>
  <c r="EF871" i="1"/>
  <c r="EE871" i="1"/>
  <c r="EC871" i="1"/>
  <c r="EA871" i="1"/>
  <c r="EB871" i="1"/>
  <c r="DZ871" i="1" s="1"/>
  <c r="EM870" i="1"/>
  <c r="EH870" i="1"/>
  <c r="EG870" i="1"/>
  <c r="EF870" i="1"/>
  <c r="EE870" i="1"/>
  <c r="EC870" i="1"/>
  <c r="EA870" i="1"/>
  <c r="EB870" i="1"/>
  <c r="DZ870" i="1" s="1"/>
  <c r="EJ870" i="1" s="1"/>
  <c r="EM869" i="1"/>
  <c r="EH869" i="1"/>
  <c r="EG869" i="1"/>
  <c r="EF869" i="1"/>
  <c r="EE869" i="1"/>
  <c r="EC869" i="1"/>
  <c r="EA869" i="1"/>
  <c r="EB869" i="1"/>
  <c r="DZ869" i="1" s="1"/>
  <c r="EM868" i="1"/>
  <c r="EH868" i="1"/>
  <c r="EG868" i="1"/>
  <c r="EF868" i="1"/>
  <c r="EE868" i="1"/>
  <c r="EC868" i="1"/>
  <c r="EA868" i="1"/>
  <c r="EB868" i="1"/>
  <c r="DZ868" i="1" s="1"/>
  <c r="EM867" i="1"/>
  <c r="EH867" i="1"/>
  <c r="EG867" i="1"/>
  <c r="EF867" i="1"/>
  <c r="EE867" i="1"/>
  <c r="EC867" i="1"/>
  <c r="EA867" i="1"/>
  <c r="EB867" i="1"/>
  <c r="DZ867" i="1" s="1"/>
  <c r="EM866" i="1"/>
  <c r="EH866" i="1"/>
  <c r="EG866" i="1"/>
  <c r="EF866" i="1"/>
  <c r="EE866" i="1"/>
  <c r="EC866" i="1"/>
  <c r="EA866" i="1"/>
  <c r="EB866" i="1"/>
  <c r="DZ866" i="1" s="1"/>
  <c r="EJ866" i="1" s="1"/>
  <c r="EM865" i="1"/>
  <c r="EH865" i="1"/>
  <c r="EG865" i="1"/>
  <c r="EF865" i="1"/>
  <c r="EE865" i="1"/>
  <c r="EC865" i="1"/>
  <c r="EA865" i="1"/>
  <c r="EB865" i="1"/>
  <c r="DZ865" i="1" s="1"/>
  <c r="EM864" i="1"/>
  <c r="EH864" i="1"/>
  <c r="EG864" i="1"/>
  <c r="EF864" i="1"/>
  <c r="EE864" i="1"/>
  <c r="EC864" i="1"/>
  <c r="EA864" i="1"/>
  <c r="EB864" i="1"/>
  <c r="DZ864" i="1" s="1"/>
  <c r="EM863" i="1"/>
  <c r="EH863" i="1"/>
  <c r="EG863" i="1"/>
  <c r="EF863" i="1"/>
  <c r="EE863" i="1"/>
  <c r="EC863" i="1"/>
  <c r="EA863" i="1"/>
  <c r="EB863" i="1"/>
  <c r="DZ863" i="1" s="1"/>
  <c r="EM862" i="1"/>
  <c r="EH862" i="1"/>
  <c r="EG862" i="1"/>
  <c r="EF862" i="1"/>
  <c r="EE862" i="1"/>
  <c r="EC862" i="1"/>
  <c r="EA862" i="1"/>
  <c r="EB862" i="1"/>
  <c r="DZ862" i="1" s="1"/>
  <c r="EM861" i="1"/>
  <c r="EH861" i="1"/>
  <c r="EG861" i="1"/>
  <c r="EF861" i="1"/>
  <c r="EE861" i="1"/>
  <c r="EC861" i="1"/>
  <c r="EA861" i="1"/>
  <c r="EB861" i="1"/>
  <c r="DZ861" i="1" s="1"/>
  <c r="EM860" i="1"/>
  <c r="EH860" i="1"/>
  <c r="EG860" i="1"/>
  <c r="EF860" i="1"/>
  <c r="EE860" i="1"/>
  <c r="EC860" i="1"/>
  <c r="EA860" i="1"/>
  <c r="EB860" i="1"/>
  <c r="DZ860" i="1" s="1"/>
  <c r="EM859" i="1"/>
  <c r="EH859" i="1"/>
  <c r="EG859" i="1"/>
  <c r="EF859" i="1"/>
  <c r="EE859" i="1"/>
  <c r="EC859" i="1"/>
  <c r="EA859" i="1"/>
  <c r="EB859" i="1"/>
  <c r="DZ859" i="1" s="1"/>
  <c r="EM858" i="1"/>
  <c r="EH858" i="1"/>
  <c r="EG858" i="1"/>
  <c r="EF858" i="1"/>
  <c r="EE858" i="1"/>
  <c r="EC858" i="1"/>
  <c r="EA858" i="1"/>
  <c r="EB858" i="1"/>
  <c r="DZ858" i="1" s="1"/>
  <c r="EM857" i="1"/>
  <c r="EH857" i="1"/>
  <c r="EG857" i="1"/>
  <c r="EF857" i="1"/>
  <c r="EE857" i="1"/>
  <c r="EC857" i="1"/>
  <c r="EA857" i="1"/>
  <c r="EB857" i="1"/>
  <c r="DZ857" i="1" s="1"/>
  <c r="EM856" i="1"/>
  <c r="EH856" i="1"/>
  <c r="EG856" i="1"/>
  <c r="EF856" i="1"/>
  <c r="EE856" i="1"/>
  <c r="EC856" i="1"/>
  <c r="EA856" i="1"/>
  <c r="EB856" i="1"/>
  <c r="DZ856" i="1" s="1"/>
  <c r="EJ856" i="1" s="1"/>
  <c r="EM855" i="1"/>
  <c r="EH855" i="1"/>
  <c r="EG855" i="1"/>
  <c r="EF855" i="1"/>
  <c r="EE855" i="1"/>
  <c r="EC855" i="1"/>
  <c r="EA855" i="1"/>
  <c r="EB855" i="1"/>
  <c r="DZ855" i="1" s="1"/>
  <c r="EJ855" i="1" s="1"/>
  <c r="EM854" i="1"/>
  <c r="EH854" i="1"/>
  <c r="EG854" i="1"/>
  <c r="EF854" i="1"/>
  <c r="EE854" i="1"/>
  <c r="EC854" i="1"/>
  <c r="EA854" i="1"/>
  <c r="EB854" i="1"/>
  <c r="DZ854" i="1" s="1"/>
  <c r="EM853" i="1"/>
  <c r="EH853" i="1"/>
  <c r="EG853" i="1"/>
  <c r="EF853" i="1"/>
  <c r="EE853" i="1"/>
  <c r="EC853" i="1"/>
  <c r="EA853" i="1"/>
  <c r="EB853" i="1"/>
  <c r="DZ853" i="1" s="1"/>
  <c r="EM852" i="1"/>
  <c r="EH852" i="1"/>
  <c r="EG852" i="1"/>
  <c r="EF852" i="1"/>
  <c r="EE852" i="1"/>
  <c r="EC852" i="1"/>
  <c r="EA852" i="1"/>
  <c r="EB852" i="1"/>
  <c r="DZ852" i="1" s="1"/>
  <c r="EM851" i="1"/>
  <c r="EH851" i="1"/>
  <c r="EG851" i="1"/>
  <c r="EF851" i="1"/>
  <c r="EE851" i="1"/>
  <c r="EC851" i="1"/>
  <c r="EA851" i="1"/>
  <c r="EB851" i="1"/>
  <c r="DZ851" i="1" s="1"/>
  <c r="EM850" i="1"/>
  <c r="EH850" i="1"/>
  <c r="EG850" i="1"/>
  <c r="EF850" i="1"/>
  <c r="EE850" i="1"/>
  <c r="EC850" i="1"/>
  <c r="EA850" i="1"/>
  <c r="EB850" i="1"/>
  <c r="DZ850" i="1" s="1"/>
  <c r="EJ850" i="1" s="1"/>
  <c r="EM849" i="1"/>
  <c r="EH849" i="1"/>
  <c r="EG849" i="1"/>
  <c r="EF849" i="1"/>
  <c r="EE849" i="1"/>
  <c r="EC849" i="1"/>
  <c r="EA849" i="1"/>
  <c r="EB849" i="1"/>
  <c r="DZ849" i="1" s="1"/>
  <c r="EJ849" i="1" s="1"/>
  <c r="EM848" i="1"/>
  <c r="EH848" i="1"/>
  <c r="EG848" i="1"/>
  <c r="EF848" i="1"/>
  <c r="EE848" i="1"/>
  <c r="EC848" i="1"/>
  <c r="EA848" i="1"/>
  <c r="EB848" i="1"/>
  <c r="DZ848" i="1" s="1"/>
  <c r="EM847" i="1"/>
  <c r="EH847" i="1"/>
  <c r="EG847" i="1"/>
  <c r="EF847" i="1"/>
  <c r="EE847" i="1"/>
  <c r="EC847" i="1"/>
  <c r="EA847" i="1"/>
  <c r="EB847" i="1"/>
  <c r="DZ847" i="1" s="1"/>
  <c r="EM846" i="1"/>
  <c r="EH846" i="1"/>
  <c r="EG846" i="1"/>
  <c r="EF846" i="1"/>
  <c r="EE846" i="1"/>
  <c r="EC846" i="1"/>
  <c r="EA846" i="1"/>
  <c r="EB846" i="1"/>
  <c r="DZ846" i="1" s="1"/>
  <c r="EM845" i="1"/>
  <c r="EH845" i="1"/>
  <c r="EG845" i="1"/>
  <c r="EF845" i="1"/>
  <c r="EE845" i="1"/>
  <c r="EC845" i="1"/>
  <c r="EA845" i="1"/>
  <c r="EB845" i="1"/>
  <c r="DZ845" i="1" s="1"/>
  <c r="EM844" i="1"/>
  <c r="EH844" i="1"/>
  <c r="EG844" i="1"/>
  <c r="EF844" i="1"/>
  <c r="EE844" i="1"/>
  <c r="EC844" i="1"/>
  <c r="EA844" i="1"/>
  <c r="EB844" i="1"/>
  <c r="DZ844" i="1" s="1"/>
  <c r="EM843" i="1"/>
  <c r="EH843" i="1"/>
  <c r="EG843" i="1"/>
  <c r="EF843" i="1"/>
  <c r="EE843" i="1"/>
  <c r="EC843" i="1"/>
  <c r="EA843" i="1"/>
  <c r="EB843" i="1"/>
  <c r="DZ843" i="1" s="1"/>
  <c r="EM842" i="1"/>
  <c r="EH842" i="1"/>
  <c r="EG842" i="1"/>
  <c r="EF842" i="1"/>
  <c r="EE842" i="1"/>
  <c r="EC842" i="1"/>
  <c r="EA842" i="1"/>
  <c r="EB842" i="1"/>
  <c r="DZ842" i="1" s="1"/>
  <c r="EM841" i="1"/>
  <c r="EH841" i="1"/>
  <c r="EG841" i="1"/>
  <c r="EF841" i="1"/>
  <c r="EE841" i="1"/>
  <c r="EC841" i="1"/>
  <c r="EA841" i="1"/>
  <c r="EB841" i="1"/>
  <c r="DZ841" i="1" s="1"/>
  <c r="EM840" i="1"/>
  <c r="EH840" i="1"/>
  <c r="EG840" i="1"/>
  <c r="EF840" i="1"/>
  <c r="EE840" i="1"/>
  <c r="EC840" i="1"/>
  <c r="EA840" i="1"/>
  <c r="EB840" i="1"/>
  <c r="DZ840" i="1" s="1"/>
  <c r="EM839" i="1"/>
  <c r="EH839" i="1"/>
  <c r="EG839" i="1"/>
  <c r="EF839" i="1"/>
  <c r="EE839" i="1"/>
  <c r="EC839" i="1"/>
  <c r="EA839" i="1"/>
  <c r="EB839" i="1"/>
  <c r="DZ839" i="1" s="1"/>
  <c r="EM838" i="1"/>
  <c r="EH838" i="1"/>
  <c r="EG838" i="1"/>
  <c r="EF838" i="1"/>
  <c r="EE838" i="1"/>
  <c r="EC838" i="1"/>
  <c r="EA838" i="1"/>
  <c r="EB838" i="1"/>
  <c r="DZ838" i="1" s="1"/>
  <c r="EM837" i="1"/>
  <c r="EH837" i="1"/>
  <c r="EG837" i="1"/>
  <c r="EF837" i="1"/>
  <c r="EE837" i="1"/>
  <c r="EC837" i="1"/>
  <c r="EA837" i="1"/>
  <c r="EB837" i="1"/>
  <c r="DZ837" i="1" s="1"/>
  <c r="EM836" i="1"/>
  <c r="EH836" i="1"/>
  <c r="EG836" i="1"/>
  <c r="EF836" i="1"/>
  <c r="EE836" i="1"/>
  <c r="EC836" i="1"/>
  <c r="EA836" i="1"/>
  <c r="EB836" i="1"/>
  <c r="DZ836" i="1" s="1"/>
  <c r="EM835" i="1"/>
  <c r="EH835" i="1"/>
  <c r="EG835" i="1"/>
  <c r="EF835" i="1"/>
  <c r="EE835" i="1"/>
  <c r="EC835" i="1"/>
  <c r="EA835" i="1"/>
  <c r="EB835" i="1"/>
  <c r="DZ835" i="1" s="1"/>
  <c r="EJ835" i="1" s="1"/>
  <c r="EM834" i="1"/>
  <c r="EH834" i="1"/>
  <c r="EG834" i="1"/>
  <c r="EF834" i="1"/>
  <c r="EE834" i="1"/>
  <c r="EC834" i="1"/>
  <c r="EA834" i="1"/>
  <c r="EB834" i="1"/>
  <c r="DZ834" i="1" s="1"/>
  <c r="EM833" i="1"/>
  <c r="EH833" i="1"/>
  <c r="EG833" i="1"/>
  <c r="EF833" i="1"/>
  <c r="EE833" i="1"/>
  <c r="EC833" i="1"/>
  <c r="EA833" i="1"/>
  <c r="EB833" i="1"/>
  <c r="DZ833" i="1" s="1"/>
  <c r="EM832" i="1"/>
  <c r="EH832" i="1"/>
  <c r="EG832" i="1"/>
  <c r="EF832" i="1"/>
  <c r="EE832" i="1"/>
  <c r="EC832" i="1"/>
  <c r="EA832" i="1"/>
  <c r="EB832" i="1"/>
  <c r="DZ832" i="1" s="1"/>
  <c r="EM831" i="1"/>
  <c r="EH831" i="1"/>
  <c r="EG831" i="1"/>
  <c r="EF831" i="1"/>
  <c r="EE831" i="1"/>
  <c r="EC831" i="1"/>
  <c r="EA831" i="1"/>
  <c r="EB831" i="1"/>
  <c r="DZ831" i="1" s="1"/>
  <c r="EM830" i="1"/>
  <c r="EH830" i="1"/>
  <c r="EG830" i="1"/>
  <c r="EF830" i="1"/>
  <c r="EE830" i="1"/>
  <c r="EC830" i="1"/>
  <c r="EA830" i="1"/>
  <c r="EB830" i="1"/>
  <c r="DZ830" i="1" s="1"/>
  <c r="EM829" i="1"/>
  <c r="EH829" i="1"/>
  <c r="EG829" i="1"/>
  <c r="EF829" i="1"/>
  <c r="EE829" i="1"/>
  <c r="EC829" i="1"/>
  <c r="EA829" i="1"/>
  <c r="EB829" i="1"/>
  <c r="DZ829" i="1" s="1"/>
  <c r="EM828" i="1"/>
  <c r="EH828" i="1"/>
  <c r="EG828" i="1"/>
  <c r="EF828" i="1"/>
  <c r="EE828" i="1"/>
  <c r="EC828" i="1"/>
  <c r="EA828" i="1"/>
  <c r="EB828" i="1"/>
  <c r="DZ828" i="1" s="1"/>
  <c r="EM827" i="1"/>
  <c r="EH827" i="1"/>
  <c r="EG827" i="1"/>
  <c r="EF827" i="1"/>
  <c r="EE827" i="1"/>
  <c r="EC827" i="1"/>
  <c r="EA827" i="1"/>
  <c r="EB827" i="1"/>
  <c r="DZ827" i="1" s="1"/>
  <c r="EM826" i="1"/>
  <c r="EH826" i="1"/>
  <c r="EG826" i="1"/>
  <c r="EF826" i="1"/>
  <c r="EE826" i="1"/>
  <c r="EC826" i="1"/>
  <c r="EA826" i="1"/>
  <c r="EB826" i="1"/>
  <c r="DZ826" i="1" s="1"/>
  <c r="EM825" i="1"/>
  <c r="EH825" i="1"/>
  <c r="EG825" i="1"/>
  <c r="EF825" i="1"/>
  <c r="EE825" i="1"/>
  <c r="EC825" i="1"/>
  <c r="EA825" i="1"/>
  <c r="EB825" i="1"/>
  <c r="DZ825" i="1" s="1"/>
  <c r="EM824" i="1"/>
  <c r="EH824" i="1"/>
  <c r="EG824" i="1"/>
  <c r="EF824" i="1"/>
  <c r="EE824" i="1"/>
  <c r="EC824" i="1"/>
  <c r="EA824" i="1"/>
  <c r="EB824" i="1"/>
  <c r="DZ824" i="1" s="1"/>
  <c r="EJ824" i="1" s="1"/>
  <c r="EM823" i="1"/>
  <c r="EH823" i="1"/>
  <c r="EG823" i="1"/>
  <c r="EF823" i="1"/>
  <c r="EE823" i="1"/>
  <c r="EC823" i="1"/>
  <c r="EA823" i="1"/>
  <c r="EB823" i="1"/>
  <c r="DZ823" i="1" s="1"/>
  <c r="EM822" i="1"/>
  <c r="EH822" i="1"/>
  <c r="EG822" i="1"/>
  <c r="EF822" i="1"/>
  <c r="EE822" i="1"/>
  <c r="EC822" i="1"/>
  <c r="EA822" i="1"/>
  <c r="EB822" i="1"/>
  <c r="DZ822" i="1" s="1"/>
  <c r="EM821" i="1"/>
  <c r="EH821" i="1"/>
  <c r="EG821" i="1"/>
  <c r="EF821" i="1"/>
  <c r="EE821" i="1"/>
  <c r="EC821" i="1"/>
  <c r="EA821" i="1"/>
  <c r="EB821" i="1"/>
  <c r="DZ821" i="1" s="1"/>
  <c r="EM820" i="1"/>
  <c r="EH820" i="1"/>
  <c r="EG820" i="1"/>
  <c r="EF820" i="1"/>
  <c r="EE820" i="1"/>
  <c r="EC820" i="1"/>
  <c r="EA820" i="1"/>
  <c r="EB820" i="1"/>
  <c r="DZ820" i="1" s="1"/>
  <c r="EM819" i="1"/>
  <c r="EH819" i="1"/>
  <c r="EG819" i="1"/>
  <c r="EF819" i="1"/>
  <c r="EE819" i="1"/>
  <c r="EC819" i="1"/>
  <c r="EA819" i="1"/>
  <c r="EB819" i="1"/>
  <c r="DZ819" i="1" s="1"/>
  <c r="EM818" i="1"/>
  <c r="EH818" i="1"/>
  <c r="EG818" i="1"/>
  <c r="EF818" i="1"/>
  <c r="EE818" i="1"/>
  <c r="EC818" i="1"/>
  <c r="EA818" i="1"/>
  <c r="EB818" i="1"/>
  <c r="DZ818" i="1" s="1"/>
  <c r="EM817" i="1"/>
  <c r="EH817" i="1"/>
  <c r="EG817" i="1"/>
  <c r="EF817" i="1"/>
  <c r="EE817" i="1"/>
  <c r="EC817" i="1"/>
  <c r="EA817" i="1"/>
  <c r="EB817" i="1"/>
  <c r="DZ817" i="1" s="1"/>
  <c r="EJ817" i="1" s="1"/>
  <c r="EM816" i="1"/>
  <c r="EH816" i="1"/>
  <c r="EG816" i="1"/>
  <c r="EF816" i="1"/>
  <c r="EE816" i="1"/>
  <c r="EC816" i="1"/>
  <c r="EA816" i="1"/>
  <c r="EB816" i="1"/>
  <c r="DZ816" i="1" s="1"/>
  <c r="EM815" i="1"/>
  <c r="EH815" i="1"/>
  <c r="EG815" i="1"/>
  <c r="EF815" i="1"/>
  <c r="EE815" i="1"/>
  <c r="EC815" i="1"/>
  <c r="EA815" i="1"/>
  <c r="EB815" i="1"/>
  <c r="DZ815" i="1" s="1"/>
  <c r="EM814" i="1"/>
  <c r="EH814" i="1"/>
  <c r="EG814" i="1"/>
  <c r="EF814" i="1"/>
  <c r="EE814" i="1"/>
  <c r="EC814" i="1"/>
  <c r="EA814" i="1"/>
  <c r="EB814" i="1"/>
  <c r="DZ814" i="1" s="1"/>
  <c r="EM813" i="1"/>
  <c r="EH813" i="1"/>
  <c r="EG813" i="1"/>
  <c r="EF813" i="1"/>
  <c r="EE813" i="1"/>
  <c r="EC813" i="1"/>
  <c r="EA813" i="1"/>
  <c r="EB813" i="1"/>
  <c r="DZ813" i="1" s="1"/>
  <c r="EM812" i="1"/>
  <c r="EH812" i="1"/>
  <c r="EG812" i="1"/>
  <c r="EF812" i="1"/>
  <c r="EE812" i="1"/>
  <c r="EC812" i="1"/>
  <c r="EA812" i="1"/>
  <c r="EB812" i="1"/>
  <c r="DZ812" i="1" s="1"/>
  <c r="EM811" i="1"/>
  <c r="EH811" i="1"/>
  <c r="EG811" i="1"/>
  <c r="EF811" i="1"/>
  <c r="EE811" i="1"/>
  <c r="EC811" i="1"/>
  <c r="EA811" i="1"/>
  <c r="EB811" i="1"/>
  <c r="DZ811" i="1" s="1"/>
  <c r="EM810" i="1"/>
  <c r="EH810" i="1"/>
  <c r="EG810" i="1"/>
  <c r="EF810" i="1"/>
  <c r="EE810" i="1"/>
  <c r="EC810" i="1"/>
  <c r="EA810" i="1"/>
  <c r="EB810" i="1"/>
  <c r="DZ810" i="1" s="1"/>
  <c r="EM809" i="1"/>
  <c r="EH809" i="1"/>
  <c r="EG809" i="1"/>
  <c r="EF809" i="1"/>
  <c r="EE809" i="1"/>
  <c r="EC809" i="1"/>
  <c r="EA809" i="1"/>
  <c r="EB809" i="1"/>
  <c r="DZ809" i="1" s="1"/>
  <c r="EM808" i="1"/>
  <c r="EH808" i="1"/>
  <c r="EG808" i="1"/>
  <c r="EF808" i="1"/>
  <c r="EE808" i="1"/>
  <c r="EC808" i="1"/>
  <c r="EA808" i="1"/>
  <c r="EB808" i="1"/>
  <c r="DZ808" i="1" s="1"/>
  <c r="EM807" i="1"/>
  <c r="EH807" i="1"/>
  <c r="EG807" i="1"/>
  <c r="EF807" i="1"/>
  <c r="EE807" i="1"/>
  <c r="EC807" i="1"/>
  <c r="EA807" i="1"/>
  <c r="EB807" i="1"/>
  <c r="DZ807" i="1" s="1"/>
  <c r="EJ807" i="1" s="1"/>
  <c r="EM806" i="1"/>
  <c r="EH806" i="1"/>
  <c r="EG806" i="1"/>
  <c r="EF806" i="1"/>
  <c r="EE806" i="1"/>
  <c r="EC806" i="1"/>
  <c r="EA806" i="1"/>
  <c r="EB806" i="1"/>
  <c r="DZ806" i="1" s="1"/>
  <c r="EM805" i="1"/>
  <c r="EH805" i="1"/>
  <c r="EG805" i="1"/>
  <c r="EF805" i="1"/>
  <c r="EE805" i="1"/>
  <c r="EC805" i="1"/>
  <c r="EA805" i="1"/>
  <c r="EB805" i="1"/>
  <c r="DZ805" i="1" s="1"/>
  <c r="EM804" i="1"/>
  <c r="EH804" i="1"/>
  <c r="EG804" i="1"/>
  <c r="EF804" i="1"/>
  <c r="EE804" i="1"/>
  <c r="EC804" i="1"/>
  <c r="EA804" i="1"/>
  <c r="EB804" i="1"/>
  <c r="DZ804" i="1" s="1"/>
  <c r="EM803" i="1"/>
  <c r="EH803" i="1"/>
  <c r="EG803" i="1"/>
  <c r="EF803" i="1"/>
  <c r="EE803" i="1"/>
  <c r="EC803" i="1"/>
  <c r="EA803" i="1"/>
  <c r="EB803" i="1"/>
  <c r="DZ803" i="1" s="1"/>
  <c r="EM802" i="1"/>
  <c r="EH802" i="1"/>
  <c r="EG802" i="1"/>
  <c r="EF802" i="1"/>
  <c r="EE802" i="1"/>
  <c r="EC802" i="1"/>
  <c r="EA802" i="1"/>
  <c r="EB802" i="1"/>
  <c r="DZ802" i="1" s="1"/>
  <c r="EM801" i="1"/>
  <c r="EH801" i="1"/>
  <c r="EG801" i="1"/>
  <c r="EF801" i="1"/>
  <c r="EE801" i="1"/>
  <c r="EC801" i="1"/>
  <c r="EA801" i="1"/>
  <c r="EB801" i="1"/>
  <c r="DZ801" i="1" s="1"/>
  <c r="EM800" i="1"/>
  <c r="EH800" i="1"/>
  <c r="EG800" i="1"/>
  <c r="EF800" i="1"/>
  <c r="EE800" i="1"/>
  <c r="EC800" i="1"/>
  <c r="EA800" i="1"/>
  <c r="EB800" i="1"/>
  <c r="DZ800" i="1" s="1"/>
  <c r="EM799" i="1"/>
  <c r="EH799" i="1"/>
  <c r="EG799" i="1"/>
  <c r="EF799" i="1"/>
  <c r="EE799" i="1"/>
  <c r="EC799" i="1"/>
  <c r="EA799" i="1"/>
  <c r="EB799" i="1"/>
  <c r="DZ799" i="1" s="1"/>
  <c r="EM798" i="1"/>
  <c r="EH798" i="1"/>
  <c r="EG798" i="1"/>
  <c r="EF798" i="1"/>
  <c r="EE798" i="1"/>
  <c r="EC798" i="1"/>
  <c r="EA798" i="1"/>
  <c r="EB798" i="1"/>
  <c r="DZ798" i="1" s="1"/>
  <c r="EJ798" i="1" s="1"/>
  <c r="EM797" i="1"/>
  <c r="EH797" i="1"/>
  <c r="EG797" i="1"/>
  <c r="EF797" i="1"/>
  <c r="EE797" i="1"/>
  <c r="EC797" i="1"/>
  <c r="EA797" i="1"/>
  <c r="EB797" i="1"/>
  <c r="DZ797" i="1" s="1"/>
  <c r="EJ797" i="1" s="1"/>
  <c r="EM796" i="1"/>
  <c r="EH796" i="1"/>
  <c r="EG796" i="1"/>
  <c r="EF796" i="1"/>
  <c r="EE796" i="1"/>
  <c r="EC796" i="1"/>
  <c r="EA796" i="1"/>
  <c r="EB796" i="1"/>
  <c r="DZ796" i="1" s="1"/>
  <c r="EM795" i="1"/>
  <c r="EH795" i="1"/>
  <c r="EG795" i="1"/>
  <c r="EF795" i="1"/>
  <c r="EE795" i="1"/>
  <c r="EC795" i="1"/>
  <c r="EA795" i="1"/>
  <c r="EB795" i="1"/>
  <c r="DZ795" i="1" s="1"/>
  <c r="EM794" i="1"/>
  <c r="EH794" i="1"/>
  <c r="EG794" i="1"/>
  <c r="EF794" i="1"/>
  <c r="EE794" i="1"/>
  <c r="EC794" i="1"/>
  <c r="EA794" i="1"/>
  <c r="EB794" i="1"/>
  <c r="DZ794" i="1" s="1"/>
  <c r="EM793" i="1"/>
  <c r="EH793" i="1"/>
  <c r="EG793" i="1"/>
  <c r="EF793" i="1"/>
  <c r="EE793" i="1"/>
  <c r="EC793" i="1"/>
  <c r="EA793" i="1"/>
  <c r="EB793" i="1"/>
  <c r="DZ793" i="1" s="1"/>
  <c r="EJ793" i="1" s="1"/>
  <c r="EM792" i="1"/>
  <c r="EH792" i="1"/>
  <c r="EG792" i="1"/>
  <c r="EF792" i="1"/>
  <c r="EE792" i="1"/>
  <c r="EC792" i="1"/>
  <c r="EA792" i="1"/>
  <c r="EB792" i="1"/>
  <c r="DZ792" i="1" s="1"/>
  <c r="EM791" i="1"/>
  <c r="EH791" i="1"/>
  <c r="EG791" i="1"/>
  <c r="EF791" i="1"/>
  <c r="EE791" i="1"/>
  <c r="EC791" i="1"/>
  <c r="EA791" i="1"/>
  <c r="EB791" i="1"/>
  <c r="DZ791" i="1" s="1"/>
  <c r="EM790" i="1"/>
  <c r="EH790" i="1"/>
  <c r="EG790" i="1"/>
  <c r="EF790" i="1"/>
  <c r="EE790" i="1"/>
  <c r="EC790" i="1"/>
  <c r="EA790" i="1"/>
  <c r="EB790" i="1"/>
  <c r="DZ790" i="1" s="1"/>
  <c r="EM789" i="1"/>
  <c r="EH789" i="1"/>
  <c r="EG789" i="1"/>
  <c r="EF789" i="1"/>
  <c r="EE789" i="1"/>
  <c r="EC789" i="1"/>
  <c r="EA789" i="1"/>
  <c r="EB789" i="1"/>
  <c r="DZ789" i="1" s="1"/>
  <c r="EM788" i="1"/>
  <c r="EH788" i="1"/>
  <c r="EG788" i="1"/>
  <c r="EF788" i="1"/>
  <c r="EE788" i="1"/>
  <c r="EC788" i="1"/>
  <c r="EA788" i="1"/>
  <c r="EB788" i="1"/>
  <c r="DZ788" i="1" s="1"/>
  <c r="EM787" i="1"/>
  <c r="EH787" i="1"/>
  <c r="EG787" i="1"/>
  <c r="EF787" i="1"/>
  <c r="EE787" i="1"/>
  <c r="EC787" i="1"/>
  <c r="EA787" i="1"/>
  <c r="EB787" i="1"/>
  <c r="DZ787" i="1" s="1"/>
  <c r="EM786" i="1"/>
  <c r="EH786" i="1"/>
  <c r="EG786" i="1"/>
  <c r="EF786" i="1"/>
  <c r="EE786" i="1"/>
  <c r="EC786" i="1"/>
  <c r="EA786" i="1"/>
  <c r="EB786" i="1"/>
  <c r="DZ786" i="1" s="1"/>
  <c r="EM785" i="1"/>
  <c r="EH785" i="1"/>
  <c r="EG785" i="1"/>
  <c r="EF785" i="1"/>
  <c r="EE785" i="1"/>
  <c r="EC785" i="1"/>
  <c r="EA785" i="1"/>
  <c r="EB785" i="1"/>
  <c r="DZ785" i="1" s="1"/>
  <c r="EJ785" i="1" s="1"/>
  <c r="EM784" i="1"/>
  <c r="EH784" i="1"/>
  <c r="EG784" i="1"/>
  <c r="EF784" i="1"/>
  <c r="EE784" i="1"/>
  <c r="EC784" i="1"/>
  <c r="EA784" i="1"/>
  <c r="EB784" i="1"/>
  <c r="DZ784" i="1" s="1"/>
  <c r="EJ784" i="1" s="1"/>
  <c r="EM783" i="1"/>
  <c r="EH783" i="1"/>
  <c r="EG783" i="1"/>
  <c r="EF783" i="1"/>
  <c r="EE783" i="1"/>
  <c r="EC783" i="1"/>
  <c r="EA783" i="1"/>
  <c r="EB783" i="1"/>
  <c r="DZ783" i="1" s="1"/>
  <c r="EM782" i="1"/>
  <c r="EH782" i="1"/>
  <c r="EG782" i="1"/>
  <c r="EF782" i="1"/>
  <c r="EE782" i="1"/>
  <c r="EC782" i="1"/>
  <c r="EA782" i="1"/>
  <c r="EB782" i="1"/>
  <c r="DZ782" i="1" s="1"/>
  <c r="EM781" i="1"/>
  <c r="EH781" i="1"/>
  <c r="EG781" i="1"/>
  <c r="EF781" i="1"/>
  <c r="EE781" i="1"/>
  <c r="EC781" i="1"/>
  <c r="EA781" i="1"/>
  <c r="EB781" i="1"/>
  <c r="DZ781" i="1" s="1"/>
  <c r="EM780" i="1"/>
  <c r="EH780" i="1"/>
  <c r="EG780" i="1"/>
  <c r="EF780" i="1"/>
  <c r="EE780" i="1"/>
  <c r="EC780" i="1"/>
  <c r="EA780" i="1"/>
  <c r="EB780" i="1"/>
  <c r="DZ780" i="1" s="1"/>
  <c r="EM779" i="1"/>
  <c r="EH779" i="1"/>
  <c r="EG779" i="1"/>
  <c r="EF779" i="1"/>
  <c r="EE779" i="1"/>
  <c r="EC779" i="1"/>
  <c r="EA779" i="1"/>
  <c r="EB779" i="1"/>
  <c r="DZ779" i="1" s="1"/>
  <c r="EM778" i="1"/>
  <c r="EH778" i="1"/>
  <c r="EG778" i="1"/>
  <c r="EF778" i="1"/>
  <c r="EE778" i="1"/>
  <c r="EC778" i="1"/>
  <c r="EA778" i="1"/>
  <c r="EB778" i="1"/>
  <c r="DZ778" i="1" s="1"/>
  <c r="EM777" i="1"/>
  <c r="EH777" i="1"/>
  <c r="EG777" i="1"/>
  <c r="EF777" i="1"/>
  <c r="EE777" i="1"/>
  <c r="EC777" i="1"/>
  <c r="EA777" i="1"/>
  <c r="EB777" i="1"/>
  <c r="DZ777" i="1" s="1"/>
  <c r="EM776" i="1"/>
  <c r="EH776" i="1"/>
  <c r="EG776" i="1"/>
  <c r="EF776" i="1"/>
  <c r="EE776" i="1"/>
  <c r="EC776" i="1"/>
  <c r="EA776" i="1"/>
  <c r="EB776" i="1"/>
  <c r="DZ776" i="1" s="1"/>
  <c r="EM775" i="1"/>
  <c r="EH775" i="1"/>
  <c r="EG775" i="1"/>
  <c r="EF775" i="1"/>
  <c r="EE775" i="1"/>
  <c r="EC775" i="1"/>
  <c r="EA775" i="1"/>
  <c r="EB775" i="1"/>
  <c r="DZ775" i="1" s="1"/>
  <c r="EM774" i="1"/>
  <c r="EH774" i="1"/>
  <c r="EG774" i="1"/>
  <c r="EF774" i="1"/>
  <c r="EE774" i="1"/>
  <c r="EC774" i="1"/>
  <c r="EA774" i="1"/>
  <c r="EB774" i="1"/>
  <c r="DZ774" i="1" s="1"/>
  <c r="EJ774" i="1" s="1"/>
  <c r="EM773" i="1"/>
  <c r="EH773" i="1"/>
  <c r="EG773" i="1"/>
  <c r="EF773" i="1"/>
  <c r="EE773" i="1"/>
  <c r="EC773" i="1"/>
  <c r="EA773" i="1"/>
  <c r="EB773" i="1"/>
  <c r="DZ773" i="1" s="1"/>
  <c r="EM772" i="1"/>
  <c r="EH772" i="1"/>
  <c r="EG772" i="1"/>
  <c r="EF772" i="1"/>
  <c r="EE772" i="1"/>
  <c r="EC772" i="1"/>
  <c r="EA772" i="1"/>
  <c r="EB772" i="1"/>
  <c r="DZ772" i="1" s="1"/>
  <c r="EM771" i="1"/>
  <c r="EH771" i="1"/>
  <c r="EG771" i="1"/>
  <c r="EF771" i="1"/>
  <c r="EE771" i="1"/>
  <c r="EC771" i="1"/>
  <c r="EA771" i="1"/>
  <c r="EB771" i="1"/>
  <c r="DZ771" i="1" s="1"/>
  <c r="EM770" i="1"/>
  <c r="EH770" i="1"/>
  <c r="EG770" i="1"/>
  <c r="EF770" i="1"/>
  <c r="EE770" i="1"/>
  <c r="EC770" i="1"/>
  <c r="EA770" i="1"/>
  <c r="EB770" i="1"/>
  <c r="DZ770" i="1" s="1"/>
  <c r="EM769" i="1"/>
  <c r="EH769" i="1"/>
  <c r="EG769" i="1"/>
  <c r="EF769" i="1"/>
  <c r="EE769" i="1"/>
  <c r="EC769" i="1"/>
  <c r="EA769" i="1"/>
  <c r="EB769" i="1"/>
  <c r="DZ769" i="1" s="1"/>
  <c r="EM768" i="1"/>
  <c r="EH768" i="1"/>
  <c r="EG768" i="1"/>
  <c r="EF768" i="1"/>
  <c r="EE768" i="1"/>
  <c r="EC768" i="1"/>
  <c r="EA768" i="1"/>
  <c r="EB768" i="1"/>
  <c r="DZ768" i="1" s="1"/>
  <c r="EM767" i="1"/>
  <c r="EH767" i="1"/>
  <c r="EG767" i="1"/>
  <c r="EF767" i="1"/>
  <c r="EE767" i="1"/>
  <c r="EC767" i="1"/>
  <c r="EA767" i="1"/>
  <c r="EB767" i="1"/>
  <c r="DZ767" i="1" s="1"/>
  <c r="EJ767" i="1" s="1"/>
  <c r="EM766" i="1"/>
  <c r="EH766" i="1"/>
  <c r="EG766" i="1"/>
  <c r="EF766" i="1"/>
  <c r="EE766" i="1"/>
  <c r="EC766" i="1"/>
  <c r="EA766" i="1"/>
  <c r="EB766" i="1"/>
  <c r="DZ766" i="1" s="1"/>
  <c r="EM765" i="1"/>
  <c r="EH765" i="1"/>
  <c r="EG765" i="1"/>
  <c r="EF765" i="1"/>
  <c r="EE765" i="1"/>
  <c r="EC765" i="1"/>
  <c r="EA765" i="1"/>
  <c r="EB765" i="1"/>
  <c r="DZ765" i="1" s="1"/>
  <c r="EM764" i="1"/>
  <c r="EH764" i="1"/>
  <c r="EG764" i="1"/>
  <c r="EF764" i="1"/>
  <c r="EE764" i="1"/>
  <c r="EC764" i="1"/>
  <c r="EA764" i="1"/>
  <c r="EB764" i="1"/>
  <c r="DZ764" i="1" s="1"/>
  <c r="EM763" i="1"/>
  <c r="EH763" i="1"/>
  <c r="EG763" i="1"/>
  <c r="EF763" i="1"/>
  <c r="EE763" i="1"/>
  <c r="EC763" i="1"/>
  <c r="EA763" i="1"/>
  <c r="EB763" i="1"/>
  <c r="DZ763" i="1" s="1"/>
  <c r="EJ763" i="1" s="1"/>
  <c r="EM762" i="1"/>
  <c r="EH762" i="1"/>
  <c r="EG762" i="1"/>
  <c r="EF762" i="1"/>
  <c r="EE762" i="1"/>
  <c r="EC762" i="1"/>
  <c r="EA762" i="1"/>
  <c r="EB762" i="1"/>
  <c r="DZ762" i="1" s="1"/>
  <c r="EM761" i="1"/>
  <c r="EH761" i="1"/>
  <c r="EG761" i="1"/>
  <c r="EF761" i="1"/>
  <c r="EE761" i="1"/>
  <c r="EC761" i="1"/>
  <c r="EA761" i="1"/>
  <c r="EB761" i="1"/>
  <c r="DZ761" i="1" s="1"/>
  <c r="EM760" i="1"/>
  <c r="EH760" i="1"/>
  <c r="EG760" i="1"/>
  <c r="EF760" i="1"/>
  <c r="EE760" i="1"/>
  <c r="EC760" i="1"/>
  <c r="EA760" i="1"/>
  <c r="EB760" i="1"/>
  <c r="DZ760" i="1" s="1"/>
  <c r="EM759" i="1"/>
  <c r="EH759" i="1"/>
  <c r="EG759" i="1"/>
  <c r="EF759" i="1"/>
  <c r="EE759" i="1"/>
  <c r="EC759" i="1"/>
  <c r="EA759" i="1"/>
  <c r="EB759" i="1"/>
  <c r="DZ759" i="1" s="1"/>
  <c r="EM1105" i="1"/>
  <c r="EH1105" i="1"/>
  <c r="EG1105" i="1"/>
  <c r="EF1105" i="1"/>
  <c r="EE1105" i="1"/>
  <c r="EC1105" i="1"/>
  <c r="EA1105" i="1"/>
  <c r="EB1105" i="1"/>
  <c r="DZ1105" i="1" s="1"/>
  <c r="EJ1105" i="1" s="1"/>
  <c r="EM758" i="1"/>
  <c r="EH758" i="1"/>
  <c r="EG758" i="1"/>
  <c r="EF758" i="1"/>
  <c r="EE758" i="1"/>
  <c r="EC758" i="1"/>
  <c r="EA758" i="1"/>
  <c r="EB758" i="1"/>
  <c r="DZ758" i="1" s="1"/>
  <c r="EM757" i="1"/>
  <c r="EH757" i="1"/>
  <c r="EG757" i="1"/>
  <c r="EF757" i="1"/>
  <c r="EE757" i="1"/>
  <c r="EC757" i="1"/>
  <c r="EA757" i="1"/>
  <c r="EB757" i="1"/>
  <c r="DZ757" i="1" s="1"/>
  <c r="EM756" i="1"/>
  <c r="EH756" i="1"/>
  <c r="EG756" i="1"/>
  <c r="EF756" i="1"/>
  <c r="EE756" i="1"/>
  <c r="EC756" i="1"/>
  <c r="EA756" i="1"/>
  <c r="EB756" i="1"/>
  <c r="DZ756" i="1" s="1"/>
  <c r="EM755" i="1"/>
  <c r="EH755" i="1"/>
  <c r="EG755" i="1"/>
  <c r="EF755" i="1"/>
  <c r="EE755" i="1"/>
  <c r="EC755" i="1"/>
  <c r="EA755" i="1"/>
  <c r="EB755" i="1"/>
  <c r="DZ755" i="1" s="1"/>
  <c r="EM754" i="1"/>
  <c r="EH754" i="1"/>
  <c r="EG754" i="1"/>
  <c r="EF754" i="1"/>
  <c r="EE754" i="1"/>
  <c r="EC754" i="1"/>
  <c r="EA754" i="1"/>
  <c r="EB754" i="1"/>
  <c r="DZ754" i="1" s="1"/>
  <c r="EM753" i="1"/>
  <c r="EH753" i="1"/>
  <c r="EG753" i="1"/>
  <c r="EF753" i="1"/>
  <c r="EE753" i="1"/>
  <c r="EC753" i="1"/>
  <c r="EA753" i="1"/>
  <c r="EB753" i="1"/>
  <c r="DZ753" i="1" s="1"/>
  <c r="EM752" i="1"/>
  <c r="EH752" i="1"/>
  <c r="EG752" i="1"/>
  <c r="EF752" i="1"/>
  <c r="EE752" i="1"/>
  <c r="EC752" i="1"/>
  <c r="EA752" i="1"/>
  <c r="EB752" i="1"/>
  <c r="DZ752" i="1" s="1"/>
  <c r="EJ752" i="1" s="1"/>
  <c r="EM751" i="1"/>
  <c r="EH751" i="1"/>
  <c r="EG751" i="1"/>
  <c r="EF751" i="1"/>
  <c r="EE751" i="1"/>
  <c r="EC751" i="1"/>
  <c r="EA751" i="1"/>
  <c r="EB751" i="1"/>
  <c r="DZ751" i="1" s="1"/>
  <c r="EM750" i="1"/>
  <c r="EH750" i="1"/>
  <c r="EG750" i="1"/>
  <c r="EF750" i="1"/>
  <c r="EE750" i="1"/>
  <c r="EC750" i="1"/>
  <c r="EA750" i="1"/>
  <c r="EB750" i="1"/>
  <c r="DZ750" i="1" s="1"/>
  <c r="EM749" i="1"/>
  <c r="EH749" i="1"/>
  <c r="EG749" i="1"/>
  <c r="EF749" i="1"/>
  <c r="EE749" i="1"/>
  <c r="EC749" i="1"/>
  <c r="EA749" i="1"/>
  <c r="EB749" i="1"/>
  <c r="DZ749" i="1" s="1"/>
  <c r="EJ749" i="1" s="1"/>
  <c r="EM748" i="1"/>
  <c r="EH748" i="1"/>
  <c r="EG748" i="1"/>
  <c r="EF748" i="1"/>
  <c r="EE748" i="1"/>
  <c r="EC748" i="1"/>
  <c r="EA748" i="1"/>
  <c r="EB748" i="1"/>
  <c r="DZ748" i="1" s="1"/>
  <c r="EM747" i="1"/>
  <c r="EH747" i="1"/>
  <c r="EG747" i="1"/>
  <c r="EF747" i="1"/>
  <c r="EE747" i="1"/>
  <c r="EC747" i="1"/>
  <c r="EA747" i="1"/>
  <c r="EB747" i="1"/>
  <c r="DZ747" i="1" s="1"/>
  <c r="EM746" i="1"/>
  <c r="EH746" i="1"/>
  <c r="EG746" i="1"/>
  <c r="EF746" i="1"/>
  <c r="EE746" i="1"/>
  <c r="EC746" i="1"/>
  <c r="EA746" i="1"/>
  <c r="EB746" i="1"/>
  <c r="DZ746" i="1" s="1"/>
  <c r="EM745" i="1"/>
  <c r="EH745" i="1"/>
  <c r="EG745" i="1"/>
  <c r="EF745" i="1"/>
  <c r="EE745" i="1"/>
  <c r="EC745" i="1"/>
  <c r="EA745" i="1"/>
  <c r="EB745" i="1"/>
  <c r="DZ745" i="1" s="1"/>
  <c r="EJ745" i="1" s="1"/>
  <c r="EM744" i="1"/>
  <c r="EH744" i="1"/>
  <c r="EG744" i="1"/>
  <c r="EF744" i="1"/>
  <c r="EE744" i="1"/>
  <c r="EC744" i="1"/>
  <c r="EA744" i="1"/>
  <c r="EB744" i="1"/>
  <c r="DZ744" i="1" s="1"/>
  <c r="EM743" i="1"/>
  <c r="EH743" i="1"/>
  <c r="EG743" i="1"/>
  <c r="EF743" i="1"/>
  <c r="EE743" i="1"/>
  <c r="EC743" i="1"/>
  <c r="EA743" i="1"/>
  <c r="EB743" i="1"/>
  <c r="DZ743" i="1" s="1"/>
  <c r="EM742" i="1"/>
  <c r="EH742" i="1"/>
  <c r="EG742" i="1"/>
  <c r="EF742" i="1"/>
  <c r="EE742" i="1"/>
  <c r="EC742" i="1"/>
  <c r="EA742" i="1"/>
  <c r="EB742" i="1"/>
  <c r="DZ742" i="1" s="1"/>
  <c r="EM741" i="1"/>
  <c r="EH741" i="1"/>
  <c r="EG741" i="1"/>
  <c r="EF741" i="1"/>
  <c r="EE741" i="1"/>
  <c r="EC741" i="1"/>
  <c r="EA741" i="1"/>
  <c r="EB741" i="1"/>
  <c r="DZ741" i="1" s="1"/>
  <c r="EJ741" i="1" s="1"/>
  <c r="EM740" i="1"/>
  <c r="EH740" i="1"/>
  <c r="EG740" i="1"/>
  <c r="EF740" i="1"/>
  <c r="EE740" i="1"/>
  <c r="EC740" i="1"/>
  <c r="EA740" i="1"/>
  <c r="EB740" i="1"/>
  <c r="DZ740" i="1" s="1"/>
  <c r="EM739" i="1"/>
  <c r="EH739" i="1"/>
  <c r="EG739" i="1"/>
  <c r="EF739" i="1"/>
  <c r="EE739" i="1"/>
  <c r="EC739" i="1"/>
  <c r="EA739" i="1"/>
  <c r="EB739" i="1"/>
  <c r="DZ739" i="1" s="1"/>
  <c r="EM738" i="1"/>
  <c r="EH738" i="1"/>
  <c r="EG738" i="1"/>
  <c r="EF738" i="1"/>
  <c r="EE738" i="1"/>
  <c r="EC738" i="1"/>
  <c r="EA738" i="1"/>
  <c r="EB738" i="1"/>
  <c r="DZ738" i="1" s="1"/>
  <c r="EJ738" i="1" s="1"/>
  <c r="EM737" i="1"/>
  <c r="EH737" i="1"/>
  <c r="EG737" i="1"/>
  <c r="EF737" i="1"/>
  <c r="EE737" i="1"/>
  <c r="EC737" i="1"/>
  <c r="EA737" i="1"/>
  <c r="EB737" i="1"/>
  <c r="DZ737" i="1" s="1"/>
  <c r="EM736" i="1"/>
  <c r="EH736" i="1"/>
  <c r="EG736" i="1"/>
  <c r="EF736" i="1"/>
  <c r="EE736" i="1"/>
  <c r="EC736" i="1"/>
  <c r="EA736" i="1"/>
  <c r="EB736" i="1"/>
  <c r="DZ736" i="1" s="1"/>
  <c r="EJ736" i="1" s="1"/>
  <c r="EM735" i="1"/>
  <c r="EH735" i="1"/>
  <c r="EG735" i="1"/>
  <c r="EF735" i="1"/>
  <c r="EE735" i="1"/>
  <c r="EC735" i="1"/>
  <c r="EA735" i="1"/>
  <c r="EB735" i="1"/>
  <c r="DZ735" i="1" s="1"/>
  <c r="EM734" i="1"/>
  <c r="EH734" i="1"/>
  <c r="EG734" i="1"/>
  <c r="EF734" i="1"/>
  <c r="EE734" i="1"/>
  <c r="EC734" i="1"/>
  <c r="EA734" i="1"/>
  <c r="EB734" i="1"/>
  <c r="DZ734" i="1" s="1"/>
  <c r="EM733" i="1"/>
  <c r="EH733" i="1"/>
  <c r="EG733" i="1"/>
  <c r="EF733" i="1"/>
  <c r="EE733" i="1"/>
  <c r="EC733" i="1"/>
  <c r="EA733" i="1"/>
  <c r="EB733" i="1"/>
  <c r="DZ733" i="1" s="1"/>
  <c r="EM732" i="1"/>
  <c r="EH732" i="1"/>
  <c r="EG732" i="1"/>
  <c r="EF732" i="1"/>
  <c r="EE732" i="1"/>
  <c r="EC732" i="1"/>
  <c r="EA732" i="1"/>
  <c r="EB732" i="1"/>
  <c r="DZ732" i="1" s="1"/>
  <c r="EM731" i="1"/>
  <c r="EH731" i="1"/>
  <c r="EG731" i="1"/>
  <c r="EF731" i="1"/>
  <c r="EE731" i="1"/>
  <c r="EC731" i="1"/>
  <c r="EA731" i="1"/>
  <c r="EB731" i="1"/>
  <c r="DZ731" i="1" s="1"/>
  <c r="EM730" i="1"/>
  <c r="EH730" i="1"/>
  <c r="EG730" i="1"/>
  <c r="EF730" i="1"/>
  <c r="EE730" i="1"/>
  <c r="EC730" i="1"/>
  <c r="EA730" i="1"/>
  <c r="EB730" i="1"/>
  <c r="DZ730" i="1" s="1"/>
  <c r="EJ730" i="1" s="1"/>
  <c r="EM729" i="1"/>
  <c r="EH729" i="1"/>
  <c r="EG729" i="1"/>
  <c r="EF729" i="1"/>
  <c r="EE729" i="1"/>
  <c r="EC729" i="1"/>
  <c r="EA729" i="1"/>
  <c r="EB729" i="1"/>
  <c r="DZ729" i="1" s="1"/>
  <c r="EM728" i="1"/>
  <c r="EH728" i="1"/>
  <c r="EG728" i="1"/>
  <c r="EF728" i="1"/>
  <c r="EE728" i="1"/>
  <c r="EC728" i="1"/>
  <c r="EA728" i="1"/>
  <c r="EB728" i="1"/>
  <c r="DZ728" i="1" s="1"/>
  <c r="EJ728" i="1" s="1"/>
  <c r="EM727" i="1"/>
  <c r="EH727" i="1"/>
  <c r="EG727" i="1"/>
  <c r="EF727" i="1"/>
  <c r="EE727" i="1"/>
  <c r="EC727" i="1"/>
  <c r="EA727" i="1"/>
  <c r="EB727" i="1"/>
  <c r="DZ727" i="1" s="1"/>
  <c r="EM726" i="1"/>
  <c r="EH726" i="1"/>
  <c r="EG726" i="1"/>
  <c r="EF726" i="1"/>
  <c r="EE726" i="1"/>
  <c r="EC726" i="1"/>
  <c r="EA726" i="1"/>
  <c r="EB726" i="1"/>
  <c r="DZ726" i="1" s="1"/>
  <c r="EJ726" i="1" s="1"/>
  <c r="EM725" i="1"/>
  <c r="EH725" i="1"/>
  <c r="EG725" i="1"/>
  <c r="EF725" i="1"/>
  <c r="EE725" i="1"/>
  <c r="EC725" i="1"/>
  <c r="EA725" i="1"/>
  <c r="EB725" i="1"/>
  <c r="DZ725" i="1" s="1"/>
  <c r="EM724" i="1"/>
  <c r="EH724" i="1"/>
  <c r="EG724" i="1"/>
  <c r="EF724" i="1"/>
  <c r="EE724" i="1"/>
  <c r="EC724" i="1"/>
  <c r="EA724" i="1"/>
  <c r="EB724" i="1"/>
  <c r="DZ724" i="1" s="1"/>
  <c r="EM723" i="1"/>
  <c r="EH723" i="1"/>
  <c r="EG723" i="1"/>
  <c r="EF723" i="1"/>
  <c r="EE723" i="1"/>
  <c r="EC723" i="1"/>
  <c r="EA723" i="1"/>
  <c r="EB723" i="1"/>
  <c r="DZ723" i="1" s="1"/>
  <c r="EJ723" i="1" s="1"/>
  <c r="EM722" i="1"/>
  <c r="EH722" i="1"/>
  <c r="EG722" i="1"/>
  <c r="EF722" i="1"/>
  <c r="EE722" i="1"/>
  <c r="EC722" i="1"/>
  <c r="EA722" i="1"/>
  <c r="EB722" i="1"/>
  <c r="DZ722" i="1" s="1"/>
  <c r="EM721" i="1"/>
  <c r="EH721" i="1"/>
  <c r="EG721" i="1"/>
  <c r="EF721" i="1"/>
  <c r="EE721" i="1"/>
  <c r="EC721" i="1"/>
  <c r="EA721" i="1"/>
  <c r="EB721" i="1"/>
  <c r="DZ721" i="1" s="1"/>
  <c r="EM720" i="1"/>
  <c r="EH720" i="1"/>
  <c r="EG720" i="1"/>
  <c r="EF720" i="1"/>
  <c r="EE720" i="1"/>
  <c r="EC720" i="1"/>
  <c r="EA720" i="1"/>
  <c r="EB720" i="1"/>
  <c r="DZ720" i="1" s="1"/>
  <c r="EJ720" i="1" s="1"/>
  <c r="EM719" i="1"/>
  <c r="EH719" i="1"/>
  <c r="EG719" i="1"/>
  <c r="EF719" i="1"/>
  <c r="EE719" i="1"/>
  <c r="EC719" i="1"/>
  <c r="EA719" i="1"/>
  <c r="EB719" i="1"/>
  <c r="DZ719" i="1" s="1"/>
  <c r="EM718" i="1"/>
  <c r="EH718" i="1"/>
  <c r="EG718" i="1"/>
  <c r="EF718" i="1"/>
  <c r="EE718" i="1"/>
  <c r="EC718" i="1"/>
  <c r="EA718" i="1"/>
  <c r="EB718" i="1"/>
  <c r="DZ718" i="1" s="1"/>
  <c r="EM717" i="1"/>
  <c r="EH717" i="1"/>
  <c r="EG717" i="1"/>
  <c r="EF717" i="1"/>
  <c r="EE717" i="1"/>
  <c r="EC717" i="1"/>
  <c r="EA717" i="1"/>
  <c r="EB717" i="1"/>
  <c r="DZ717" i="1" s="1"/>
  <c r="EM716" i="1"/>
  <c r="EH716" i="1"/>
  <c r="EG716" i="1"/>
  <c r="EF716" i="1"/>
  <c r="EE716" i="1"/>
  <c r="EC716" i="1"/>
  <c r="EA716" i="1"/>
  <c r="EB716" i="1"/>
  <c r="DZ716" i="1" s="1"/>
  <c r="EM715" i="1"/>
  <c r="EH715" i="1"/>
  <c r="EG715" i="1"/>
  <c r="EF715" i="1"/>
  <c r="EE715" i="1"/>
  <c r="EC715" i="1"/>
  <c r="EA715" i="1"/>
  <c r="EB715" i="1"/>
  <c r="DZ715" i="1" s="1"/>
  <c r="EM714" i="1"/>
  <c r="EH714" i="1"/>
  <c r="EG714" i="1"/>
  <c r="EF714" i="1"/>
  <c r="EE714" i="1"/>
  <c r="EC714" i="1"/>
  <c r="EA714" i="1"/>
  <c r="EB714" i="1"/>
  <c r="DZ714" i="1" s="1"/>
  <c r="EM713" i="1"/>
  <c r="EH713" i="1"/>
  <c r="EG713" i="1"/>
  <c r="EF713" i="1"/>
  <c r="EE713" i="1"/>
  <c r="EC713" i="1"/>
  <c r="EA713" i="1"/>
  <c r="EB713" i="1"/>
  <c r="DZ713" i="1" s="1"/>
  <c r="EJ713" i="1" s="1"/>
  <c r="EM712" i="1"/>
  <c r="EH712" i="1"/>
  <c r="EG712" i="1"/>
  <c r="EF712" i="1"/>
  <c r="EE712" i="1"/>
  <c r="EC712" i="1"/>
  <c r="EA712" i="1"/>
  <c r="EB712" i="1"/>
  <c r="DZ712" i="1" s="1"/>
  <c r="EM711" i="1"/>
  <c r="EH711" i="1"/>
  <c r="EG711" i="1"/>
  <c r="EF711" i="1"/>
  <c r="EE711" i="1"/>
  <c r="EC711" i="1"/>
  <c r="EA711" i="1"/>
  <c r="EB711" i="1"/>
  <c r="DZ711" i="1" s="1"/>
  <c r="EM710" i="1"/>
  <c r="EH710" i="1"/>
  <c r="EG710" i="1"/>
  <c r="EF710" i="1"/>
  <c r="EE710" i="1"/>
  <c r="EC710" i="1"/>
  <c r="EA710" i="1"/>
  <c r="EB710" i="1"/>
  <c r="DZ710" i="1" s="1"/>
  <c r="EM709" i="1"/>
  <c r="EH709" i="1"/>
  <c r="EG709" i="1"/>
  <c r="EF709" i="1"/>
  <c r="EE709" i="1"/>
  <c r="EC709" i="1"/>
  <c r="EA709" i="1"/>
  <c r="EB709" i="1"/>
  <c r="DZ709" i="1" s="1"/>
  <c r="EJ709" i="1" s="1"/>
  <c r="EM708" i="1"/>
  <c r="EH708" i="1"/>
  <c r="EG708" i="1"/>
  <c r="EF708" i="1"/>
  <c r="EE708" i="1"/>
  <c r="EC708" i="1"/>
  <c r="EA708" i="1"/>
  <c r="EB708" i="1"/>
  <c r="DZ708" i="1" s="1"/>
  <c r="EM707" i="1"/>
  <c r="EH707" i="1"/>
  <c r="EG707" i="1"/>
  <c r="EF707" i="1"/>
  <c r="EE707" i="1"/>
  <c r="EC707" i="1"/>
  <c r="EA707" i="1"/>
  <c r="EB707" i="1"/>
  <c r="DZ707" i="1" s="1"/>
  <c r="EM706" i="1"/>
  <c r="EH706" i="1"/>
  <c r="EG706" i="1"/>
  <c r="EF706" i="1"/>
  <c r="EE706" i="1"/>
  <c r="EC706" i="1"/>
  <c r="EA706" i="1"/>
  <c r="EB706" i="1"/>
  <c r="DZ706" i="1" s="1"/>
  <c r="EJ706" i="1" s="1"/>
  <c r="EM705" i="1"/>
  <c r="EH705" i="1"/>
  <c r="EG705" i="1"/>
  <c r="EF705" i="1"/>
  <c r="EE705" i="1"/>
  <c r="EC705" i="1"/>
  <c r="EA705" i="1"/>
  <c r="EB705" i="1"/>
  <c r="DZ705" i="1" s="1"/>
  <c r="EJ705" i="1" s="1"/>
  <c r="EM704" i="1"/>
  <c r="EH704" i="1"/>
  <c r="EG704" i="1"/>
  <c r="EF704" i="1"/>
  <c r="EE704" i="1"/>
  <c r="EC704" i="1"/>
  <c r="EA704" i="1"/>
  <c r="EB704" i="1"/>
  <c r="DZ704" i="1" s="1"/>
  <c r="EM703" i="1"/>
  <c r="EH703" i="1"/>
  <c r="EG703" i="1"/>
  <c r="EF703" i="1"/>
  <c r="EE703" i="1"/>
  <c r="EC703" i="1"/>
  <c r="EA703" i="1"/>
  <c r="EB703" i="1"/>
  <c r="DZ703" i="1" s="1"/>
  <c r="EM702" i="1"/>
  <c r="EH702" i="1"/>
  <c r="EG702" i="1"/>
  <c r="EF702" i="1"/>
  <c r="EE702" i="1"/>
  <c r="EC702" i="1"/>
  <c r="EA702" i="1"/>
  <c r="EB702" i="1"/>
  <c r="DZ702" i="1" s="1"/>
  <c r="EM701" i="1"/>
  <c r="EH701" i="1"/>
  <c r="EG701" i="1"/>
  <c r="EF701" i="1"/>
  <c r="EE701" i="1"/>
  <c r="EC701" i="1"/>
  <c r="EA701" i="1"/>
  <c r="EB701" i="1"/>
  <c r="DZ701" i="1" s="1"/>
  <c r="EM700" i="1"/>
  <c r="EH700" i="1"/>
  <c r="EG700" i="1"/>
  <c r="EF700" i="1"/>
  <c r="EE700" i="1"/>
  <c r="EC700" i="1"/>
  <c r="EA700" i="1"/>
  <c r="EB700" i="1"/>
  <c r="DZ700" i="1" s="1"/>
  <c r="EM699" i="1"/>
  <c r="EH699" i="1"/>
  <c r="EG699" i="1"/>
  <c r="EF699" i="1"/>
  <c r="EE699" i="1"/>
  <c r="EC699" i="1"/>
  <c r="EA699" i="1"/>
  <c r="EB699" i="1"/>
  <c r="DZ699" i="1" s="1"/>
  <c r="EM698" i="1"/>
  <c r="EH698" i="1"/>
  <c r="EG698" i="1"/>
  <c r="EF698" i="1"/>
  <c r="EE698" i="1"/>
  <c r="EC698" i="1"/>
  <c r="EA698" i="1"/>
  <c r="EB698" i="1"/>
  <c r="DZ698" i="1" s="1"/>
  <c r="EM697" i="1"/>
  <c r="EH697" i="1"/>
  <c r="EG697" i="1"/>
  <c r="EF697" i="1"/>
  <c r="EE697" i="1"/>
  <c r="EC697" i="1"/>
  <c r="EA697" i="1"/>
  <c r="EB697" i="1"/>
  <c r="DZ697" i="1" s="1"/>
  <c r="EM696" i="1"/>
  <c r="EH696" i="1"/>
  <c r="EG696" i="1"/>
  <c r="EF696" i="1"/>
  <c r="EE696" i="1"/>
  <c r="EC696" i="1"/>
  <c r="EA696" i="1"/>
  <c r="EB696" i="1"/>
  <c r="DZ696" i="1" s="1"/>
  <c r="EM695" i="1"/>
  <c r="EH695" i="1"/>
  <c r="EG695" i="1"/>
  <c r="EF695" i="1"/>
  <c r="EE695" i="1"/>
  <c r="EC695" i="1"/>
  <c r="EA695" i="1"/>
  <c r="EB695" i="1"/>
  <c r="DZ695" i="1" s="1"/>
  <c r="EM694" i="1"/>
  <c r="EH694" i="1"/>
  <c r="EG694" i="1"/>
  <c r="EF694" i="1"/>
  <c r="EE694" i="1"/>
  <c r="EC694" i="1"/>
  <c r="EA694" i="1"/>
  <c r="EB694" i="1"/>
  <c r="DZ694" i="1" s="1"/>
  <c r="EM693" i="1"/>
  <c r="EH693" i="1"/>
  <c r="EG693" i="1"/>
  <c r="EF693" i="1"/>
  <c r="EE693" i="1"/>
  <c r="EC693" i="1"/>
  <c r="EA693" i="1"/>
  <c r="EB693" i="1"/>
  <c r="DZ693" i="1" s="1"/>
  <c r="EM692" i="1"/>
  <c r="EH692" i="1"/>
  <c r="EG692" i="1"/>
  <c r="EF692" i="1"/>
  <c r="EE692" i="1"/>
  <c r="EC692" i="1"/>
  <c r="EA692" i="1"/>
  <c r="EB692" i="1"/>
  <c r="DZ692" i="1" s="1"/>
  <c r="EM691" i="1"/>
  <c r="EH691" i="1"/>
  <c r="EG691" i="1"/>
  <c r="EF691" i="1"/>
  <c r="EE691" i="1"/>
  <c r="EC691" i="1"/>
  <c r="EA691" i="1"/>
  <c r="EB691" i="1"/>
  <c r="DZ691" i="1" s="1"/>
  <c r="EM690" i="1"/>
  <c r="EH690" i="1"/>
  <c r="EG690" i="1"/>
  <c r="EF690" i="1"/>
  <c r="EE690" i="1"/>
  <c r="EC690" i="1"/>
  <c r="EA690" i="1"/>
  <c r="EB690" i="1"/>
  <c r="DZ690" i="1" s="1"/>
  <c r="EM689" i="1"/>
  <c r="EH689" i="1"/>
  <c r="EG689" i="1"/>
  <c r="EF689" i="1"/>
  <c r="EE689" i="1"/>
  <c r="EC689" i="1"/>
  <c r="EA689" i="1"/>
  <c r="EB689" i="1"/>
  <c r="DZ689" i="1" s="1"/>
  <c r="EM688" i="1"/>
  <c r="EH688" i="1"/>
  <c r="EG688" i="1"/>
  <c r="EF688" i="1"/>
  <c r="EE688" i="1"/>
  <c r="EC688" i="1"/>
  <c r="EA688" i="1"/>
  <c r="EB688" i="1"/>
  <c r="DZ688" i="1" s="1"/>
  <c r="EM687" i="1"/>
  <c r="EH687" i="1"/>
  <c r="EG687" i="1"/>
  <c r="EF687" i="1"/>
  <c r="EE687" i="1"/>
  <c r="EC687" i="1"/>
  <c r="EA687" i="1"/>
  <c r="EB687" i="1"/>
  <c r="DZ687" i="1" s="1"/>
  <c r="EM686" i="1"/>
  <c r="EH686" i="1"/>
  <c r="EG686" i="1"/>
  <c r="EF686" i="1"/>
  <c r="EE686" i="1"/>
  <c r="EC686" i="1"/>
  <c r="EA686" i="1"/>
  <c r="EB686" i="1"/>
  <c r="DZ686" i="1" s="1"/>
  <c r="EM685" i="1"/>
  <c r="EH685" i="1"/>
  <c r="EG685" i="1"/>
  <c r="EF685" i="1"/>
  <c r="EE685" i="1"/>
  <c r="EC685" i="1"/>
  <c r="EA685" i="1"/>
  <c r="EB685" i="1"/>
  <c r="DZ685" i="1" s="1"/>
  <c r="EM684" i="1"/>
  <c r="EH684" i="1"/>
  <c r="EG684" i="1"/>
  <c r="EF684" i="1"/>
  <c r="EE684" i="1"/>
  <c r="EC684" i="1"/>
  <c r="EA684" i="1"/>
  <c r="EB684" i="1"/>
  <c r="DZ684" i="1" s="1"/>
  <c r="EJ684" i="1" s="1"/>
  <c r="EM683" i="1"/>
  <c r="EH683" i="1"/>
  <c r="EG683" i="1"/>
  <c r="EF683" i="1"/>
  <c r="EE683" i="1"/>
  <c r="EC683" i="1"/>
  <c r="EA683" i="1"/>
  <c r="EB683" i="1"/>
  <c r="DZ683" i="1" s="1"/>
  <c r="EM682" i="1"/>
  <c r="EH682" i="1"/>
  <c r="EG682" i="1"/>
  <c r="EF682" i="1"/>
  <c r="EE682" i="1"/>
  <c r="EC682" i="1"/>
  <c r="EA682" i="1"/>
  <c r="EB682" i="1"/>
  <c r="DZ682" i="1" s="1"/>
  <c r="EM681" i="1"/>
  <c r="EH681" i="1"/>
  <c r="EG681" i="1"/>
  <c r="EF681" i="1"/>
  <c r="EE681" i="1"/>
  <c r="EC681" i="1"/>
  <c r="EA681" i="1"/>
  <c r="EB681" i="1"/>
  <c r="DZ681" i="1" s="1"/>
  <c r="EM680" i="1"/>
  <c r="EH680" i="1"/>
  <c r="EG680" i="1"/>
  <c r="EF680" i="1"/>
  <c r="EE680" i="1"/>
  <c r="EC680" i="1"/>
  <c r="EA680" i="1"/>
  <c r="EB680" i="1"/>
  <c r="DZ680" i="1" s="1"/>
  <c r="EM679" i="1"/>
  <c r="EH679" i="1"/>
  <c r="EG679" i="1"/>
  <c r="EF679" i="1"/>
  <c r="EE679" i="1"/>
  <c r="EC679" i="1"/>
  <c r="EA679" i="1"/>
  <c r="EB679" i="1"/>
  <c r="DZ679" i="1" s="1"/>
  <c r="EJ679" i="1" s="1"/>
  <c r="EM678" i="1"/>
  <c r="EH678" i="1"/>
  <c r="EG678" i="1"/>
  <c r="EF678" i="1"/>
  <c r="EE678" i="1"/>
  <c r="EC678" i="1"/>
  <c r="EA678" i="1"/>
  <c r="EB678" i="1"/>
  <c r="DZ678" i="1" s="1"/>
  <c r="EM677" i="1"/>
  <c r="EH677" i="1"/>
  <c r="EG677" i="1"/>
  <c r="EF677" i="1"/>
  <c r="EE677" i="1"/>
  <c r="EC677" i="1"/>
  <c r="EA677" i="1"/>
  <c r="EB677" i="1"/>
  <c r="DZ677" i="1" s="1"/>
  <c r="EM676" i="1"/>
  <c r="EH676" i="1"/>
  <c r="EG676" i="1"/>
  <c r="EF676" i="1"/>
  <c r="EE676" i="1"/>
  <c r="EC676" i="1"/>
  <c r="EA676" i="1"/>
  <c r="EB676" i="1"/>
  <c r="DZ676" i="1" s="1"/>
  <c r="EM675" i="1"/>
  <c r="EH675" i="1"/>
  <c r="EG675" i="1"/>
  <c r="EF675" i="1"/>
  <c r="EE675" i="1"/>
  <c r="EC675" i="1"/>
  <c r="EA675" i="1"/>
  <c r="EB675" i="1"/>
  <c r="DZ675" i="1" s="1"/>
  <c r="EM674" i="1"/>
  <c r="EH674" i="1"/>
  <c r="EG674" i="1"/>
  <c r="EF674" i="1"/>
  <c r="EE674" i="1"/>
  <c r="EC674" i="1"/>
  <c r="EA674" i="1"/>
  <c r="EB674" i="1"/>
  <c r="DZ674" i="1" s="1"/>
  <c r="EM673" i="1"/>
  <c r="EH673" i="1"/>
  <c r="EG673" i="1"/>
  <c r="EF673" i="1"/>
  <c r="EE673" i="1"/>
  <c r="EC673" i="1"/>
  <c r="EA673" i="1"/>
  <c r="EB673" i="1"/>
  <c r="DZ673" i="1" s="1"/>
  <c r="EM672" i="1"/>
  <c r="EH672" i="1"/>
  <c r="EG672" i="1"/>
  <c r="EF672" i="1"/>
  <c r="EE672" i="1"/>
  <c r="EC672" i="1"/>
  <c r="EA672" i="1"/>
  <c r="EB672" i="1"/>
  <c r="DZ672" i="1" s="1"/>
  <c r="EJ672" i="1" s="1"/>
  <c r="EM671" i="1"/>
  <c r="EH671" i="1"/>
  <c r="EG671" i="1"/>
  <c r="EF671" i="1"/>
  <c r="EE671" i="1"/>
  <c r="EC671" i="1"/>
  <c r="EA671" i="1"/>
  <c r="EB671" i="1"/>
  <c r="DZ671" i="1" s="1"/>
  <c r="EJ671" i="1" s="1"/>
  <c r="EM670" i="1"/>
  <c r="EH670" i="1"/>
  <c r="EG670" i="1"/>
  <c r="EF670" i="1"/>
  <c r="EE670" i="1"/>
  <c r="EC670" i="1"/>
  <c r="EA670" i="1"/>
  <c r="EB670" i="1"/>
  <c r="DZ670" i="1" s="1"/>
  <c r="EM669" i="1"/>
  <c r="EH669" i="1"/>
  <c r="EG669" i="1"/>
  <c r="EF669" i="1"/>
  <c r="EE669" i="1"/>
  <c r="EC669" i="1"/>
  <c r="EA669" i="1"/>
  <c r="EB669" i="1"/>
  <c r="DZ669" i="1" s="1"/>
  <c r="EM668" i="1"/>
  <c r="EH668" i="1"/>
  <c r="EG668" i="1"/>
  <c r="EF668" i="1"/>
  <c r="EE668" i="1"/>
  <c r="EC668" i="1"/>
  <c r="EA668" i="1"/>
  <c r="EB668" i="1"/>
  <c r="DZ668" i="1" s="1"/>
  <c r="EM667" i="1"/>
  <c r="EH667" i="1"/>
  <c r="EG667" i="1"/>
  <c r="EF667" i="1"/>
  <c r="EE667" i="1"/>
  <c r="EC667" i="1"/>
  <c r="EA667" i="1"/>
  <c r="EB667" i="1"/>
  <c r="DZ667" i="1" s="1"/>
  <c r="EM666" i="1"/>
  <c r="EH666" i="1"/>
  <c r="EG666" i="1"/>
  <c r="EF666" i="1"/>
  <c r="EE666" i="1"/>
  <c r="EC666" i="1"/>
  <c r="EA666" i="1"/>
  <c r="EB666" i="1"/>
  <c r="DZ666" i="1" s="1"/>
  <c r="EM665" i="1"/>
  <c r="EH665" i="1"/>
  <c r="EG665" i="1"/>
  <c r="EF665" i="1"/>
  <c r="EE665" i="1"/>
  <c r="EC665" i="1"/>
  <c r="EA665" i="1"/>
  <c r="EB665" i="1"/>
  <c r="DZ665" i="1" s="1"/>
  <c r="EM664" i="1"/>
  <c r="EH664" i="1"/>
  <c r="EG664" i="1"/>
  <c r="EF664" i="1"/>
  <c r="EE664" i="1"/>
  <c r="EC664" i="1"/>
  <c r="EA664" i="1"/>
  <c r="EB664" i="1"/>
  <c r="DZ664" i="1" s="1"/>
  <c r="EM663" i="1"/>
  <c r="EH663" i="1"/>
  <c r="EG663" i="1"/>
  <c r="EF663" i="1"/>
  <c r="EE663" i="1"/>
  <c r="EC663" i="1"/>
  <c r="EA663" i="1"/>
  <c r="EB663" i="1"/>
  <c r="DZ663" i="1" s="1"/>
  <c r="EJ663" i="1" s="1"/>
  <c r="EM662" i="1"/>
  <c r="EH662" i="1"/>
  <c r="EG662" i="1"/>
  <c r="EF662" i="1"/>
  <c r="EE662" i="1"/>
  <c r="EC662" i="1"/>
  <c r="EA662" i="1"/>
  <c r="EB662" i="1"/>
  <c r="DZ662" i="1" s="1"/>
  <c r="EM661" i="1"/>
  <c r="EH661" i="1"/>
  <c r="EG661" i="1"/>
  <c r="EF661" i="1"/>
  <c r="EE661" i="1"/>
  <c r="EC661" i="1"/>
  <c r="EA661" i="1"/>
  <c r="EB661" i="1"/>
  <c r="DZ661" i="1" s="1"/>
  <c r="EM660" i="1"/>
  <c r="EH660" i="1"/>
  <c r="EG660" i="1"/>
  <c r="EF660" i="1"/>
  <c r="EE660" i="1"/>
  <c r="EC660" i="1"/>
  <c r="EA660" i="1"/>
  <c r="EB660" i="1"/>
  <c r="DZ660" i="1" s="1"/>
  <c r="EM659" i="1"/>
  <c r="EH659" i="1"/>
  <c r="EG659" i="1"/>
  <c r="EF659" i="1"/>
  <c r="EE659" i="1"/>
  <c r="EC659" i="1"/>
  <c r="EA659" i="1"/>
  <c r="EB659" i="1"/>
  <c r="DZ659" i="1" s="1"/>
  <c r="EM658" i="1"/>
  <c r="EH658" i="1"/>
  <c r="EG658" i="1"/>
  <c r="EF658" i="1"/>
  <c r="EE658" i="1"/>
  <c r="EC658" i="1"/>
  <c r="EA658" i="1"/>
  <c r="EB658" i="1"/>
  <c r="DZ658" i="1" s="1"/>
  <c r="EM657" i="1"/>
  <c r="EH657" i="1"/>
  <c r="EG657" i="1"/>
  <c r="EF657" i="1"/>
  <c r="EE657" i="1"/>
  <c r="EC657" i="1"/>
  <c r="EA657" i="1"/>
  <c r="EB657" i="1"/>
  <c r="DZ657" i="1" s="1"/>
  <c r="EM656" i="1"/>
  <c r="EH656" i="1"/>
  <c r="EG656" i="1"/>
  <c r="EF656" i="1"/>
  <c r="EE656" i="1"/>
  <c r="EC656" i="1"/>
  <c r="EA656" i="1"/>
  <c r="EB656" i="1"/>
  <c r="DZ656" i="1" s="1"/>
  <c r="EM655" i="1"/>
  <c r="EH655" i="1"/>
  <c r="EG655" i="1"/>
  <c r="EF655" i="1"/>
  <c r="EE655" i="1"/>
  <c r="EC655" i="1"/>
  <c r="EA655" i="1"/>
  <c r="EB655" i="1"/>
  <c r="DZ655" i="1" s="1"/>
  <c r="EM654" i="1"/>
  <c r="EH654" i="1"/>
  <c r="EG654" i="1"/>
  <c r="EF654" i="1"/>
  <c r="EE654" i="1"/>
  <c r="EC654" i="1"/>
  <c r="EA654" i="1"/>
  <c r="EB654" i="1"/>
  <c r="DZ654" i="1" s="1"/>
  <c r="EM653" i="1"/>
  <c r="EH653" i="1"/>
  <c r="EG653" i="1"/>
  <c r="EF653" i="1"/>
  <c r="EE653" i="1"/>
  <c r="EC653" i="1"/>
  <c r="EA653" i="1"/>
  <c r="EB653" i="1"/>
  <c r="DZ653" i="1" s="1"/>
  <c r="EM652" i="1"/>
  <c r="EH652" i="1"/>
  <c r="EG652" i="1"/>
  <c r="EF652" i="1"/>
  <c r="EE652" i="1"/>
  <c r="EC652" i="1"/>
  <c r="EA652" i="1"/>
  <c r="EB652" i="1"/>
  <c r="DZ652" i="1" s="1"/>
  <c r="EM651" i="1"/>
  <c r="EH651" i="1"/>
  <c r="EG651" i="1"/>
  <c r="EF651" i="1"/>
  <c r="EE651" i="1"/>
  <c r="EC651" i="1"/>
  <c r="EA651" i="1"/>
  <c r="EB651" i="1"/>
  <c r="DZ651" i="1" s="1"/>
  <c r="EM650" i="1"/>
  <c r="EH650" i="1"/>
  <c r="EG650" i="1"/>
  <c r="EF650" i="1"/>
  <c r="EE650" i="1"/>
  <c r="EC650" i="1"/>
  <c r="EA650" i="1"/>
  <c r="EB650" i="1"/>
  <c r="DZ650" i="1" s="1"/>
  <c r="EM649" i="1"/>
  <c r="EH649" i="1"/>
  <c r="EG649" i="1"/>
  <c r="EF649" i="1"/>
  <c r="EE649" i="1"/>
  <c r="EC649" i="1"/>
  <c r="EA649" i="1"/>
  <c r="EB649" i="1"/>
  <c r="DZ649" i="1" s="1"/>
  <c r="EM648" i="1"/>
  <c r="EH648" i="1"/>
  <c r="EG648" i="1"/>
  <c r="EF648" i="1"/>
  <c r="EE648" i="1"/>
  <c r="EC648" i="1"/>
  <c r="EA648" i="1"/>
  <c r="EB648" i="1"/>
  <c r="DZ648" i="1" s="1"/>
  <c r="EM647" i="1"/>
  <c r="EH647" i="1"/>
  <c r="EG647" i="1"/>
  <c r="EF647" i="1"/>
  <c r="EE647" i="1"/>
  <c r="EC647" i="1"/>
  <c r="EA647" i="1"/>
  <c r="EB647" i="1"/>
  <c r="DZ647" i="1" s="1"/>
  <c r="EM646" i="1"/>
  <c r="EH646" i="1"/>
  <c r="EG646" i="1"/>
  <c r="EF646" i="1"/>
  <c r="EE646" i="1"/>
  <c r="EC646" i="1"/>
  <c r="EA646" i="1"/>
  <c r="EB646" i="1"/>
  <c r="DZ646" i="1" s="1"/>
  <c r="EM645" i="1"/>
  <c r="EH645" i="1"/>
  <c r="EG645" i="1"/>
  <c r="EF645" i="1"/>
  <c r="EE645" i="1"/>
  <c r="EC645" i="1"/>
  <c r="EA645" i="1"/>
  <c r="EB645" i="1"/>
  <c r="DZ645" i="1" s="1"/>
  <c r="EM644" i="1"/>
  <c r="EH644" i="1"/>
  <c r="EG644" i="1"/>
  <c r="EF644" i="1"/>
  <c r="EE644" i="1"/>
  <c r="EC644" i="1"/>
  <c r="EA644" i="1"/>
  <c r="EB644" i="1"/>
  <c r="DZ644" i="1" s="1"/>
  <c r="EM643" i="1"/>
  <c r="EH643" i="1"/>
  <c r="EG643" i="1"/>
  <c r="EF643" i="1"/>
  <c r="EE643" i="1"/>
  <c r="EC643" i="1"/>
  <c r="EA643" i="1"/>
  <c r="EB643" i="1"/>
  <c r="DZ643" i="1" s="1"/>
  <c r="EM642" i="1"/>
  <c r="EH642" i="1"/>
  <c r="EG642" i="1"/>
  <c r="EF642" i="1"/>
  <c r="EE642" i="1"/>
  <c r="EC642" i="1"/>
  <c r="EA642" i="1"/>
  <c r="EB642" i="1"/>
  <c r="DZ642" i="1" s="1"/>
  <c r="EM641" i="1"/>
  <c r="EH641" i="1"/>
  <c r="EG641" i="1"/>
  <c r="EF641" i="1"/>
  <c r="EE641" i="1"/>
  <c r="EC641" i="1"/>
  <c r="EA641" i="1"/>
  <c r="EB641" i="1"/>
  <c r="DZ641" i="1" s="1"/>
  <c r="EM640" i="1"/>
  <c r="EH640" i="1"/>
  <c r="EG640" i="1"/>
  <c r="EF640" i="1"/>
  <c r="EE640" i="1"/>
  <c r="EC640" i="1"/>
  <c r="EA640" i="1"/>
  <c r="EB640" i="1"/>
  <c r="DZ640" i="1" s="1"/>
  <c r="EJ640" i="1" s="1"/>
  <c r="EM639" i="1"/>
  <c r="EH639" i="1"/>
  <c r="EG639" i="1"/>
  <c r="EF639" i="1"/>
  <c r="EE639" i="1"/>
  <c r="EC639" i="1"/>
  <c r="EA639" i="1"/>
  <c r="EB639" i="1"/>
  <c r="DZ639" i="1" s="1"/>
  <c r="EM638" i="1"/>
  <c r="EH638" i="1"/>
  <c r="EG638" i="1"/>
  <c r="EF638" i="1"/>
  <c r="EE638" i="1"/>
  <c r="EC638" i="1"/>
  <c r="EA638" i="1"/>
  <c r="EB638" i="1"/>
  <c r="DZ638" i="1" s="1"/>
  <c r="EM637" i="1"/>
  <c r="EH637" i="1"/>
  <c r="EG637" i="1"/>
  <c r="EF637" i="1"/>
  <c r="EE637" i="1"/>
  <c r="EC637" i="1"/>
  <c r="EA637" i="1"/>
  <c r="EB637" i="1"/>
  <c r="DZ637" i="1" s="1"/>
  <c r="EM636" i="1"/>
  <c r="EH636" i="1"/>
  <c r="EG636" i="1"/>
  <c r="EF636" i="1"/>
  <c r="EE636" i="1"/>
  <c r="EC636" i="1"/>
  <c r="EA636" i="1"/>
  <c r="EB636" i="1"/>
  <c r="DZ636" i="1" s="1"/>
  <c r="EM635" i="1"/>
  <c r="EH635" i="1"/>
  <c r="EG635" i="1"/>
  <c r="EF635" i="1"/>
  <c r="EE635" i="1"/>
  <c r="EC635" i="1"/>
  <c r="EA635" i="1"/>
  <c r="EB635" i="1"/>
  <c r="DZ635" i="1" s="1"/>
  <c r="EM634" i="1"/>
  <c r="EH634" i="1"/>
  <c r="EG634" i="1"/>
  <c r="EF634" i="1"/>
  <c r="EE634" i="1"/>
  <c r="EC634" i="1"/>
  <c r="EA634" i="1"/>
  <c r="EB634" i="1"/>
  <c r="DZ634" i="1" s="1"/>
  <c r="EM633" i="1"/>
  <c r="EH633" i="1"/>
  <c r="EG633" i="1"/>
  <c r="EF633" i="1"/>
  <c r="EE633" i="1"/>
  <c r="EC633" i="1"/>
  <c r="EA633" i="1"/>
  <c r="EB633" i="1"/>
  <c r="DZ633" i="1" s="1"/>
  <c r="EM632" i="1"/>
  <c r="EH632" i="1"/>
  <c r="EG632" i="1"/>
  <c r="EF632" i="1"/>
  <c r="EE632" i="1"/>
  <c r="EC632" i="1"/>
  <c r="EA632" i="1"/>
  <c r="EB632" i="1"/>
  <c r="DZ632" i="1" s="1"/>
  <c r="EM631" i="1"/>
  <c r="EH631" i="1"/>
  <c r="EG631" i="1"/>
  <c r="EF631" i="1"/>
  <c r="EE631" i="1"/>
  <c r="EC631" i="1"/>
  <c r="EA631" i="1"/>
  <c r="EB631" i="1"/>
  <c r="DZ631" i="1" s="1"/>
  <c r="EM630" i="1"/>
  <c r="EH630" i="1"/>
  <c r="EG630" i="1"/>
  <c r="EF630" i="1"/>
  <c r="EE630" i="1"/>
  <c r="EC630" i="1"/>
  <c r="EA630" i="1"/>
  <c r="EB630" i="1"/>
  <c r="DZ630" i="1" s="1"/>
  <c r="EM629" i="1"/>
  <c r="EH629" i="1"/>
  <c r="EG629" i="1"/>
  <c r="EF629" i="1"/>
  <c r="EE629" i="1"/>
  <c r="EC629" i="1"/>
  <c r="EA629" i="1"/>
  <c r="EB629" i="1"/>
  <c r="DZ629" i="1" s="1"/>
  <c r="EM628" i="1"/>
  <c r="EH628" i="1"/>
  <c r="EG628" i="1"/>
  <c r="EF628" i="1"/>
  <c r="EE628" i="1"/>
  <c r="EC628" i="1"/>
  <c r="EA628" i="1"/>
  <c r="EB628" i="1"/>
  <c r="DZ628" i="1" s="1"/>
  <c r="EM627" i="1"/>
  <c r="EH627" i="1"/>
  <c r="EG627" i="1"/>
  <c r="EF627" i="1"/>
  <c r="EE627" i="1"/>
  <c r="EC627" i="1"/>
  <c r="EA627" i="1"/>
  <c r="EB627" i="1"/>
  <c r="DZ627" i="1" s="1"/>
  <c r="EM626" i="1"/>
  <c r="EH626" i="1"/>
  <c r="EG626" i="1"/>
  <c r="EF626" i="1"/>
  <c r="EE626" i="1"/>
  <c r="EC626" i="1"/>
  <c r="EA626" i="1"/>
  <c r="EB626" i="1"/>
  <c r="DZ626" i="1" s="1"/>
  <c r="EJ626" i="1" s="1"/>
  <c r="EM625" i="1"/>
  <c r="EH625" i="1"/>
  <c r="EG625" i="1"/>
  <c r="EF625" i="1"/>
  <c r="EE625" i="1"/>
  <c r="EC625" i="1"/>
  <c r="EA625" i="1"/>
  <c r="EB625" i="1"/>
  <c r="DZ625" i="1" s="1"/>
  <c r="EM624" i="1"/>
  <c r="EH624" i="1"/>
  <c r="EG624" i="1"/>
  <c r="EF624" i="1"/>
  <c r="EE624" i="1"/>
  <c r="EC624" i="1"/>
  <c r="EA624" i="1"/>
  <c r="EB624" i="1"/>
  <c r="DZ624" i="1" s="1"/>
  <c r="EM623" i="1"/>
  <c r="EH623" i="1"/>
  <c r="EG623" i="1"/>
  <c r="EF623" i="1"/>
  <c r="EE623" i="1"/>
  <c r="EC623" i="1"/>
  <c r="EA623" i="1"/>
  <c r="EB623" i="1"/>
  <c r="DZ623" i="1" s="1"/>
  <c r="EM622" i="1"/>
  <c r="EH622" i="1"/>
  <c r="EG622" i="1"/>
  <c r="EF622" i="1"/>
  <c r="EE622" i="1"/>
  <c r="EC622" i="1"/>
  <c r="EA622" i="1"/>
  <c r="EB622" i="1"/>
  <c r="DZ622" i="1" s="1"/>
  <c r="EM621" i="1"/>
  <c r="EH621" i="1"/>
  <c r="EG621" i="1"/>
  <c r="EF621" i="1"/>
  <c r="EE621" i="1"/>
  <c r="EC621" i="1"/>
  <c r="EA621" i="1"/>
  <c r="EB621" i="1"/>
  <c r="DZ621" i="1" s="1"/>
  <c r="EM620" i="1"/>
  <c r="EH620" i="1"/>
  <c r="EG620" i="1"/>
  <c r="EF620" i="1"/>
  <c r="EE620" i="1"/>
  <c r="EC620" i="1"/>
  <c r="EA620" i="1"/>
  <c r="EB620" i="1"/>
  <c r="DZ620" i="1" s="1"/>
  <c r="EM619" i="1"/>
  <c r="EH619" i="1"/>
  <c r="EG619" i="1"/>
  <c r="EF619" i="1"/>
  <c r="EE619" i="1"/>
  <c r="EC619" i="1"/>
  <c r="EA619" i="1"/>
  <c r="EB619" i="1"/>
  <c r="DZ619" i="1" s="1"/>
  <c r="EM618" i="1"/>
  <c r="EH618" i="1"/>
  <c r="EG618" i="1"/>
  <c r="EF618" i="1"/>
  <c r="EE618" i="1"/>
  <c r="EC618" i="1"/>
  <c r="EA618" i="1"/>
  <c r="EB618" i="1"/>
  <c r="DZ618" i="1" s="1"/>
  <c r="EM617" i="1"/>
  <c r="EH617" i="1"/>
  <c r="EG617" i="1"/>
  <c r="EF617" i="1"/>
  <c r="EE617" i="1"/>
  <c r="EC617" i="1"/>
  <c r="EA617" i="1"/>
  <c r="EB617" i="1"/>
  <c r="DZ617" i="1" s="1"/>
  <c r="EM616" i="1"/>
  <c r="EH616" i="1"/>
  <c r="EG616" i="1"/>
  <c r="EF616" i="1"/>
  <c r="EE616" i="1"/>
  <c r="EC616" i="1"/>
  <c r="EA616" i="1"/>
  <c r="EB616" i="1"/>
  <c r="DZ616" i="1" s="1"/>
  <c r="EM615" i="1"/>
  <c r="EH615" i="1"/>
  <c r="EG615" i="1"/>
  <c r="EF615" i="1"/>
  <c r="EE615" i="1"/>
  <c r="EC615" i="1"/>
  <c r="EA615" i="1"/>
  <c r="EB615" i="1"/>
  <c r="DZ615" i="1" s="1"/>
  <c r="EM614" i="1"/>
  <c r="EH614" i="1"/>
  <c r="EG614" i="1"/>
  <c r="EF614" i="1"/>
  <c r="EE614" i="1"/>
  <c r="EC614" i="1"/>
  <c r="EA614" i="1"/>
  <c r="EB614" i="1"/>
  <c r="DZ614" i="1" s="1"/>
  <c r="EM613" i="1"/>
  <c r="EH613" i="1"/>
  <c r="EG613" i="1"/>
  <c r="EF613" i="1"/>
  <c r="EE613" i="1"/>
  <c r="EC613" i="1"/>
  <c r="EA613" i="1"/>
  <c r="EB613" i="1"/>
  <c r="DZ613" i="1" s="1"/>
  <c r="EM612" i="1"/>
  <c r="EH612" i="1"/>
  <c r="EG612" i="1"/>
  <c r="EF612" i="1"/>
  <c r="EE612" i="1"/>
  <c r="EC612" i="1"/>
  <c r="EA612" i="1"/>
  <c r="EB612" i="1"/>
  <c r="DZ612" i="1" s="1"/>
  <c r="EM611" i="1"/>
  <c r="EH611" i="1"/>
  <c r="EG611" i="1"/>
  <c r="EF611" i="1"/>
  <c r="EE611" i="1"/>
  <c r="EC611" i="1"/>
  <c r="EA611" i="1"/>
  <c r="EB611" i="1"/>
  <c r="DZ611" i="1" s="1"/>
  <c r="EM610" i="1"/>
  <c r="EH610" i="1"/>
  <c r="EG610" i="1"/>
  <c r="EF610" i="1"/>
  <c r="EE610" i="1"/>
  <c r="EC610" i="1"/>
  <c r="EA610" i="1"/>
  <c r="EB610" i="1"/>
  <c r="DZ610" i="1" s="1"/>
  <c r="EM609" i="1"/>
  <c r="EH609" i="1"/>
  <c r="EG609" i="1"/>
  <c r="EF609" i="1"/>
  <c r="EE609" i="1"/>
  <c r="EC609" i="1"/>
  <c r="EA609" i="1"/>
  <c r="EB609" i="1"/>
  <c r="DZ609" i="1" s="1"/>
  <c r="EM608" i="1"/>
  <c r="EH608" i="1"/>
  <c r="EG608" i="1"/>
  <c r="EF608" i="1"/>
  <c r="EE608" i="1"/>
  <c r="EC608" i="1"/>
  <c r="EA608" i="1"/>
  <c r="EB608" i="1"/>
  <c r="DZ608" i="1" s="1"/>
  <c r="EM607" i="1"/>
  <c r="EH607" i="1"/>
  <c r="EG607" i="1"/>
  <c r="EF607" i="1"/>
  <c r="EE607" i="1"/>
  <c r="EC607" i="1"/>
  <c r="EA607" i="1"/>
  <c r="EB607" i="1"/>
  <c r="DZ607" i="1" s="1"/>
  <c r="EM606" i="1"/>
  <c r="EH606" i="1"/>
  <c r="EG606" i="1"/>
  <c r="EF606" i="1"/>
  <c r="EE606" i="1"/>
  <c r="EC606" i="1"/>
  <c r="EA606" i="1"/>
  <c r="EB606" i="1"/>
  <c r="DZ606" i="1" s="1"/>
  <c r="EM605" i="1"/>
  <c r="EH605" i="1"/>
  <c r="EG605" i="1"/>
  <c r="EF605" i="1"/>
  <c r="EE605" i="1"/>
  <c r="EC605" i="1"/>
  <c r="EA605" i="1"/>
  <c r="EB605" i="1"/>
  <c r="DZ605" i="1" s="1"/>
  <c r="EM604" i="1"/>
  <c r="EH604" i="1"/>
  <c r="EG604" i="1"/>
  <c r="EF604" i="1"/>
  <c r="EE604" i="1"/>
  <c r="EC604" i="1"/>
  <c r="EA604" i="1"/>
  <c r="EB604" i="1"/>
  <c r="DZ604" i="1" s="1"/>
  <c r="EM603" i="1"/>
  <c r="EH603" i="1"/>
  <c r="EG603" i="1"/>
  <c r="EF603" i="1"/>
  <c r="EE603" i="1"/>
  <c r="EC603" i="1"/>
  <c r="EA603" i="1"/>
  <c r="EB603" i="1"/>
  <c r="DZ603" i="1" s="1"/>
  <c r="EM602" i="1"/>
  <c r="EH602" i="1"/>
  <c r="EG602" i="1"/>
  <c r="EF602" i="1"/>
  <c r="EE602" i="1"/>
  <c r="EC602" i="1"/>
  <c r="EA602" i="1"/>
  <c r="EB602" i="1"/>
  <c r="DZ602" i="1" s="1"/>
  <c r="EM601" i="1"/>
  <c r="EH601" i="1"/>
  <c r="EG601" i="1"/>
  <c r="EF601" i="1"/>
  <c r="EE601" i="1"/>
  <c r="EC601" i="1"/>
  <c r="EA601" i="1"/>
  <c r="EB601" i="1"/>
  <c r="DZ601" i="1" s="1"/>
  <c r="EM600" i="1"/>
  <c r="EH600" i="1"/>
  <c r="EG600" i="1"/>
  <c r="EF600" i="1"/>
  <c r="EE600" i="1"/>
  <c r="EC600" i="1"/>
  <c r="EA600" i="1"/>
  <c r="EB600" i="1"/>
  <c r="DZ600" i="1" s="1"/>
  <c r="EM599" i="1"/>
  <c r="EH599" i="1"/>
  <c r="EG599" i="1"/>
  <c r="EF599" i="1"/>
  <c r="EE599" i="1"/>
  <c r="EC599" i="1"/>
  <c r="EA599" i="1"/>
  <c r="EB599" i="1"/>
  <c r="DZ599" i="1" s="1"/>
  <c r="EM598" i="1"/>
  <c r="EH598" i="1"/>
  <c r="EG598" i="1"/>
  <c r="EF598" i="1"/>
  <c r="EE598" i="1"/>
  <c r="EC598" i="1"/>
  <c r="EA598" i="1"/>
  <c r="EB598" i="1"/>
  <c r="DZ598" i="1" s="1"/>
  <c r="EM597" i="1"/>
  <c r="EH597" i="1"/>
  <c r="EG597" i="1"/>
  <c r="EF597" i="1"/>
  <c r="EE597" i="1"/>
  <c r="EC597" i="1"/>
  <c r="EA597" i="1"/>
  <c r="EB597" i="1"/>
  <c r="DZ597" i="1" s="1"/>
  <c r="EM596" i="1"/>
  <c r="EH596" i="1"/>
  <c r="EG596" i="1"/>
  <c r="EF596" i="1"/>
  <c r="EE596" i="1"/>
  <c r="EC596" i="1"/>
  <c r="EA596" i="1"/>
  <c r="EB596" i="1"/>
  <c r="DZ596" i="1" s="1"/>
  <c r="EM595" i="1"/>
  <c r="EH595" i="1"/>
  <c r="EG595" i="1"/>
  <c r="EF595" i="1"/>
  <c r="EE595" i="1"/>
  <c r="EC595" i="1"/>
  <c r="EA595" i="1"/>
  <c r="EB595" i="1"/>
  <c r="DZ595" i="1" s="1"/>
  <c r="EM594" i="1"/>
  <c r="EH594" i="1"/>
  <c r="EG594" i="1"/>
  <c r="EF594" i="1"/>
  <c r="EE594" i="1"/>
  <c r="EC594" i="1"/>
  <c r="EA594" i="1"/>
  <c r="EB594" i="1"/>
  <c r="DZ594" i="1" s="1"/>
  <c r="EM593" i="1"/>
  <c r="EH593" i="1"/>
  <c r="EG593" i="1"/>
  <c r="EF593" i="1"/>
  <c r="EE593" i="1"/>
  <c r="EC593" i="1"/>
  <c r="EA593" i="1"/>
  <c r="EB593" i="1"/>
  <c r="DZ593" i="1" s="1"/>
  <c r="EM592" i="1"/>
  <c r="EH592" i="1"/>
  <c r="EG592" i="1"/>
  <c r="EF592" i="1"/>
  <c r="EE592" i="1"/>
  <c r="EC592" i="1"/>
  <c r="EA592" i="1"/>
  <c r="EB592" i="1"/>
  <c r="DZ592" i="1" s="1"/>
  <c r="EM591" i="1"/>
  <c r="EH591" i="1"/>
  <c r="EG591" i="1"/>
  <c r="EF591" i="1"/>
  <c r="EE591" i="1"/>
  <c r="EC591" i="1"/>
  <c r="EA591" i="1"/>
  <c r="EB591" i="1"/>
  <c r="DZ591" i="1" s="1"/>
  <c r="EM590" i="1"/>
  <c r="EH590" i="1"/>
  <c r="EG590" i="1"/>
  <c r="EF590" i="1"/>
  <c r="EE590" i="1"/>
  <c r="EC590" i="1"/>
  <c r="EA590" i="1"/>
  <c r="EB590" i="1"/>
  <c r="DZ590" i="1" s="1"/>
  <c r="EM589" i="1"/>
  <c r="EH589" i="1"/>
  <c r="EG589" i="1"/>
  <c r="EF589" i="1"/>
  <c r="EE589" i="1"/>
  <c r="EC589" i="1"/>
  <c r="EA589" i="1"/>
  <c r="EB589" i="1"/>
  <c r="DZ589" i="1" s="1"/>
  <c r="EM588" i="1"/>
  <c r="EH588" i="1"/>
  <c r="EG588" i="1"/>
  <c r="EF588" i="1"/>
  <c r="EE588" i="1"/>
  <c r="EC588" i="1"/>
  <c r="EA588" i="1"/>
  <c r="EB588" i="1"/>
  <c r="DZ588" i="1" s="1"/>
  <c r="EM587" i="1"/>
  <c r="EH587" i="1"/>
  <c r="EG587" i="1"/>
  <c r="EF587" i="1"/>
  <c r="EE587" i="1"/>
  <c r="EC587" i="1"/>
  <c r="EA587" i="1"/>
  <c r="EB587" i="1"/>
  <c r="DZ587" i="1" s="1"/>
  <c r="EM586" i="1"/>
  <c r="EH586" i="1"/>
  <c r="EG586" i="1"/>
  <c r="EF586" i="1"/>
  <c r="EE586" i="1"/>
  <c r="EC586" i="1"/>
  <c r="EA586" i="1"/>
  <c r="EB586" i="1"/>
  <c r="DZ586" i="1" s="1"/>
  <c r="EM585" i="1"/>
  <c r="EH585" i="1"/>
  <c r="EG585" i="1"/>
  <c r="EF585" i="1"/>
  <c r="EE585" i="1"/>
  <c r="EC585" i="1"/>
  <c r="EA585" i="1"/>
  <c r="EB585" i="1"/>
  <c r="DZ585" i="1" s="1"/>
  <c r="EM584" i="1"/>
  <c r="EH584" i="1"/>
  <c r="EG584" i="1"/>
  <c r="EF584" i="1"/>
  <c r="EE584" i="1"/>
  <c r="EC584" i="1"/>
  <c r="EA584" i="1"/>
  <c r="EB584" i="1"/>
  <c r="DZ584" i="1" s="1"/>
  <c r="EM583" i="1"/>
  <c r="EH583" i="1"/>
  <c r="EG583" i="1"/>
  <c r="EF583" i="1"/>
  <c r="EE583" i="1"/>
  <c r="EC583" i="1"/>
  <c r="EA583" i="1"/>
  <c r="EB583" i="1"/>
  <c r="DZ583" i="1" s="1"/>
  <c r="EM582" i="1"/>
  <c r="EH582" i="1"/>
  <c r="EG582" i="1"/>
  <c r="EF582" i="1"/>
  <c r="EE582" i="1"/>
  <c r="EC582" i="1"/>
  <c r="EA582" i="1"/>
  <c r="EB582" i="1"/>
  <c r="DZ582" i="1" s="1"/>
  <c r="EM581" i="1"/>
  <c r="EH581" i="1"/>
  <c r="EG581" i="1"/>
  <c r="EF581" i="1"/>
  <c r="EE581" i="1"/>
  <c r="EC581" i="1"/>
  <c r="EA581" i="1"/>
  <c r="EB581" i="1"/>
  <c r="DZ581" i="1" s="1"/>
  <c r="EM580" i="1"/>
  <c r="EH580" i="1"/>
  <c r="EG580" i="1"/>
  <c r="EF580" i="1"/>
  <c r="EE580" i="1"/>
  <c r="EC580" i="1"/>
  <c r="EA580" i="1"/>
  <c r="EB580" i="1"/>
  <c r="DZ580" i="1" s="1"/>
  <c r="EJ580" i="1" s="1"/>
  <c r="EM579" i="1"/>
  <c r="EH579" i="1"/>
  <c r="EG579" i="1"/>
  <c r="EF579" i="1"/>
  <c r="EE579" i="1"/>
  <c r="EC579" i="1"/>
  <c r="EA579" i="1"/>
  <c r="EB579" i="1"/>
  <c r="DZ579" i="1" s="1"/>
  <c r="EM578" i="1"/>
  <c r="EH578" i="1"/>
  <c r="EG578" i="1"/>
  <c r="EF578" i="1"/>
  <c r="EE578" i="1"/>
  <c r="EC578" i="1"/>
  <c r="EA578" i="1"/>
  <c r="EB578" i="1"/>
  <c r="DZ578" i="1" s="1"/>
  <c r="EM577" i="1"/>
  <c r="EH577" i="1"/>
  <c r="EG577" i="1"/>
  <c r="EF577" i="1"/>
  <c r="EE577" i="1"/>
  <c r="EC577" i="1"/>
  <c r="EA577" i="1"/>
  <c r="EB577" i="1"/>
  <c r="DZ577" i="1" s="1"/>
  <c r="EM576" i="1"/>
  <c r="EH576" i="1"/>
  <c r="EG576" i="1"/>
  <c r="EF576" i="1"/>
  <c r="EE576" i="1"/>
  <c r="EC576" i="1"/>
  <c r="EA576" i="1"/>
  <c r="EB576" i="1"/>
  <c r="DZ576" i="1" s="1"/>
  <c r="EM575" i="1"/>
  <c r="EH575" i="1"/>
  <c r="EG575" i="1"/>
  <c r="EF575" i="1"/>
  <c r="EE575" i="1"/>
  <c r="EC575" i="1"/>
  <c r="EA575" i="1"/>
  <c r="EB575" i="1"/>
  <c r="DZ575" i="1" s="1"/>
  <c r="EM574" i="1"/>
  <c r="EH574" i="1"/>
  <c r="EG574" i="1"/>
  <c r="EF574" i="1"/>
  <c r="EE574" i="1"/>
  <c r="EC574" i="1"/>
  <c r="EA574" i="1"/>
  <c r="EB574" i="1"/>
  <c r="DZ574" i="1" s="1"/>
  <c r="EM573" i="1"/>
  <c r="EH573" i="1"/>
  <c r="EG573" i="1"/>
  <c r="EF573" i="1"/>
  <c r="EE573" i="1"/>
  <c r="EC573" i="1"/>
  <c r="EA573" i="1"/>
  <c r="EB573" i="1"/>
  <c r="DZ573" i="1" s="1"/>
  <c r="EM572" i="1"/>
  <c r="EH572" i="1"/>
  <c r="EG572" i="1"/>
  <c r="EF572" i="1"/>
  <c r="EE572" i="1"/>
  <c r="EC572" i="1"/>
  <c r="EA572" i="1"/>
  <c r="EB572" i="1"/>
  <c r="DZ572" i="1" s="1"/>
  <c r="EM571" i="1"/>
  <c r="EH571" i="1"/>
  <c r="EG571" i="1"/>
  <c r="EF571" i="1"/>
  <c r="EE571" i="1"/>
  <c r="EC571" i="1"/>
  <c r="EA571" i="1"/>
  <c r="EB571" i="1"/>
  <c r="DZ571" i="1" s="1"/>
  <c r="EM570" i="1"/>
  <c r="EH570" i="1"/>
  <c r="EG570" i="1"/>
  <c r="EF570" i="1"/>
  <c r="EE570" i="1"/>
  <c r="EC570" i="1"/>
  <c r="EA570" i="1"/>
  <c r="EB570" i="1"/>
  <c r="DZ570" i="1" s="1"/>
  <c r="EM569" i="1"/>
  <c r="EH569" i="1"/>
  <c r="EG569" i="1"/>
  <c r="EF569" i="1"/>
  <c r="EE569" i="1"/>
  <c r="EC569" i="1"/>
  <c r="EA569" i="1"/>
  <c r="EB569" i="1"/>
  <c r="DZ569" i="1" s="1"/>
  <c r="EJ569" i="1" s="1"/>
  <c r="EM568" i="1"/>
  <c r="EH568" i="1"/>
  <c r="EG568" i="1"/>
  <c r="EF568" i="1"/>
  <c r="EE568" i="1"/>
  <c r="EC568" i="1"/>
  <c r="EA568" i="1"/>
  <c r="EB568" i="1"/>
  <c r="DZ568" i="1" s="1"/>
  <c r="EJ568" i="1" s="1"/>
  <c r="EM567" i="1"/>
  <c r="EH567" i="1"/>
  <c r="EG567" i="1"/>
  <c r="EF567" i="1"/>
  <c r="EE567" i="1"/>
  <c r="EC567" i="1"/>
  <c r="EA567" i="1"/>
  <c r="EB567" i="1"/>
  <c r="DZ567" i="1" s="1"/>
  <c r="EM566" i="1"/>
  <c r="EH566" i="1"/>
  <c r="EG566" i="1"/>
  <c r="EF566" i="1"/>
  <c r="EE566" i="1"/>
  <c r="EC566" i="1"/>
  <c r="EA566" i="1"/>
  <c r="EB566" i="1"/>
  <c r="DZ566" i="1" s="1"/>
  <c r="EM565" i="1"/>
  <c r="EH565" i="1"/>
  <c r="EG565" i="1"/>
  <c r="EF565" i="1"/>
  <c r="EE565" i="1"/>
  <c r="EC565" i="1"/>
  <c r="EA565" i="1"/>
  <c r="EB565" i="1"/>
  <c r="DZ565" i="1" s="1"/>
  <c r="EJ565" i="1" s="1"/>
  <c r="EM564" i="1"/>
  <c r="EH564" i="1"/>
  <c r="EG564" i="1"/>
  <c r="EF564" i="1"/>
  <c r="EE564" i="1"/>
  <c r="EC564" i="1"/>
  <c r="EA564" i="1"/>
  <c r="EB564" i="1"/>
  <c r="DZ564" i="1" s="1"/>
  <c r="EJ564" i="1" s="1"/>
  <c r="EM563" i="1"/>
  <c r="EH563" i="1"/>
  <c r="EG563" i="1"/>
  <c r="EF563" i="1"/>
  <c r="EE563" i="1"/>
  <c r="EC563" i="1"/>
  <c r="EA563" i="1"/>
  <c r="EB563" i="1"/>
  <c r="DZ563" i="1" s="1"/>
  <c r="EJ563" i="1" s="1"/>
  <c r="EM562" i="1"/>
  <c r="EH562" i="1"/>
  <c r="EG562" i="1"/>
  <c r="EF562" i="1"/>
  <c r="EE562" i="1"/>
  <c r="EC562" i="1"/>
  <c r="EA562" i="1"/>
  <c r="EB562" i="1"/>
  <c r="DZ562" i="1" s="1"/>
  <c r="EM561" i="1"/>
  <c r="EH561" i="1"/>
  <c r="EG561" i="1"/>
  <c r="EF561" i="1"/>
  <c r="EE561" i="1"/>
  <c r="EC561" i="1"/>
  <c r="EA561" i="1"/>
  <c r="EB561" i="1"/>
  <c r="DZ561" i="1" s="1"/>
  <c r="EJ561" i="1" s="1"/>
  <c r="EM560" i="1"/>
  <c r="EH560" i="1"/>
  <c r="EG560" i="1"/>
  <c r="EF560" i="1"/>
  <c r="EE560" i="1"/>
  <c r="EC560" i="1"/>
  <c r="EA560" i="1"/>
  <c r="EB560" i="1"/>
  <c r="DZ560" i="1" s="1"/>
  <c r="EM559" i="1"/>
  <c r="EH559" i="1"/>
  <c r="EG559" i="1"/>
  <c r="EF559" i="1"/>
  <c r="EE559" i="1"/>
  <c r="EC559" i="1"/>
  <c r="EA559" i="1"/>
  <c r="EB559" i="1"/>
  <c r="DZ559" i="1" s="1"/>
  <c r="EM558" i="1"/>
  <c r="EH558" i="1"/>
  <c r="EG558" i="1"/>
  <c r="EF558" i="1"/>
  <c r="EE558" i="1"/>
  <c r="EC558" i="1"/>
  <c r="EA558" i="1"/>
  <c r="EB558" i="1"/>
  <c r="DZ558" i="1" s="1"/>
  <c r="EM557" i="1"/>
  <c r="EH557" i="1"/>
  <c r="EG557" i="1"/>
  <c r="EF557" i="1"/>
  <c r="EE557" i="1"/>
  <c r="EC557" i="1"/>
  <c r="EA557" i="1"/>
  <c r="EB557" i="1"/>
  <c r="DZ557" i="1" s="1"/>
  <c r="EM556" i="1"/>
  <c r="EH556" i="1"/>
  <c r="EG556" i="1"/>
  <c r="EF556" i="1"/>
  <c r="EE556" i="1"/>
  <c r="EC556" i="1"/>
  <c r="EA556" i="1"/>
  <c r="EB556" i="1"/>
  <c r="DZ556" i="1" s="1"/>
  <c r="EM555" i="1"/>
  <c r="EH555" i="1"/>
  <c r="EG555" i="1"/>
  <c r="EF555" i="1"/>
  <c r="EE555" i="1"/>
  <c r="EC555" i="1"/>
  <c r="EA555" i="1"/>
  <c r="EB555" i="1"/>
  <c r="DZ555" i="1" s="1"/>
  <c r="EM554" i="1"/>
  <c r="EH554" i="1"/>
  <c r="EG554" i="1"/>
  <c r="EF554" i="1"/>
  <c r="EE554" i="1"/>
  <c r="EC554" i="1"/>
  <c r="EA554" i="1"/>
  <c r="EB554" i="1"/>
  <c r="DZ554" i="1" s="1"/>
  <c r="EM553" i="1"/>
  <c r="EH553" i="1"/>
  <c r="EG553" i="1"/>
  <c r="EF553" i="1"/>
  <c r="EE553" i="1"/>
  <c r="EC553" i="1"/>
  <c r="EA553" i="1"/>
  <c r="EB553" i="1"/>
  <c r="DZ553" i="1" s="1"/>
  <c r="EM552" i="1"/>
  <c r="EH552" i="1"/>
  <c r="EG552" i="1"/>
  <c r="EF552" i="1"/>
  <c r="EE552" i="1"/>
  <c r="EC552" i="1"/>
  <c r="EA552" i="1"/>
  <c r="EB552" i="1"/>
  <c r="DZ552" i="1" s="1"/>
  <c r="EM551" i="1"/>
  <c r="EH551" i="1"/>
  <c r="EG551" i="1"/>
  <c r="EF551" i="1"/>
  <c r="EE551" i="1"/>
  <c r="EC551" i="1"/>
  <c r="EA551" i="1"/>
  <c r="EB551" i="1"/>
  <c r="DZ551" i="1" s="1"/>
  <c r="EM550" i="1"/>
  <c r="EH550" i="1"/>
  <c r="EG550" i="1"/>
  <c r="EF550" i="1"/>
  <c r="EE550" i="1"/>
  <c r="EC550" i="1"/>
  <c r="EA550" i="1"/>
  <c r="EB550" i="1"/>
  <c r="DZ550" i="1" s="1"/>
  <c r="EM549" i="1"/>
  <c r="EH549" i="1"/>
  <c r="EG549" i="1"/>
  <c r="EF549" i="1"/>
  <c r="EE549" i="1"/>
  <c r="EC549" i="1"/>
  <c r="EA549" i="1"/>
  <c r="EB549" i="1"/>
  <c r="DZ549" i="1" s="1"/>
  <c r="EM548" i="1"/>
  <c r="EH548" i="1"/>
  <c r="EG548" i="1"/>
  <c r="EF548" i="1"/>
  <c r="EE548" i="1"/>
  <c r="EC548" i="1"/>
  <c r="EA548" i="1"/>
  <c r="EB548" i="1"/>
  <c r="DZ548" i="1" s="1"/>
  <c r="EM547" i="1"/>
  <c r="EH547" i="1"/>
  <c r="EG547" i="1"/>
  <c r="EF547" i="1"/>
  <c r="EE547" i="1"/>
  <c r="EC547" i="1"/>
  <c r="EA547" i="1"/>
  <c r="EB547" i="1"/>
  <c r="DZ547" i="1" s="1"/>
  <c r="EM546" i="1"/>
  <c r="EH546" i="1"/>
  <c r="EG546" i="1"/>
  <c r="EF546" i="1"/>
  <c r="EE546" i="1"/>
  <c r="EC546" i="1"/>
  <c r="EA546" i="1"/>
  <c r="EB546" i="1"/>
  <c r="DZ546" i="1" s="1"/>
  <c r="EJ546" i="1" s="1"/>
  <c r="EM545" i="1"/>
  <c r="EH545" i="1"/>
  <c r="EG545" i="1"/>
  <c r="EF545" i="1"/>
  <c r="EE545" i="1"/>
  <c r="EC545" i="1"/>
  <c r="EA545" i="1"/>
  <c r="EB545" i="1"/>
  <c r="DZ545" i="1" s="1"/>
  <c r="EJ545" i="1" s="1"/>
  <c r="EM544" i="1"/>
  <c r="EH544" i="1"/>
  <c r="EG544" i="1"/>
  <c r="EF544" i="1"/>
  <c r="EE544" i="1"/>
  <c r="EC544" i="1"/>
  <c r="EA544" i="1"/>
  <c r="EB544" i="1"/>
  <c r="DZ544" i="1" s="1"/>
  <c r="EM543" i="1"/>
  <c r="EH543" i="1"/>
  <c r="EG543" i="1"/>
  <c r="EF543" i="1"/>
  <c r="EE543" i="1"/>
  <c r="EC543" i="1"/>
  <c r="EA543" i="1"/>
  <c r="EB543" i="1"/>
  <c r="DZ543" i="1" s="1"/>
  <c r="EM542" i="1"/>
  <c r="EH542" i="1"/>
  <c r="EG542" i="1"/>
  <c r="EF542" i="1"/>
  <c r="EE542" i="1"/>
  <c r="EC542" i="1"/>
  <c r="EA542" i="1"/>
  <c r="EB542" i="1"/>
  <c r="DZ542" i="1" s="1"/>
  <c r="EJ542" i="1" s="1"/>
  <c r="EM541" i="1"/>
  <c r="EH541" i="1"/>
  <c r="EG541" i="1"/>
  <c r="EF541" i="1"/>
  <c r="EE541" i="1"/>
  <c r="EC541" i="1"/>
  <c r="EA541" i="1"/>
  <c r="EB541" i="1"/>
  <c r="DZ541" i="1" s="1"/>
  <c r="EM540" i="1"/>
  <c r="EH540" i="1"/>
  <c r="EG540" i="1"/>
  <c r="EF540" i="1"/>
  <c r="EE540" i="1"/>
  <c r="EC540" i="1"/>
  <c r="EA540" i="1"/>
  <c r="EB540" i="1"/>
  <c r="DZ540" i="1" s="1"/>
  <c r="EM539" i="1"/>
  <c r="EH539" i="1"/>
  <c r="EG539" i="1"/>
  <c r="EF539" i="1"/>
  <c r="EE539" i="1"/>
  <c r="EC539" i="1"/>
  <c r="EA539" i="1"/>
  <c r="EB539" i="1"/>
  <c r="DZ539" i="1" s="1"/>
  <c r="EJ539" i="1" s="1"/>
  <c r="EM538" i="1"/>
  <c r="EH538" i="1"/>
  <c r="EG538" i="1"/>
  <c r="EF538" i="1"/>
  <c r="EE538" i="1"/>
  <c r="EC538" i="1"/>
  <c r="EA538" i="1"/>
  <c r="EB538" i="1"/>
  <c r="DZ538" i="1" s="1"/>
  <c r="EM537" i="1"/>
  <c r="EH537" i="1"/>
  <c r="EG537" i="1"/>
  <c r="EF537" i="1"/>
  <c r="EE537" i="1"/>
  <c r="EC537" i="1"/>
  <c r="EA537" i="1"/>
  <c r="EB537" i="1"/>
  <c r="DZ537" i="1" s="1"/>
  <c r="EM536" i="1"/>
  <c r="EH536" i="1"/>
  <c r="EG536" i="1"/>
  <c r="EF536" i="1"/>
  <c r="EE536" i="1"/>
  <c r="EC536" i="1"/>
  <c r="EA536" i="1"/>
  <c r="EB536" i="1"/>
  <c r="DZ536" i="1" s="1"/>
  <c r="EM535" i="1"/>
  <c r="EH535" i="1"/>
  <c r="EG535" i="1"/>
  <c r="EF535" i="1"/>
  <c r="EE535" i="1"/>
  <c r="EC535" i="1"/>
  <c r="EA535" i="1"/>
  <c r="EB535" i="1"/>
  <c r="DZ535" i="1" s="1"/>
  <c r="EJ535" i="1" s="1"/>
  <c r="EM534" i="1"/>
  <c r="EH534" i="1"/>
  <c r="EG534" i="1"/>
  <c r="EF534" i="1"/>
  <c r="EE534" i="1"/>
  <c r="EC534" i="1"/>
  <c r="EA534" i="1"/>
  <c r="EB534" i="1"/>
  <c r="DZ534" i="1" s="1"/>
  <c r="EJ534" i="1" s="1"/>
  <c r="EM533" i="1"/>
  <c r="EH533" i="1"/>
  <c r="EG533" i="1"/>
  <c r="EF533" i="1"/>
  <c r="EE533" i="1"/>
  <c r="EC533" i="1"/>
  <c r="EA533" i="1"/>
  <c r="EB533" i="1"/>
  <c r="DZ533" i="1" s="1"/>
  <c r="EJ533" i="1" s="1"/>
  <c r="EM532" i="1"/>
  <c r="EH532" i="1"/>
  <c r="EG532" i="1"/>
  <c r="EF532" i="1"/>
  <c r="EE532" i="1"/>
  <c r="EC532" i="1"/>
  <c r="EA532" i="1"/>
  <c r="EB532" i="1"/>
  <c r="DZ532" i="1" s="1"/>
  <c r="EM531" i="1"/>
  <c r="EH531" i="1"/>
  <c r="EG531" i="1"/>
  <c r="EF531" i="1"/>
  <c r="EE531" i="1"/>
  <c r="EC531" i="1"/>
  <c r="EA531" i="1"/>
  <c r="EB531" i="1"/>
  <c r="DZ531" i="1" s="1"/>
  <c r="EM530" i="1"/>
  <c r="EH530" i="1"/>
  <c r="EG530" i="1"/>
  <c r="EF530" i="1"/>
  <c r="EE530" i="1"/>
  <c r="EC530" i="1"/>
  <c r="EA530" i="1"/>
  <c r="EB530" i="1"/>
  <c r="DZ530" i="1" s="1"/>
  <c r="EM529" i="1"/>
  <c r="EH529" i="1"/>
  <c r="EG529" i="1"/>
  <c r="EF529" i="1"/>
  <c r="EE529" i="1"/>
  <c r="EC529" i="1"/>
  <c r="EA529" i="1"/>
  <c r="EB529" i="1"/>
  <c r="DZ529" i="1" s="1"/>
  <c r="EM528" i="1"/>
  <c r="EH528" i="1"/>
  <c r="EG528" i="1"/>
  <c r="EF528" i="1"/>
  <c r="EE528" i="1"/>
  <c r="EC528" i="1"/>
  <c r="EA528" i="1"/>
  <c r="EB528" i="1"/>
  <c r="DZ528" i="1" s="1"/>
  <c r="EM527" i="1"/>
  <c r="EH527" i="1"/>
  <c r="EG527" i="1"/>
  <c r="EF527" i="1"/>
  <c r="EE527" i="1"/>
  <c r="EC527" i="1"/>
  <c r="EA527" i="1"/>
  <c r="EB527" i="1"/>
  <c r="DZ527" i="1" s="1"/>
  <c r="EM526" i="1"/>
  <c r="EH526" i="1"/>
  <c r="EG526" i="1"/>
  <c r="EF526" i="1"/>
  <c r="EE526" i="1"/>
  <c r="EC526" i="1"/>
  <c r="EA526" i="1"/>
  <c r="EB526" i="1"/>
  <c r="DZ526" i="1" s="1"/>
  <c r="EM525" i="1"/>
  <c r="EH525" i="1"/>
  <c r="EG525" i="1"/>
  <c r="EF525" i="1"/>
  <c r="EE525" i="1"/>
  <c r="EC525" i="1"/>
  <c r="EA525" i="1"/>
  <c r="EB525" i="1"/>
  <c r="DZ525" i="1" s="1"/>
  <c r="EJ525" i="1" s="1"/>
  <c r="EM524" i="1"/>
  <c r="EH524" i="1"/>
  <c r="EG524" i="1"/>
  <c r="EK524" i="1" s="1"/>
  <c r="EL524" i="1" s="1"/>
  <c r="ED524" i="1" s="1"/>
  <c r="EF524" i="1"/>
  <c r="EE524" i="1"/>
  <c r="EC524" i="1"/>
  <c r="EA524" i="1"/>
  <c r="EB524" i="1"/>
  <c r="DZ524" i="1" s="1"/>
  <c r="EM523" i="1"/>
  <c r="EH523" i="1"/>
  <c r="EG523" i="1"/>
  <c r="EF523" i="1"/>
  <c r="EE523" i="1"/>
  <c r="EC523" i="1"/>
  <c r="EA523" i="1"/>
  <c r="EB523" i="1"/>
  <c r="DZ523" i="1" s="1"/>
  <c r="EJ523" i="1" s="1"/>
  <c r="EM522" i="1"/>
  <c r="EH522" i="1"/>
  <c r="EG522" i="1"/>
  <c r="EF522" i="1"/>
  <c r="EE522" i="1"/>
  <c r="EC522" i="1"/>
  <c r="EA522" i="1"/>
  <c r="EB522" i="1"/>
  <c r="DZ522" i="1" s="1"/>
  <c r="EM521" i="1"/>
  <c r="EH521" i="1"/>
  <c r="EG521" i="1"/>
  <c r="EF521" i="1"/>
  <c r="EE521" i="1"/>
  <c r="EC521" i="1"/>
  <c r="EA521" i="1"/>
  <c r="EB521" i="1"/>
  <c r="DZ521" i="1" s="1"/>
  <c r="EM520" i="1"/>
  <c r="EH520" i="1"/>
  <c r="EG520" i="1"/>
  <c r="EF520" i="1"/>
  <c r="EE520" i="1"/>
  <c r="EC520" i="1"/>
  <c r="EA520" i="1"/>
  <c r="EB520" i="1"/>
  <c r="DZ520" i="1" s="1"/>
  <c r="EJ520" i="1" s="1"/>
  <c r="EM519" i="1"/>
  <c r="EH519" i="1"/>
  <c r="EG519" i="1"/>
  <c r="EF519" i="1"/>
  <c r="EE519" i="1"/>
  <c r="EC519" i="1"/>
  <c r="EA519" i="1"/>
  <c r="EB519" i="1"/>
  <c r="DZ519" i="1" s="1"/>
  <c r="EM518" i="1"/>
  <c r="EH518" i="1"/>
  <c r="EG518" i="1"/>
  <c r="EF518" i="1"/>
  <c r="EE518" i="1"/>
  <c r="EC518" i="1"/>
  <c r="EA518" i="1"/>
  <c r="EB518" i="1"/>
  <c r="DZ518" i="1" s="1"/>
  <c r="EJ518" i="1" s="1"/>
  <c r="EM517" i="1"/>
  <c r="EH517" i="1"/>
  <c r="EG517" i="1"/>
  <c r="EK517" i="1" s="1"/>
  <c r="EL517" i="1" s="1"/>
  <c r="ED517" i="1" s="1"/>
  <c r="EF517" i="1"/>
  <c r="EE517" i="1"/>
  <c r="EC517" i="1"/>
  <c r="EA517" i="1"/>
  <c r="EB517" i="1"/>
  <c r="DZ517" i="1" s="1"/>
  <c r="EM516" i="1"/>
  <c r="EH516" i="1"/>
  <c r="EG516" i="1"/>
  <c r="EF516" i="1"/>
  <c r="EE516" i="1"/>
  <c r="EC516" i="1"/>
  <c r="EA516" i="1"/>
  <c r="EB516" i="1"/>
  <c r="DZ516" i="1" s="1"/>
  <c r="EM515" i="1"/>
  <c r="EH515" i="1"/>
  <c r="EG515" i="1"/>
  <c r="EK515" i="1" s="1"/>
  <c r="EL515" i="1" s="1"/>
  <c r="ED515" i="1" s="1"/>
  <c r="EF515" i="1"/>
  <c r="EE515" i="1"/>
  <c r="EC515" i="1"/>
  <c r="EA515" i="1"/>
  <c r="EB515" i="1"/>
  <c r="DZ515" i="1" s="1"/>
  <c r="EM514" i="1"/>
  <c r="EH514" i="1"/>
  <c r="EG514" i="1"/>
  <c r="EF514" i="1"/>
  <c r="EE514" i="1"/>
  <c r="EC514" i="1"/>
  <c r="EA514" i="1"/>
  <c r="EB514" i="1"/>
  <c r="DZ514" i="1" s="1"/>
  <c r="EM513" i="1"/>
  <c r="EH513" i="1"/>
  <c r="EG513" i="1"/>
  <c r="EF513" i="1"/>
  <c r="EE513" i="1"/>
  <c r="EC513" i="1"/>
  <c r="EA513" i="1"/>
  <c r="EB513" i="1"/>
  <c r="DZ513" i="1" s="1"/>
  <c r="EM512" i="1"/>
  <c r="EH512" i="1"/>
  <c r="EG512" i="1"/>
  <c r="EF512" i="1"/>
  <c r="EE512" i="1"/>
  <c r="EC512" i="1"/>
  <c r="EA512" i="1"/>
  <c r="EB512" i="1"/>
  <c r="DZ512" i="1" s="1"/>
  <c r="EM511" i="1"/>
  <c r="EH511" i="1"/>
  <c r="EG511" i="1"/>
  <c r="EF511" i="1"/>
  <c r="EE511" i="1"/>
  <c r="EC511" i="1"/>
  <c r="EA511" i="1"/>
  <c r="EB511" i="1"/>
  <c r="DZ511" i="1" s="1"/>
  <c r="EJ511" i="1" s="1"/>
  <c r="EM510" i="1"/>
  <c r="EH510" i="1"/>
  <c r="EG510" i="1"/>
  <c r="EF510" i="1"/>
  <c r="EE510" i="1"/>
  <c r="EC510" i="1"/>
  <c r="EA510" i="1"/>
  <c r="EB510" i="1"/>
  <c r="DZ510" i="1" s="1"/>
  <c r="EM509" i="1"/>
  <c r="EH509" i="1"/>
  <c r="EG509" i="1"/>
  <c r="EF509" i="1"/>
  <c r="EE509" i="1"/>
  <c r="EC509" i="1"/>
  <c r="EA509" i="1"/>
  <c r="EB509" i="1"/>
  <c r="DZ509" i="1" s="1"/>
  <c r="EJ509" i="1" s="1"/>
  <c r="EM508" i="1"/>
  <c r="EH508" i="1"/>
  <c r="EG508" i="1"/>
  <c r="EF508" i="1"/>
  <c r="EE508" i="1"/>
  <c r="EC508" i="1"/>
  <c r="EA508" i="1"/>
  <c r="EB508" i="1"/>
  <c r="DZ508" i="1" s="1"/>
  <c r="EM507" i="1"/>
  <c r="EH507" i="1"/>
  <c r="EG507" i="1"/>
  <c r="EF507" i="1"/>
  <c r="EE507" i="1"/>
  <c r="EC507" i="1"/>
  <c r="EA507" i="1"/>
  <c r="EB507" i="1"/>
  <c r="DZ507" i="1" s="1"/>
  <c r="EJ507" i="1" s="1"/>
  <c r="EM506" i="1"/>
  <c r="EH506" i="1"/>
  <c r="EG506" i="1"/>
  <c r="EF506" i="1"/>
  <c r="EE506" i="1"/>
  <c r="EC506" i="1"/>
  <c r="EA506" i="1"/>
  <c r="EB506" i="1"/>
  <c r="DZ506" i="1" s="1"/>
  <c r="EM505" i="1"/>
  <c r="EH505" i="1"/>
  <c r="EG505" i="1"/>
  <c r="EF505" i="1"/>
  <c r="EE505" i="1"/>
  <c r="EC505" i="1"/>
  <c r="EA505" i="1"/>
  <c r="EB505" i="1"/>
  <c r="DZ505" i="1" s="1"/>
  <c r="EM504" i="1"/>
  <c r="EH504" i="1"/>
  <c r="EG504" i="1"/>
  <c r="EF504" i="1"/>
  <c r="EE504" i="1"/>
  <c r="EC504" i="1"/>
  <c r="EA504" i="1"/>
  <c r="EB504" i="1"/>
  <c r="DZ504" i="1" s="1"/>
  <c r="EM503" i="1"/>
  <c r="EH503" i="1"/>
  <c r="EG503" i="1"/>
  <c r="EF503" i="1"/>
  <c r="EE503" i="1"/>
  <c r="EC503" i="1"/>
  <c r="EA503" i="1"/>
  <c r="EB503" i="1"/>
  <c r="DZ503" i="1" s="1"/>
  <c r="EJ503" i="1" s="1"/>
  <c r="EM502" i="1"/>
  <c r="EH502" i="1"/>
  <c r="EG502" i="1"/>
  <c r="EF502" i="1"/>
  <c r="EE502" i="1"/>
  <c r="EC502" i="1"/>
  <c r="EA502" i="1"/>
  <c r="EB502" i="1"/>
  <c r="DZ502" i="1" s="1"/>
  <c r="EJ502" i="1" s="1"/>
  <c r="EM501" i="1"/>
  <c r="EH501" i="1"/>
  <c r="EG501" i="1"/>
  <c r="EF501" i="1"/>
  <c r="EE501" i="1"/>
  <c r="EC501" i="1"/>
  <c r="EA501" i="1"/>
  <c r="EB501" i="1"/>
  <c r="DZ501" i="1" s="1"/>
  <c r="EJ501" i="1" s="1"/>
  <c r="EM500" i="1"/>
  <c r="EH500" i="1"/>
  <c r="EG500" i="1"/>
  <c r="EF500" i="1"/>
  <c r="EE500" i="1"/>
  <c r="EC500" i="1"/>
  <c r="EA500" i="1"/>
  <c r="EB500" i="1"/>
  <c r="DZ500" i="1" s="1"/>
  <c r="EM499" i="1"/>
  <c r="EH499" i="1"/>
  <c r="EG499" i="1"/>
  <c r="EF499" i="1"/>
  <c r="EE499" i="1"/>
  <c r="EC499" i="1"/>
  <c r="EA499" i="1"/>
  <c r="EB499" i="1"/>
  <c r="DZ499" i="1" s="1"/>
  <c r="EJ499" i="1" s="1"/>
  <c r="EM498" i="1"/>
  <c r="EH498" i="1"/>
  <c r="EG498" i="1"/>
  <c r="EF498" i="1"/>
  <c r="EE498" i="1"/>
  <c r="EC498" i="1"/>
  <c r="EA498" i="1"/>
  <c r="EB498" i="1"/>
  <c r="DZ498" i="1" s="1"/>
  <c r="EM497" i="1"/>
  <c r="EH497" i="1"/>
  <c r="EG497" i="1"/>
  <c r="EK497" i="1" s="1"/>
  <c r="EL497" i="1" s="1"/>
  <c r="ED497" i="1" s="1"/>
  <c r="EF497" i="1"/>
  <c r="EE497" i="1"/>
  <c r="EC497" i="1"/>
  <c r="EA497" i="1"/>
  <c r="EB497" i="1"/>
  <c r="DZ497" i="1" s="1"/>
  <c r="EJ497" i="1" s="1"/>
  <c r="EM496" i="1"/>
  <c r="EH496" i="1"/>
  <c r="EG496" i="1"/>
  <c r="EF496" i="1"/>
  <c r="EE496" i="1"/>
  <c r="EC496" i="1"/>
  <c r="EA496" i="1"/>
  <c r="EB496" i="1"/>
  <c r="DZ496" i="1" s="1"/>
  <c r="EM495" i="1"/>
  <c r="EH495" i="1"/>
  <c r="EG495" i="1"/>
  <c r="EF495" i="1"/>
  <c r="EE495" i="1"/>
  <c r="EC495" i="1"/>
  <c r="EA495" i="1"/>
  <c r="EB495" i="1"/>
  <c r="DZ495" i="1" s="1"/>
  <c r="EM494" i="1"/>
  <c r="EH494" i="1"/>
  <c r="EG494" i="1"/>
  <c r="EF494" i="1"/>
  <c r="EE494" i="1"/>
  <c r="EC494" i="1"/>
  <c r="EA494" i="1"/>
  <c r="EB494" i="1"/>
  <c r="DZ494" i="1" s="1"/>
  <c r="EJ494" i="1" s="1"/>
  <c r="EM493" i="1"/>
  <c r="EH493" i="1"/>
  <c r="EG493" i="1"/>
  <c r="EF493" i="1"/>
  <c r="EE493" i="1"/>
  <c r="EC493" i="1"/>
  <c r="EA493" i="1"/>
  <c r="EB493" i="1"/>
  <c r="DZ493" i="1" s="1"/>
  <c r="EM492" i="1"/>
  <c r="EH492" i="1"/>
  <c r="EG492" i="1"/>
  <c r="EF492" i="1"/>
  <c r="EE492" i="1"/>
  <c r="EC492" i="1"/>
  <c r="EA492" i="1"/>
  <c r="EB492" i="1"/>
  <c r="DZ492" i="1" s="1"/>
  <c r="EM491" i="1"/>
  <c r="EH491" i="1"/>
  <c r="EG491" i="1"/>
  <c r="EF491" i="1"/>
  <c r="EE491" i="1"/>
  <c r="EC491" i="1"/>
  <c r="EA491" i="1"/>
  <c r="EB491" i="1"/>
  <c r="DZ491" i="1" s="1"/>
  <c r="EM490" i="1"/>
  <c r="EH490" i="1"/>
  <c r="EG490" i="1"/>
  <c r="EF490" i="1"/>
  <c r="EE490" i="1"/>
  <c r="EC490" i="1"/>
  <c r="EA490" i="1"/>
  <c r="EB490" i="1"/>
  <c r="DZ490" i="1" s="1"/>
  <c r="EM489" i="1"/>
  <c r="EH489" i="1"/>
  <c r="EG489" i="1"/>
  <c r="EF489" i="1"/>
  <c r="EE489" i="1"/>
  <c r="EC489" i="1"/>
  <c r="EA489" i="1"/>
  <c r="EB489" i="1"/>
  <c r="DZ489" i="1" s="1"/>
  <c r="EM488" i="1"/>
  <c r="EH488" i="1"/>
  <c r="EG488" i="1"/>
  <c r="EF488" i="1"/>
  <c r="EE488" i="1"/>
  <c r="EC488" i="1"/>
  <c r="EA488" i="1"/>
  <c r="EB488" i="1"/>
  <c r="DZ488" i="1" s="1"/>
  <c r="EM487" i="1"/>
  <c r="EH487" i="1"/>
  <c r="EG487" i="1"/>
  <c r="EF487" i="1"/>
  <c r="EE487" i="1"/>
  <c r="EC487" i="1"/>
  <c r="EA487" i="1"/>
  <c r="EB487" i="1"/>
  <c r="DZ487" i="1" s="1"/>
  <c r="EJ487" i="1" s="1"/>
  <c r="EM486" i="1"/>
  <c r="EH486" i="1"/>
  <c r="EG486" i="1"/>
  <c r="EF486" i="1"/>
  <c r="EE486" i="1"/>
  <c r="EC486" i="1"/>
  <c r="EA486" i="1"/>
  <c r="EB486" i="1"/>
  <c r="DZ486" i="1" s="1"/>
  <c r="EM485" i="1"/>
  <c r="EH485" i="1"/>
  <c r="EG485" i="1"/>
  <c r="EF485" i="1"/>
  <c r="EE485" i="1"/>
  <c r="EC485" i="1"/>
  <c r="EA485" i="1"/>
  <c r="EB485" i="1"/>
  <c r="DZ485" i="1" s="1"/>
  <c r="EM484" i="1"/>
  <c r="EH484" i="1"/>
  <c r="EG484" i="1"/>
  <c r="EF484" i="1"/>
  <c r="EE484" i="1"/>
  <c r="EC484" i="1"/>
  <c r="EA484" i="1"/>
  <c r="EB484" i="1"/>
  <c r="DZ484" i="1" s="1"/>
  <c r="EJ484" i="1" s="1"/>
  <c r="EM483" i="1"/>
  <c r="EH483" i="1"/>
  <c r="EG483" i="1"/>
  <c r="EF483" i="1"/>
  <c r="EE483" i="1"/>
  <c r="EC483" i="1"/>
  <c r="EA483" i="1"/>
  <c r="EB483" i="1"/>
  <c r="DZ483" i="1" s="1"/>
  <c r="EJ483" i="1" s="1"/>
  <c r="EM482" i="1"/>
  <c r="EH482" i="1"/>
  <c r="EG482" i="1"/>
  <c r="EF482" i="1"/>
  <c r="EE482" i="1"/>
  <c r="EC482" i="1"/>
  <c r="EA482" i="1"/>
  <c r="EB482" i="1"/>
  <c r="DZ482" i="1" s="1"/>
  <c r="EM481" i="1"/>
  <c r="EH481" i="1"/>
  <c r="EG481" i="1"/>
  <c r="EF481" i="1"/>
  <c r="EE481" i="1"/>
  <c r="EC481" i="1"/>
  <c r="EA481" i="1"/>
  <c r="EB481" i="1"/>
  <c r="DZ481" i="1" s="1"/>
  <c r="EM480" i="1"/>
  <c r="EH480" i="1"/>
  <c r="EG480" i="1"/>
  <c r="EF480" i="1"/>
  <c r="EE480" i="1"/>
  <c r="EC480" i="1"/>
  <c r="EA480" i="1"/>
  <c r="EB480" i="1"/>
  <c r="DZ480" i="1" s="1"/>
  <c r="EM479" i="1"/>
  <c r="EH479" i="1"/>
  <c r="EG479" i="1"/>
  <c r="EF479" i="1"/>
  <c r="EE479" i="1"/>
  <c r="EC479" i="1"/>
  <c r="EA479" i="1"/>
  <c r="EB479" i="1"/>
  <c r="DZ479" i="1" s="1"/>
  <c r="EM478" i="1"/>
  <c r="EH478" i="1"/>
  <c r="EG478" i="1"/>
  <c r="EF478" i="1"/>
  <c r="EE478" i="1"/>
  <c r="EC478" i="1"/>
  <c r="EA478" i="1"/>
  <c r="EB478" i="1"/>
  <c r="DZ478" i="1" s="1"/>
  <c r="EJ478" i="1" s="1"/>
  <c r="EM477" i="1"/>
  <c r="EH477" i="1"/>
  <c r="EG477" i="1"/>
  <c r="EF477" i="1"/>
  <c r="EE477" i="1"/>
  <c r="EC477" i="1"/>
  <c r="EA477" i="1"/>
  <c r="EB477" i="1"/>
  <c r="DZ477" i="1" s="1"/>
  <c r="EM476" i="1"/>
  <c r="EH476" i="1"/>
  <c r="EG476" i="1"/>
  <c r="EF476" i="1"/>
  <c r="EE476" i="1"/>
  <c r="EC476" i="1"/>
  <c r="EA476" i="1"/>
  <c r="EB476" i="1"/>
  <c r="DZ476" i="1" s="1"/>
  <c r="EM475" i="1"/>
  <c r="EH475" i="1"/>
  <c r="EG475" i="1"/>
  <c r="EF475" i="1"/>
  <c r="EE475" i="1"/>
  <c r="EC475" i="1"/>
  <c r="EA475" i="1"/>
  <c r="EB475" i="1"/>
  <c r="DZ475" i="1" s="1"/>
  <c r="EM474" i="1"/>
  <c r="EH474" i="1"/>
  <c r="EG474" i="1"/>
  <c r="EF474" i="1"/>
  <c r="EE474" i="1"/>
  <c r="EC474" i="1"/>
  <c r="EA474" i="1"/>
  <c r="EB474" i="1"/>
  <c r="DZ474" i="1" s="1"/>
  <c r="EM473" i="1"/>
  <c r="EH473" i="1"/>
  <c r="EG473" i="1"/>
  <c r="EF473" i="1"/>
  <c r="EE473" i="1"/>
  <c r="EC473" i="1"/>
  <c r="EA473" i="1"/>
  <c r="EB473" i="1"/>
  <c r="DZ473" i="1" s="1"/>
  <c r="EJ473" i="1" s="1"/>
  <c r="EM472" i="1"/>
  <c r="EH472" i="1"/>
  <c r="EG472" i="1"/>
  <c r="EF472" i="1"/>
  <c r="EE472" i="1"/>
  <c r="EC472" i="1"/>
  <c r="EA472" i="1"/>
  <c r="EB472" i="1"/>
  <c r="DZ472" i="1" s="1"/>
  <c r="EM471" i="1"/>
  <c r="EH471" i="1"/>
  <c r="EG471" i="1"/>
  <c r="EF471" i="1"/>
  <c r="EE471" i="1"/>
  <c r="EC471" i="1"/>
  <c r="EA471" i="1"/>
  <c r="EB471" i="1"/>
  <c r="DZ471" i="1" s="1"/>
  <c r="EK472" i="1" l="1"/>
  <c r="EL472" i="1" s="1"/>
  <c r="ED472" i="1" s="1"/>
  <c r="EK489" i="1"/>
  <c r="EL489" i="1" s="1"/>
  <c r="ED489" i="1" s="1"/>
  <c r="EK525" i="1"/>
  <c r="EL525" i="1" s="1"/>
  <c r="ED525" i="1" s="1"/>
  <c r="EK528" i="1"/>
  <c r="EL528" i="1" s="1"/>
  <c r="ED528" i="1" s="1"/>
  <c r="EK498" i="1"/>
  <c r="EL498" i="1" s="1"/>
  <c r="ED498" i="1" s="1"/>
  <c r="EK499" i="1"/>
  <c r="EL499" i="1" s="1"/>
  <c r="ED499" i="1" s="1"/>
  <c r="EK500" i="1"/>
  <c r="EL500" i="1" s="1"/>
  <c r="ED500" i="1" s="1"/>
  <c r="EK501" i="1"/>
  <c r="EL501" i="1" s="1"/>
  <c r="ED501" i="1" s="1"/>
  <c r="EK502" i="1"/>
  <c r="EL502" i="1" s="1"/>
  <c r="ED502" i="1" s="1"/>
  <c r="EK503" i="1"/>
  <c r="EL503" i="1" s="1"/>
  <c r="ED503" i="1" s="1"/>
  <c r="EK504" i="1"/>
  <c r="EL504" i="1" s="1"/>
  <c r="ED504" i="1" s="1"/>
  <c r="EK505" i="1"/>
  <c r="EL505" i="1" s="1"/>
  <c r="ED505" i="1" s="1"/>
  <c r="EK506" i="1"/>
  <c r="EL506" i="1" s="1"/>
  <c r="ED506" i="1" s="1"/>
  <c r="EK507" i="1"/>
  <c r="EL507" i="1" s="1"/>
  <c r="ED507" i="1" s="1"/>
  <c r="EK508" i="1"/>
  <c r="EL508" i="1" s="1"/>
  <c r="ED508" i="1" s="1"/>
  <c r="EK509" i="1"/>
  <c r="EL509" i="1" s="1"/>
  <c r="ED509" i="1" s="1"/>
  <c r="EK510" i="1"/>
  <c r="EL510" i="1" s="1"/>
  <c r="ED510" i="1" s="1"/>
  <c r="EK511" i="1"/>
  <c r="EL511" i="1" s="1"/>
  <c r="ED511" i="1" s="1"/>
  <c r="EK512" i="1"/>
  <c r="EL512" i="1" s="1"/>
  <c r="ED512" i="1" s="1"/>
  <c r="EK513" i="1"/>
  <c r="EL513" i="1" s="1"/>
  <c r="ED513" i="1" s="1"/>
  <c r="EK514" i="1"/>
  <c r="EL514" i="1" s="1"/>
  <c r="ED514" i="1" s="1"/>
  <c r="EK530" i="1"/>
  <c r="EL530" i="1" s="1"/>
  <c r="ED530" i="1" s="1"/>
  <c r="EK531" i="1"/>
  <c r="EL531" i="1" s="1"/>
  <c r="ED531" i="1" s="1"/>
  <c r="EK532" i="1"/>
  <c r="EL532" i="1" s="1"/>
  <c r="ED532" i="1" s="1"/>
  <c r="EK533" i="1"/>
  <c r="EL533" i="1" s="1"/>
  <c r="ED533" i="1" s="1"/>
  <c r="EK534" i="1"/>
  <c r="EL534" i="1" s="1"/>
  <c r="ED534" i="1" s="1"/>
  <c r="EK535" i="1"/>
  <c r="EL535" i="1" s="1"/>
  <c r="ED535" i="1" s="1"/>
  <c r="EK536" i="1"/>
  <c r="EL536" i="1" s="1"/>
  <c r="ED536" i="1" s="1"/>
  <c r="EK537" i="1"/>
  <c r="EL537" i="1" s="1"/>
  <c r="ED537" i="1" s="1"/>
  <c r="EK538" i="1"/>
  <c r="EL538" i="1" s="1"/>
  <c r="ED538" i="1" s="1"/>
  <c r="EK539" i="1"/>
  <c r="EL539" i="1" s="1"/>
  <c r="ED539" i="1" s="1"/>
  <c r="EK540" i="1"/>
  <c r="EL540" i="1" s="1"/>
  <c r="ED540" i="1" s="1"/>
  <c r="EK541" i="1"/>
  <c r="EL541" i="1" s="1"/>
  <c r="ED541" i="1" s="1"/>
  <c r="EK542" i="1"/>
  <c r="EL542" i="1" s="1"/>
  <c r="ED542" i="1" s="1"/>
  <c r="EK543" i="1"/>
  <c r="EL543" i="1" s="1"/>
  <c r="ED543" i="1" s="1"/>
  <c r="EK544" i="1"/>
  <c r="EL544" i="1" s="1"/>
  <c r="ED544" i="1" s="1"/>
  <c r="EK545" i="1"/>
  <c r="EL545" i="1" s="1"/>
  <c r="ED545" i="1" s="1"/>
  <c r="EK546" i="1"/>
  <c r="EL546" i="1" s="1"/>
  <c r="ED546" i="1" s="1"/>
  <c r="EK547" i="1"/>
  <c r="EL547" i="1" s="1"/>
  <c r="ED547" i="1" s="1"/>
  <c r="EK548" i="1"/>
  <c r="EL548" i="1" s="1"/>
  <c r="ED548" i="1" s="1"/>
  <c r="EK549" i="1"/>
  <c r="EL549" i="1" s="1"/>
  <c r="ED549" i="1" s="1"/>
  <c r="EK550" i="1"/>
  <c r="EL550" i="1" s="1"/>
  <c r="ED550" i="1" s="1"/>
  <c r="EK551" i="1"/>
  <c r="EL551" i="1" s="1"/>
  <c r="ED551" i="1" s="1"/>
  <c r="EK552" i="1"/>
  <c r="EL552" i="1" s="1"/>
  <c r="ED552" i="1" s="1"/>
  <c r="EK553" i="1"/>
  <c r="EL553" i="1" s="1"/>
  <c r="ED553" i="1" s="1"/>
  <c r="EK554" i="1"/>
  <c r="EL554" i="1" s="1"/>
  <c r="ED554" i="1" s="1"/>
  <c r="EK555" i="1"/>
  <c r="EL555" i="1" s="1"/>
  <c r="ED555" i="1" s="1"/>
  <c r="EK556" i="1"/>
  <c r="EL556" i="1" s="1"/>
  <c r="ED556" i="1" s="1"/>
  <c r="EK557" i="1"/>
  <c r="EL557" i="1" s="1"/>
  <c r="ED557" i="1" s="1"/>
  <c r="EK558" i="1"/>
  <c r="EL558" i="1" s="1"/>
  <c r="ED558" i="1" s="1"/>
  <c r="EK559" i="1"/>
  <c r="EL559" i="1" s="1"/>
  <c r="ED559" i="1" s="1"/>
  <c r="EK560" i="1"/>
  <c r="EL560" i="1" s="1"/>
  <c r="ED560" i="1" s="1"/>
  <c r="EK561" i="1"/>
  <c r="EL561" i="1" s="1"/>
  <c r="ED561" i="1" s="1"/>
  <c r="EK562" i="1"/>
  <c r="EL562" i="1" s="1"/>
  <c r="ED562" i="1" s="1"/>
  <c r="EK563" i="1"/>
  <c r="EL563" i="1" s="1"/>
  <c r="ED563" i="1" s="1"/>
  <c r="EK564" i="1"/>
  <c r="EL564" i="1" s="1"/>
  <c r="ED564" i="1" s="1"/>
  <c r="EK565" i="1"/>
  <c r="EL565" i="1" s="1"/>
  <c r="ED565" i="1" s="1"/>
  <c r="EK566" i="1"/>
  <c r="EL566" i="1" s="1"/>
  <c r="ED566" i="1" s="1"/>
  <c r="EK682" i="1"/>
  <c r="EL682" i="1" s="1"/>
  <c r="ED682" i="1" s="1"/>
  <c r="EK683" i="1"/>
  <c r="EL683" i="1" s="1"/>
  <c r="ED683" i="1" s="1"/>
  <c r="EK684" i="1"/>
  <c r="EL684" i="1" s="1"/>
  <c r="ED684" i="1" s="1"/>
  <c r="EK685" i="1"/>
  <c r="EL685" i="1" s="1"/>
  <c r="ED685" i="1" s="1"/>
  <c r="EK686" i="1"/>
  <c r="EL686" i="1" s="1"/>
  <c r="ED686" i="1" s="1"/>
  <c r="EK687" i="1"/>
  <c r="EL687" i="1" s="1"/>
  <c r="ED687" i="1" s="1"/>
  <c r="EK688" i="1"/>
  <c r="EL688" i="1" s="1"/>
  <c r="ED688" i="1" s="1"/>
  <c r="EK689" i="1"/>
  <c r="EL689" i="1" s="1"/>
  <c r="ED689" i="1" s="1"/>
  <c r="EK690" i="1"/>
  <c r="EL690" i="1" s="1"/>
  <c r="ED690" i="1" s="1"/>
  <c r="EK691" i="1"/>
  <c r="EL691" i="1" s="1"/>
  <c r="ED691" i="1" s="1"/>
  <c r="EK692" i="1"/>
  <c r="EL692" i="1" s="1"/>
  <c r="ED692" i="1" s="1"/>
  <c r="EK693" i="1"/>
  <c r="EL693" i="1" s="1"/>
  <c r="ED693" i="1" s="1"/>
  <c r="EK694" i="1"/>
  <c r="EL694" i="1" s="1"/>
  <c r="ED694" i="1" s="1"/>
  <c r="EK695" i="1"/>
  <c r="EL695" i="1" s="1"/>
  <c r="ED695" i="1" s="1"/>
  <c r="EK696" i="1"/>
  <c r="EL696" i="1" s="1"/>
  <c r="ED696" i="1" s="1"/>
  <c r="EK697" i="1"/>
  <c r="EL697" i="1" s="1"/>
  <c r="ED697" i="1" s="1"/>
  <c r="EK698" i="1"/>
  <c r="EL698" i="1" s="1"/>
  <c r="ED698" i="1" s="1"/>
  <c r="EK699" i="1"/>
  <c r="EL699" i="1" s="1"/>
  <c r="ED699" i="1" s="1"/>
  <c r="EK700" i="1"/>
  <c r="EL700" i="1" s="1"/>
  <c r="ED700" i="1" s="1"/>
  <c r="EK701" i="1"/>
  <c r="EL701" i="1" s="1"/>
  <c r="ED701" i="1" s="1"/>
  <c r="EK702" i="1"/>
  <c r="EL702" i="1" s="1"/>
  <c r="ED702" i="1" s="1"/>
  <c r="EK703" i="1"/>
  <c r="EL703" i="1" s="1"/>
  <c r="ED703" i="1" s="1"/>
  <c r="EK704" i="1"/>
  <c r="EL704" i="1" s="1"/>
  <c r="ED704" i="1" s="1"/>
  <c r="EK705" i="1"/>
  <c r="EL705" i="1" s="1"/>
  <c r="ED705" i="1" s="1"/>
  <c r="EK706" i="1"/>
  <c r="EL706" i="1" s="1"/>
  <c r="ED706" i="1" s="1"/>
  <c r="EK707" i="1"/>
  <c r="EL707" i="1" s="1"/>
  <c r="ED707" i="1" s="1"/>
  <c r="EK708" i="1"/>
  <c r="EL708" i="1" s="1"/>
  <c r="ED708" i="1" s="1"/>
  <c r="EK709" i="1"/>
  <c r="EL709" i="1" s="1"/>
  <c r="ED709" i="1" s="1"/>
  <c r="EK710" i="1"/>
  <c r="EL710" i="1" s="1"/>
  <c r="ED710" i="1" s="1"/>
  <c r="EK711" i="1"/>
  <c r="EL711" i="1" s="1"/>
  <c r="ED711" i="1" s="1"/>
  <c r="EK712" i="1"/>
  <c r="EL712" i="1" s="1"/>
  <c r="ED712" i="1" s="1"/>
  <c r="EK713" i="1"/>
  <c r="EL713" i="1" s="1"/>
  <c r="ED713" i="1" s="1"/>
  <c r="EK714" i="1"/>
  <c r="EL714" i="1" s="1"/>
  <c r="ED714" i="1" s="1"/>
  <c r="EK715" i="1"/>
  <c r="EL715" i="1" s="1"/>
  <c r="ED715" i="1" s="1"/>
  <c r="EK716" i="1"/>
  <c r="EL716" i="1" s="1"/>
  <c r="ED716" i="1" s="1"/>
  <c r="EK717" i="1"/>
  <c r="EL717" i="1" s="1"/>
  <c r="ED717" i="1" s="1"/>
  <c r="EK718" i="1"/>
  <c r="EL718" i="1" s="1"/>
  <c r="ED718" i="1" s="1"/>
  <c r="EK719" i="1"/>
  <c r="EL719" i="1" s="1"/>
  <c r="ED719" i="1" s="1"/>
  <c r="EK720" i="1"/>
  <c r="EL720" i="1" s="1"/>
  <c r="ED720" i="1" s="1"/>
  <c r="EK721" i="1"/>
  <c r="EL721" i="1" s="1"/>
  <c r="ED721" i="1" s="1"/>
  <c r="EK722" i="1"/>
  <c r="EL722" i="1" s="1"/>
  <c r="ED722" i="1" s="1"/>
  <c r="EK723" i="1"/>
  <c r="EL723" i="1" s="1"/>
  <c r="ED723" i="1" s="1"/>
  <c r="EK724" i="1"/>
  <c r="EL724" i="1" s="1"/>
  <c r="ED724" i="1" s="1"/>
  <c r="EK725" i="1"/>
  <c r="EL725" i="1" s="1"/>
  <c r="ED725" i="1" s="1"/>
  <c r="EK726" i="1"/>
  <c r="EL726" i="1" s="1"/>
  <c r="ED726" i="1" s="1"/>
  <c r="EK727" i="1"/>
  <c r="EL727" i="1" s="1"/>
  <c r="ED727" i="1" s="1"/>
  <c r="EK728" i="1"/>
  <c r="EL728" i="1" s="1"/>
  <c r="ED728" i="1" s="1"/>
  <c r="EK729" i="1"/>
  <c r="EL729" i="1" s="1"/>
  <c r="ED729" i="1" s="1"/>
  <c r="EK730" i="1"/>
  <c r="EL730" i="1" s="1"/>
  <c r="ED730" i="1" s="1"/>
  <c r="EK731" i="1"/>
  <c r="EL731" i="1" s="1"/>
  <c r="ED731" i="1" s="1"/>
  <c r="EK732" i="1"/>
  <c r="EL732" i="1" s="1"/>
  <c r="ED732" i="1" s="1"/>
  <c r="EK733" i="1"/>
  <c r="EL733" i="1" s="1"/>
  <c r="ED733" i="1" s="1"/>
  <c r="EK734" i="1"/>
  <c r="EL734" i="1" s="1"/>
  <c r="ED734" i="1" s="1"/>
  <c r="EK735" i="1"/>
  <c r="EL735" i="1" s="1"/>
  <c r="ED735" i="1" s="1"/>
  <c r="EK736" i="1"/>
  <c r="EL736" i="1" s="1"/>
  <c r="ED736" i="1" s="1"/>
  <c r="EK737" i="1"/>
  <c r="EL737" i="1" s="1"/>
  <c r="ED737" i="1" s="1"/>
  <c r="EK738" i="1"/>
  <c r="EL738" i="1" s="1"/>
  <c r="ED738" i="1" s="1"/>
  <c r="EK739" i="1"/>
  <c r="EL739" i="1" s="1"/>
  <c r="ED739" i="1" s="1"/>
  <c r="EK740" i="1"/>
  <c r="EL740" i="1" s="1"/>
  <c r="ED740" i="1" s="1"/>
  <c r="EK741" i="1"/>
  <c r="EL741" i="1" s="1"/>
  <c r="ED741" i="1" s="1"/>
  <c r="EK742" i="1"/>
  <c r="EL742" i="1" s="1"/>
  <c r="ED742" i="1" s="1"/>
  <c r="EK743" i="1"/>
  <c r="EL743" i="1" s="1"/>
  <c r="ED743" i="1" s="1"/>
  <c r="EK744" i="1"/>
  <c r="EL744" i="1" s="1"/>
  <c r="ED744" i="1" s="1"/>
  <c r="EK745" i="1"/>
  <c r="EL745" i="1" s="1"/>
  <c r="ED745" i="1" s="1"/>
  <c r="EK746" i="1"/>
  <c r="EL746" i="1" s="1"/>
  <c r="ED746" i="1" s="1"/>
  <c r="EK747" i="1"/>
  <c r="EL747" i="1" s="1"/>
  <c r="ED747" i="1" s="1"/>
  <c r="EK748" i="1"/>
  <c r="EL748" i="1" s="1"/>
  <c r="ED748" i="1" s="1"/>
  <c r="EK749" i="1"/>
  <c r="EL749" i="1" s="1"/>
  <c r="ED749" i="1" s="1"/>
  <c r="EK750" i="1"/>
  <c r="EL750" i="1" s="1"/>
  <c r="ED750" i="1" s="1"/>
  <c r="EK751" i="1"/>
  <c r="EL751" i="1" s="1"/>
  <c r="ED751" i="1" s="1"/>
  <c r="EK752" i="1"/>
  <c r="EL752" i="1" s="1"/>
  <c r="ED752" i="1" s="1"/>
  <c r="EK753" i="1"/>
  <c r="EL753" i="1" s="1"/>
  <c r="ED753" i="1" s="1"/>
  <c r="EK754" i="1"/>
  <c r="EL754" i="1" s="1"/>
  <c r="ED754" i="1" s="1"/>
  <c r="EK755" i="1"/>
  <c r="EL755" i="1" s="1"/>
  <c r="ED755" i="1" s="1"/>
  <c r="EK756" i="1"/>
  <c r="EL756" i="1" s="1"/>
  <c r="ED756" i="1" s="1"/>
  <c r="EK757" i="1"/>
  <c r="EL757" i="1" s="1"/>
  <c r="ED757" i="1" s="1"/>
  <c r="EK758" i="1"/>
  <c r="EL758" i="1" s="1"/>
  <c r="ED758" i="1" s="1"/>
  <c r="EK1105" i="1"/>
  <c r="EL1105" i="1" s="1"/>
  <c r="ED1105" i="1" s="1"/>
  <c r="EK759" i="1"/>
  <c r="EL759" i="1" s="1"/>
  <c r="ED759" i="1" s="1"/>
  <c r="EK760" i="1"/>
  <c r="EL760" i="1" s="1"/>
  <c r="ED760" i="1" s="1"/>
  <c r="EK761" i="1"/>
  <c r="EL761" i="1" s="1"/>
  <c r="ED761" i="1" s="1"/>
  <c r="EK762" i="1"/>
  <c r="EL762" i="1" s="1"/>
  <c r="ED762" i="1" s="1"/>
  <c r="EK763" i="1"/>
  <c r="EL763" i="1" s="1"/>
  <c r="ED763" i="1" s="1"/>
  <c r="EK764" i="1"/>
  <c r="EL764" i="1" s="1"/>
  <c r="ED764" i="1" s="1"/>
  <c r="EK765" i="1"/>
  <c r="EL765" i="1" s="1"/>
  <c r="ED765" i="1" s="1"/>
  <c r="EK766" i="1"/>
  <c r="EL766" i="1" s="1"/>
  <c r="ED766" i="1" s="1"/>
  <c r="EK767" i="1"/>
  <c r="EL767" i="1" s="1"/>
  <c r="ED767" i="1" s="1"/>
  <c r="EK768" i="1"/>
  <c r="EL768" i="1" s="1"/>
  <c r="ED768" i="1" s="1"/>
  <c r="EK769" i="1"/>
  <c r="EL769" i="1" s="1"/>
  <c r="ED769" i="1" s="1"/>
  <c r="EK770" i="1"/>
  <c r="EL770" i="1" s="1"/>
  <c r="ED770" i="1" s="1"/>
  <c r="EK771" i="1"/>
  <c r="EL771" i="1" s="1"/>
  <c r="ED771" i="1" s="1"/>
  <c r="EK772" i="1"/>
  <c r="EL772" i="1" s="1"/>
  <c r="ED772" i="1" s="1"/>
  <c r="EK773" i="1"/>
  <c r="EL773" i="1" s="1"/>
  <c r="ED773" i="1" s="1"/>
  <c r="EK774" i="1"/>
  <c r="EL774" i="1" s="1"/>
  <c r="ED774" i="1" s="1"/>
  <c r="EK775" i="1"/>
  <c r="EL775" i="1" s="1"/>
  <c r="ED775" i="1" s="1"/>
  <c r="EK803" i="1"/>
  <c r="EL803" i="1" s="1"/>
  <c r="ED803" i="1" s="1"/>
  <c r="EK804" i="1"/>
  <c r="EL804" i="1" s="1"/>
  <c r="ED804" i="1" s="1"/>
  <c r="EK805" i="1"/>
  <c r="EL805" i="1" s="1"/>
  <c r="ED805" i="1" s="1"/>
  <c r="EK806" i="1"/>
  <c r="EL806" i="1" s="1"/>
  <c r="ED806" i="1" s="1"/>
  <c r="EK817" i="1"/>
  <c r="EL817" i="1" s="1"/>
  <c r="ED817" i="1" s="1"/>
  <c r="EK818" i="1"/>
  <c r="EL818" i="1" s="1"/>
  <c r="ED818" i="1" s="1"/>
  <c r="EK819" i="1"/>
  <c r="EL819" i="1" s="1"/>
  <c r="ED819" i="1" s="1"/>
  <c r="EK820" i="1"/>
  <c r="EL820" i="1" s="1"/>
  <c r="ED820" i="1" s="1"/>
  <c r="EK821" i="1"/>
  <c r="EL821" i="1" s="1"/>
  <c r="ED821" i="1" s="1"/>
  <c r="EK822" i="1"/>
  <c r="EL822" i="1" s="1"/>
  <c r="ED822" i="1" s="1"/>
  <c r="EK823" i="1"/>
  <c r="EL823" i="1" s="1"/>
  <c r="ED823" i="1" s="1"/>
  <c r="EK824" i="1"/>
  <c r="EL824" i="1" s="1"/>
  <c r="ED824" i="1" s="1"/>
  <c r="EK825" i="1"/>
  <c r="EL825" i="1" s="1"/>
  <c r="ED825" i="1" s="1"/>
  <c r="EK826" i="1"/>
  <c r="EL826" i="1" s="1"/>
  <c r="ED826" i="1" s="1"/>
  <c r="EK827" i="1"/>
  <c r="EL827" i="1" s="1"/>
  <c r="ED827" i="1" s="1"/>
  <c r="EK828" i="1"/>
  <c r="EL828" i="1" s="1"/>
  <c r="ED828" i="1" s="1"/>
  <c r="EK829" i="1"/>
  <c r="EL829" i="1" s="1"/>
  <c r="ED829" i="1" s="1"/>
  <c r="EK830" i="1"/>
  <c r="EL830" i="1" s="1"/>
  <c r="ED830" i="1" s="1"/>
  <c r="EK831" i="1"/>
  <c r="EL831" i="1" s="1"/>
  <c r="ED831" i="1" s="1"/>
  <c r="EK832" i="1"/>
  <c r="EL832" i="1" s="1"/>
  <c r="ED832" i="1" s="1"/>
  <c r="EK833" i="1"/>
  <c r="EL833" i="1" s="1"/>
  <c r="ED833" i="1" s="1"/>
  <c r="EK834" i="1"/>
  <c r="EL834" i="1" s="1"/>
  <c r="ED834" i="1" s="1"/>
  <c r="EK835" i="1"/>
  <c r="EL835" i="1" s="1"/>
  <c r="ED835" i="1" s="1"/>
  <c r="EK836" i="1"/>
  <c r="EL836" i="1" s="1"/>
  <c r="ED836" i="1" s="1"/>
  <c r="EK837" i="1"/>
  <c r="EL837" i="1" s="1"/>
  <c r="ED837" i="1" s="1"/>
  <c r="EK838" i="1"/>
  <c r="EL838" i="1" s="1"/>
  <c r="ED838" i="1" s="1"/>
  <c r="EK839" i="1"/>
  <c r="EL839" i="1" s="1"/>
  <c r="ED839" i="1" s="1"/>
  <c r="EK840" i="1"/>
  <c r="EL840" i="1" s="1"/>
  <c r="ED840" i="1" s="1"/>
  <c r="EK841" i="1"/>
  <c r="EL841" i="1" s="1"/>
  <c r="ED841" i="1" s="1"/>
  <c r="EK842" i="1"/>
  <c r="EL842" i="1" s="1"/>
  <c r="ED842" i="1" s="1"/>
  <c r="EK843" i="1"/>
  <c r="EL843" i="1" s="1"/>
  <c r="ED843" i="1" s="1"/>
  <c r="EK844" i="1"/>
  <c r="EL844" i="1" s="1"/>
  <c r="ED844" i="1" s="1"/>
  <c r="EK845" i="1"/>
  <c r="EL845" i="1" s="1"/>
  <c r="ED845" i="1" s="1"/>
  <c r="EK846" i="1"/>
  <c r="EL846" i="1" s="1"/>
  <c r="ED846" i="1" s="1"/>
  <c r="EK847" i="1"/>
  <c r="EL847" i="1" s="1"/>
  <c r="ED847" i="1" s="1"/>
  <c r="EK848" i="1"/>
  <c r="EL848" i="1" s="1"/>
  <c r="ED848" i="1" s="1"/>
  <c r="EK849" i="1"/>
  <c r="EL849" i="1" s="1"/>
  <c r="ED849" i="1" s="1"/>
  <c r="EK850" i="1"/>
  <c r="EL850" i="1" s="1"/>
  <c r="ED850" i="1" s="1"/>
  <c r="EK851" i="1"/>
  <c r="EL851" i="1" s="1"/>
  <c r="ED851" i="1" s="1"/>
  <c r="EK852" i="1"/>
  <c r="EL852" i="1" s="1"/>
  <c r="ED852" i="1" s="1"/>
  <c r="EK853" i="1"/>
  <c r="EL853" i="1" s="1"/>
  <c r="ED853" i="1" s="1"/>
  <c r="EK854" i="1"/>
  <c r="EL854" i="1" s="1"/>
  <c r="ED854" i="1" s="1"/>
  <c r="EK855" i="1"/>
  <c r="EL855" i="1" s="1"/>
  <c r="ED855" i="1" s="1"/>
  <c r="EK953" i="1"/>
  <c r="EL953" i="1" s="1"/>
  <c r="ED953" i="1" s="1"/>
  <c r="EK954" i="1"/>
  <c r="EL954" i="1" s="1"/>
  <c r="ED954" i="1" s="1"/>
  <c r="EK955" i="1"/>
  <c r="EL955" i="1" s="1"/>
  <c r="ED955" i="1" s="1"/>
  <c r="EK956" i="1"/>
  <c r="EL956" i="1" s="1"/>
  <c r="ED956" i="1" s="1"/>
  <c r="EK957" i="1"/>
  <c r="EL957" i="1" s="1"/>
  <c r="ED957" i="1" s="1"/>
  <c r="EK958" i="1"/>
  <c r="EL958" i="1" s="1"/>
  <c r="ED958" i="1" s="1"/>
  <c r="EK959" i="1"/>
  <c r="EL959" i="1" s="1"/>
  <c r="ED959" i="1" s="1"/>
  <c r="EK960" i="1"/>
  <c r="EL960" i="1" s="1"/>
  <c r="ED960" i="1" s="1"/>
  <c r="EK961" i="1"/>
  <c r="EL961" i="1" s="1"/>
  <c r="ED961" i="1" s="1"/>
  <c r="EK962" i="1"/>
  <c r="EL962" i="1" s="1"/>
  <c r="ED962" i="1" s="1"/>
  <c r="EK963" i="1"/>
  <c r="EL963" i="1" s="1"/>
  <c r="ED963" i="1" s="1"/>
  <c r="EK964" i="1"/>
  <c r="EL964" i="1" s="1"/>
  <c r="ED964" i="1" s="1"/>
  <c r="EK965" i="1"/>
  <c r="EL965" i="1" s="1"/>
  <c r="ED965" i="1" s="1"/>
  <c r="EK966" i="1"/>
  <c r="EL966" i="1" s="1"/>
  <c r="ED966" i="1" s="1"/>
  <c r="EK967" i="1"/>
  <c r="EL967" i="1" s="1"/>
  <c r="ED967" i="1" s="1"/>
  <c r="EK968" i="1"/>
  <c r="EL968" i="1" s="1"/>
  <c r="ED968" i="1" s="1"/>
  <c r="EK969" i="1"/>
  <c r="EL969" i="1" s="1"/>
  <c r="ED969" i="1" s="1"/>
  <c r="EK970" i="1"/>
  <c r="EL970" i="1" s="1"/>
  <c r="ED970" i="1" s="1"/>
  <c r="EK971" i="1"/>
  <c r="EL971" i="1" s="1"/>
  <c r="ED971" i="1" s="1"/>
  <c r="EK972" i="1"/>
  <c r="EL972" i="1" s="1"/>
  <c r="ED972" i="1" s="1"/>
  <c r="EK488" i="1"/>
  <c r="EL488" i="1" s="1"/>
  <c r="ED488" i="1" s="1"/>
  <c r="EK490" i="1"/>
  <c r="EL490" i="1" s="1"/>
  <c r="ED490" i="1" s="1"/>
  <c r="EK492" i="1"/>
  <c r="EL492" i="1" s="1"/>
  <c r="ED492" i="1" s="1"/>
  <c r="EK494" i="1"/>
  <c r="EL494" i="1" s="1"/>
  <c r="ED494" i="1" s="1"/>
  <c r="EK496" i="1"/>
  <c r="EL496" i="1" s="1"/>
  <c r="ED496" i="1" s="1"/>
  <c r="EK527" i="1"/>
  <c r="EL527" i="1" s="1"/>
  <c r="ED527" i="1" s="1"/>
  <c r="EK516" i="1"/>
  <c r="EL516" i="1" s="1"/>
  <c r="ED516" i="1" s="1"/>
  <c r="EK567" i="1"/>
  <c r="EL567" i="1" s="1"/>
  <c r="ED567" i="1" s="1"/>
  <c r="EK568" i="1"/>
  <c r="EL568" i="1" s="1"/>
  <c r="ED568" i="1" s="1"/>
  <c r="EK593" i="1"/>
  <c r="EL593" i="1" s="1"/>
  <c r="ED593" i="1" s="1"/>
  <c r="EK594" i="1"/>
  <c r="EL594" i="1" s="1"/>
  <c r="ED594" i="1" s="1"/>
  <c r="EK595" i="1"/>
  <c r="EL595" i="1" s="1"/>
  <c r="ED595" i="1" s="1"/>
  <c r="EK596" i="1"/>
  <c r="EL596" i="1" s="1"/>
  <c r="ED596" i="1" s="1"/>
  <c r="EK597" i="1"/>
  <c r="EL597" i="1" s="1"/>
  <c r="ED597" i="1" s="1"/>
  <c r="EK598" i="1"/>
  <c r="EL598" i="1" s="1"/>
  <c r="ED598" i="1" s="1"/>
  <c r="EK599" i="1"/>
  <c r="EL599" i="1" s="1"/>
  <c r="ED599" i="1" s="1"/>
  <c r="EK600" i="1"/>
  <c r="EL600" i="1" s="1"/>
  <c r="ED600" i="1" s="1"/>
  <c r="EK601" i="1"/>
  <c r="EL601" i="1" s="1"/>
  <c r="ED601" i="1" s="1"/>
  <c r="EK602" i="1"/>
  <c r="EL602" i="1" s="1"/>
  <c r="ED602" i="1" s="1"/>
  <c r="EK603" i="1"/>
  <c r="EL603" i="1" s="1"/>
  <c r="ED603" i="1" s="1"/>
  <c r="EK604" i="1"/>
  <c r="EL604" i="1" s="1"/>
  <c r="ED604" i="1" s="1"/>
  <c r="EK605" i="1"/>
  <c r="EL605" i="1" s="1"/>
  <c r="ED605" i="1" s="1"/>
  <c r="EK606" i="1"/>
  <c r="EL606" i="1" s="1"/>
  <c r="ED606" i="1" s="1"/>
  <c r="EK607" i="1"/>
  <c r="EL607" i="1" s="1"/>
  <c r="ED607" i="1" s="1"/>
  <c r="EK608" i="1"/>
  <c r="EL608" i="1" s="1"/>
  <c r="ED608" i="1" s="1"/>
  <c r="EK609" i="1"/>
  <c r="EL609" i="1" s="1"/>
  <c r="ED609" i="1" s="1"/>
  <c r="EK610" i="1"/>
  <c r="EL610" i="1" s="1"/>
  <c r="ED610" i="1" s="1"/>
  <c r="EK611" i="1"/>
  <c r="EL611" i="1" s="1"/>
  <c r="ED611" i="1" s="1"/>
  <c r="EK612" i="1"/>
  <c r="EL612" i="1" s="1"/>
  <c r="ED612" i="1" s="1"/>
  <c r="EK613" i="1"/>
  <c r="EL613" i="1" s="1"/>
  <c r="ED613" i="1" s="1"/>
  <c r="EK614" i="1"/>
  <c r="EL614" i="1" s="1"/>
  <c r="ED614" i="1" s="1"/>
  <c r="EK615" i="1"/>
  <c r="EL615" i="1" s="1"/>
  <c r="ED615" i="1" s="1"/>
  <c r="EK616" i="1"/>
  <c r="EL616" i="1" s="1"/>
  <c r="ED616" i="1" s="1"/>
  <c r="EK617" i="1"/>
  <c r="EL617" i="1" s="1"/>
  <c r="ED617" i="1" s="1"/>
  <c r="EK618" i="1"/>
  <c r="EL618" i="1" s="1"/>
  <c r="ED618" i="1" s="1"/>
  <c r="EK619" i="1"/>
  <c r="EL619" i="1" s="1"/>
  <c r="ED619" i="1" s="1"/>
  <c r="EK620" i="1"/>
  <c r="EL620" i="1" s="1"/>
  <c r="ED620" i="1" s="1"/>
  <c r="EK621" i="1"/>
  <c r="EL621" i="1" s="1"/>
  <c r="ED621" i="1" s="1"/>
  <c r="EK622" i="1"/>
  <c r="EL622" i="1" s="1"/>
  <c r="ED622" i="1" s="1"/>
  <c r="EK623" i="1"/>
  <c r="EL623" i="1" s="1"/>
  <c r="ED623" i="1" s="1"/>
  <c r="EK624" i="1"/>
  <c r="EL624" i="1" s="1"/>
  <c r="ED624" i="1" s="1"/>
  <c r="EK625" i="1"/>
  <c r="EL625" i="1" s="1"/>
  <c r="ED625" i="1" s="1"/>
  <c r="EK626" i="1"/>
  <c r="EL626" i="1" s="1"/>
  <c r="ED626" i="1" s="1"/>
  <c r="EK627" i="1"/>
  <c r="EL627" i="1" s="1"/>
  <c r="ED627" i="1" s="1"/>
  <c r="EK628" i="1"/>
  <c r="EL628" i="1" s="1"/>
  <c r="ED628" i="1" s="1"/>
  <c r="EK629" i="1"/>
  <c r="EL629" i="1" s="1"/>
  <c r="ED629" i="1" s="1"/>
  <c r="EK630" i="1"/>
  <c r="EL630" i="1" s="1"/>
  <c r="ED630" i="1" s="1"/>
  <c r="EK631" i="1"/>
  <c r="EL631" i="1" s="1"/>
  <c r="ED631" i="1" s="1"/>
  <c r="EK632" i="1"/>
  <c r="EL632" i="1" s="1"/>
  <c r="ED632" i="1" s="1"/>
  <c r="EK633" i="1"/>
  <c r="EL633" i="1" s="1"/>
  <c r="ED633" i="1" s="1"/>
  <c r="EK634" i="1"/>
  <c r="EL634" i="1" s="1"/>
  <c r="ED634" i="1" s="1"/>
  <c r="EK635" i="1"/>
  <c r="EL635" i="1" s="1"/>
  <c r="ED635" i="1" s="1"/>
  <c r="EK973" i="1"/>
  <c r="EL973" i="1" s="1"/>
  <c r="ED973" i="1" s="1"/>
  <c r="EK974" i="1"/>
  <c r="EL974" i="1" s="1"/>
  <c r="ED974" i="1" s="1"/>
  <c r="EK975" i="1"/>
  <c r="EL975" i="1" s="1"/>
  <c r="ED975" i="1" s="1"/>
  <c r="EK976" i="1"/>
  <c r="EL976" i="1" s="1"/>
  <c r="ED976" i="1" s="1"/>
  <c r="EK977" i="1"/>
  <c r="EL977" i="1" s="1"/>
  <c r="ED977" i="1" s="1"/>
  <c r="EK978" i="1"/>
  <c r="EL978" i="1" s="1"/>
  <c r="ED978" i="1" s="1"/>
  <c r="EK979" i="1"/>
  <c r="EL979" i="1" s="1"/>
  <c r="ED979" i="1" s="1"/>
  <c r="EK980" i="1"/>
  <c r="EL980" i="1" s="1"/>
  <c r="ED980" i="1" s="1"/>
  <c r="EK981" i="1"/>
  <c r="EL981" i="1" s="1"/>
  <c r="ED981" i="1" s="1"/>
  <c r="EK982" i="1"/>
  <c r="EL982" i="1" s="1"/>
  <c r="ED982" i="1" s="1"/>
  <c r="EK983" i="1"/>
  <c r="EL983" i="1" s="1"/>
  <c r="ED983" i="1" s="1"/>
  <c r="EK984" i="1"/>
  <c r="EL984" i="1" s="1"/>
  <c r="ED984" i="1" s="1"/>
  <c r="EK985" i="1"/>
  <c r="EL985" i="1" s="1"/>
  <c r="ED985" i="1" s="1"/>
  <c r="EK986" i="1"/>
  <c r="EL986" i="1" s="1"/>
  <c r="ED986" i="1" s="1"/>
  <c r="EK987" i="1"/>
  <c r="EL987" i="1" s="1"/>
  <c r="ED987" i="1" s="1"/>
  <c r="EK988" i="1"/>
  <c r="EL988" i="1" s="1"/>
  <c r="ED988" i="1" s="1"/>
  <c r="EK989" i="1"/>
  <c r="EL989" i="1" s="1"/>
  <c r="ED989" i="1" s="1"/>
  <c r="EK990" i="1"/>
  <c r="EL990" i="1" s="1"/>
  <c r="ED990" i="1" s="1"/>
  <c r="EK991" i="1"/>
  <c r="EL991" i="1" s="1"/>
  <c r="ED991" i="1" s="1"/>
  <c r="EK992" i="1"/>
  <c r="EL992" i="1" s="1"/>
  <c r="ED992" i="1" s="1"/>
  <c r="EK993" i="1"/>
  <c r="EL993" i="1" s="1"/>
  <c r="ED993" i="1" s="1"/>
  <c r="EK994" i="1"/>
  <c r="EL994" i="1" s="1"/>
  <c r="ED994" i="1" s="1"/>
  <c r="EK995" i="1"/>
  <c r="EL995" i="1" s="1"/>
  <c r="ED995" i="1" s="1"/>
  <c r="EK996" i="1"/>
  <c r="EL996" i="1" s="1"/>
  <c r="ED996" i="1" s="1"/>
  <c r="EK997" i="1"/>
  <c r="EL997" i="1" s="1"/>
  <c r="ED997" i="1" s="1"/>
  <c r="EK998" i="1"/>
  <c r="EL998" i="1" s="1"/>
  <c r="ED998" i="1" s="1"/>
  <c r="EK999" i="1"/>
  <c r="EL999" i="1" s="1"/>
  <c r="ED999" i="1" s="1"/>
  <c r="EK1000" i="1"/>
  <c r="EL1000" i="1" s="1"/>
  <c r="ED1000" i="1" s="1"/>
  <c r="EK1001" i="1"/>
  <c r="EL1001" i="1" s="1"/>
  <c r="ED1001" i="1" s="1"/>
  <c r="EK1002" i="1"/>
  <c r="EL1002" i="1" s="1"/>
  <c r="ED1002" i="1" s="1"/>
  <c r="EK1003" i="1"/>
  <c r="EL1003" i="1" s="1"/>
  <c r="ED1003" i="1" s="1"/>
  <c r="EK1004" i="1"/>
  <c r="EL1004" i="1" s="1"/>
  <c r="ED1004" i="1" s="1"/>
  <c r="EK1005" i="1"/>
  <c r="EL1005" i="1" s="1"/>
  <c r="ED1005" i="1" s="1"/>
  <c r="EK1006" i="1"/>
  <c r="EL1006" i="1" s="1"/>
  <c r="ED1006" i="1" s="1"/>
  <c r="EK1007" i="1"/>
  <c r="EL1007" i="1" s="1"/>
  <c r="ED1007" i="1" s="1"/>
  <c r="EK1008" i="1"/>
  <c r="EL1008" i="1" s="1"/>
  <c r="ED1008" i="1" s="1"/>
  <c r="EK1009" i="1"/>
  <c r="EL1009" i="1" s="1"/>
  <c r="ED1009" i="1" s="1"/>
  <c r="EK1010" i="1"/>
  <c r="EL1010" i="1" s="1"/>
  <c r="ED1010" i="1" s="1"/>
  <c r="EK1020" i="1"/>
  <c r="EL1020" i="1" s="1"/>
  <c r="ED1020" i="1" s="1"/>
  <c r="EK1021" i="1"/>
  <c r="EL1021" i="1" s="1"/>
  <c r="ED1021" i="1" s="1"/>
  <c r="EK1022" i="1"/>
  <c r="EL1022" i="1" s="1"/>
  <c r="ED1022" i="1" s="1"/>
  <c r="EK1023" i="1"/>
  <c r="EL1023" i="1" s="1"/>
  <c r="ED1023" i="1" s="1"/>
  <c r="EK1024" i="1"/>
  <c r="EL1024" i="1" s="1"/>
  <c r="ED1024" i="1" s="1"/>
  <c r="EK1025" i="1"/>
  <c r="EL1025" i="1" s="1"/>
  <c r="ED1025" i="1" s="1"/>
  <c r="EK1026" i="1"/>
  <c r="EL1026" i="1" s="1"/>
  <c r="ED1026" i="1" s="1"/>
  <c r="EK1027" i="1"/>
  <c r="EL1027" i="1" s="1"/>
  <c r="ED1027" i="1" s="1"/>
  <c r="EK1028" i="1"/>
  <c r="EL1028" i="1" s="1"/>
  <c r="ED1028" i="1" s="1"/>
  <c r="EK1029" i="1"/>
  <c r="EL1029" i="1" s="1"/>
  <c r="ED1029" i="1" s="1"/>
  <c r="EK1030" i="1"/>
  <c r="EL1030" i="1" s="1"/>
  <c r="ED1030" i="1" s="1"/>
  <c r="EK1031" i="1"/>
  <c r="EL1031" i="1" s="1"/>
  <c r="ED1031" i="1" s="1"/>
  <c r="EK1032" i="1"/>
  <c r="EL1032" i="1" s="1"/>
  <c r="ED1032" i="1" s="1"/>
  <c r="EK1033" i="1"/>
  <c r="EL1033" i="1" s="1"/>
  <c r="ED1033" i="1" s="1"/>
  <c r="EK1034" i="1"/>
  <c r="EL1034" i="1" s="1"/>
  <c r="ED1034" i="1" s="1"/>
  <c r="EK1035" i="1"/>
  <c r="EL1035" i="1" s="1"/>
  <c r="ED1035" i="1" s="1"/>
  <c r="EK1036" i="1"/>
  <c r="EL1036" i="1" s="1"/>
  <c r="ED1036" i="1" s="1"/>
  <c r="EK1037" i="1"/>
  <c r="EL1037" i="1" s="1"/>
  <c r="ED1037" i="1" s="1"/>
  <c r="EK1038" i="1"/>
  <c r="EL1038" i="1" s="1"/>
  <c r="ED1038" i="1" s="1"/>
  <c r="EK1039" i="1"/>
  <c r="EL1039" i="1" s="1"/>
  <c r="ED1039" i="1" s="1"/>
  <c r="EK1040" i="1"/>
  <c r="EL1040" i="1" s="1"/>
  <c r="ED1040" i="1" s="1"/>
  <c r="EK1041" i="1"/>
  <c r="EL1041" i="1" s="1"/>
  <c r="ED1041" i="1" s="1"/>
  <c r="EK1042" i="1"/>
  <c r="EL1042" i="1" s="1"/>
  <c r="ED1042" i="1" s="1"/>
  <c r="EK1043" i="1"/>
  <c r="EL1043" i="1" s="1"/>
  <c r="ED1043" i="1" s="1"/>
  <c r="EK1044" i="1"/>
  <c r="EL1044" i="1" s="1"/>
  <c r="ED1044" i="1" s="1"/>
  <c r="EK1045" i="1"/>
  <c r="EL1045" i="1" s="1"/>
  <c r="ED1045" i="1" s="1"/>
  <c r="EK1046" i="1"/>
  <c r="EL1046" i="1" s="1"/>
  <c r="ED1046" i="1" s="1"/>
  <c r="EK1047" i="1"/>
  <c r="EL1047" i="1" s="1"/>
  <c r="ED1047" i="1" s="1"/>
  <c r="EK1048" i="1"/>
  <c r="EL1048" i="1" s="1"/>
  <c r="ED1048" i="1" s="1"/>
  <c r="EK1049" i="1"/>
  <c r="EL1049" i="1" s="1"/>
  <c r="ED1049" i="1" s="1"/>
  <c r="EK1050" i="1"/>
  <c r="EL1050" i="1" s="1"/>
  <c r="ED1050" i="1" s="1"/>
  <c r="EK1051" i="1"/>
  <c r="EL1051" i="1" s="1"/>
  <c r="ED1051" i="1" s="1"/>
  <c r="EK1052" i="1"/>
  <c r="EL1052" i="1" s="1"/>
  <c r="ED1052" i="1" s="1"/>
  <c r="EK1053" i="1"/>
  <c r="EL1053" i="1" s="1"/>
  <c r="ED1053" i="1" s="1"/>
  <c r="EK1054" i="1"/>
  <c r="EL1054" i="1" s="1"/>
  <c r="ED1054" i="1" s="1"/>
  <c r="EK1055" i="1"/>
  <c r="EL1055" i="1" s="1"/>
  <c r="ED1055" i="1" s="1"/>
  <c r="EK1056" i="1"/>
  <c r="EL1056" i="1" s="1"/>
  <c r="ED1056" i="1" s="1"/>
  <c r="EK1057" i="1"/>
  <c r="EL1057" i="1" s="1"/>
  <c r="ED1057" i="1" s="1"/>
  <c r="EK1058" i="1"/>
  <c r="EL1058" i="1" s="1"/>
  <c r="ED1058" i="1" s="1"/>
  <c r="EK1059" i="1"/>
  <c r="EL1059" i="1" s="1"/>
  <c r="ED1059" i="1" s="1"/>
  <c r="EK1060" i="1"/>
  <c r="EL1060" i="1" s="1"/>
  <c r="ED1060" i="1" s="1"/>
  <c r="EK1061" i="1"/>
  <c r="EL1061" i="1" s="1"/>
  <c r="ED1061" i="1" s="1"/>
  <c r="EK1062" i="1"/>
  <c r="EL1062" i="1" s="1"/>
  <c r="ED1062" i="1" s="1"/>
  <c r="EK1063" i="1"/>
  <c r="EL1063" i="1" s="1"/>
  <c r="ED1063" i="1" s="1"/>
  <c r="EK1064" i="1"/>
  <c r="EL1064" i="1" s="1"/>
  <c r="ED1064" i="1" s="1"/>
  <c r="EK1065" i="1"/>
  <c r="EL1065" i="1" s="1"/>
  <c r="ED1065" i="1" s="1"/>
  <c r="EK1066" i="1"/>
  <c r="EL1066" i="1" s="1"/>
  <c r="ED1066" i="1" s="1"/>
  <c r="EK1067" i="1"/>
  <c r="EL1067" i="1" s="1"/>
  <c r="ED1067" i="1" s="1"/>
  <c r="EK1068" i="1"/>
  <c r="EL1068" i="1" s="1"/>
  <c r="ED1068" i="1" s="1"/>
  <c r="EK1069" i="1"/>
  <c r="EL1069" i="1" s="1"/>
  <c r="ED1069" i="1" s="1"/>
  <c r="EK1070" i="1"/>
  <c r="EL1070" i="1" s="1"/>
  <c r="ED1070" i="1" s="1"/>
  <c r="EK1071" i="1"/>
  <c r="EL1071" i="1" s="1"/>
  <c r="ED1071" i="1" s="1"/>
  <c r="EK1072" i="1"/>
  <c r="EL1072" i="1" s="1"/>
  <c r="ED1072" i="1" s="1"/>
  <c r="EK1073" i="1"/>
  <c r="EL1073" i="1" s="1"/>
  <c r="ED1073" i="1" s="1"/>
  <c r="EK1074" i="1"/>
  <c r="EL1074" i="1" s="1"/>
  <c r="ED1074" i="1" s="1"/>
  <c r="EK1075" i="1"/>
  <c r="EL1075" i="1" s="1"/>
  <c r="ED1075" i="1" s="1"/>
  <c r="EK1076" i="1"/>
  <c r="EL1076" i="1" s="1"/>
  <c r="ED1076" i="1" s="1"/>
  <c r="EK1077" i="1"/>
  <c r="EL1077" i="1" s="1"/>
  <c r="ED1077" i="1" s="1"/>
  <c r="EK1078" i="1"/>
  <c r="EL1078" i="1" s="1"/>
  <c r="ED1078" i="1" s="1"/>
  <c r="EK1079" i="1"/>
  <c r="EL1079" i="1" s="1"/>
  <c r="ED1079" i="1" s="1"/>
  <c r="EK1080" i="1"/>
  <c r="EL1080" i="1" s="1"/>
  <c r="ED1080" i="1" s="1"/>
  <c r="EK1081" i="1"/>
  <c r="EL1081" i="1" s="1"/>
  <c r="ED1081" i="1" s="1"/>
  <c r="EK1082" i="1"/>
  <c r="EL1082" i="1" s="1"/>
  <c r="ED1082" i="1" s="1"/>
  <c r="EK1083" i="1"/>
  <c r="EL1083" i="1" s="1"/>
  <c r="ED1083" i="1" s="1"/>
  <c r="EK1084" i="1"/>
  <c r="EL1084" i="1" s="1"/>
  <c r="ED1084" i="1" s="1"/>
  <c r="EK1085" i="1"/>
  <c r="EL1085" i="1" s="1"/>
  <c r="ED1085" i="1" s="1"/>
  <c r="EK1086" i="1"/>
  <c r="EL1086" i="1" s="1"/>
  <c r="ED1086" i="1" s="1"/>
  <c r="EK1087" i="1"/>
  <c r="EL1087" i="1" s="1"/>
  <c r="ED1087" i="1" s="1"/>
  <c r="EK1088" i="1"/>
  <c r="EL1088" i="1" s="1"/>
  <c r="ED1088" i="1" s="1"/>
  <c r="EK1089" i="1"/>
  <c r="EL1089" i="1" s="1"/>
  <c r="ED1089" i="1" s="1"/>
  <c r="EK1090" i="1"/>
  <c r="EL1090" i="1" s="1"/>
  <c r="ED1090" i="1" s="1"/>
  <c r="EK1091" i="1"/>
  <c r="EL1091" i="1" s="1"/>
  <c r="ED1091" i="1" s="1"/>
  <c r="EK1092" i="1"/>
  <c r="EL1092" i="1" s="1"/>
  <c r="ED1092" i="1" s="1"/>
  <c r="EK1093" i="1"/>
  <c r="EL1093" i="1" s="1"/>
  <c r="ED1093" i="1" s="1"/>
  <c r="EK1094" i="1"/>
  <c r="EL1094" i="1" s="1"/>
  <c r="ED1094" i="1" s="1"/>
  <c r="EK1095" i="1"/>
  <c r="EL1095" i="1" s="1"/>
  <c r="ED1095" i="1" s="1"/>
  <c r="EK1096" i="1"/>
  <c r="EL1096" i="1" s="1"/>
  <c r="ED1096" i="1" s="1"/>
  <c r="EK1097" i="1"/>
  <c r="EL1097" i="1" s="1"/>
  <c r="ED1097" i="1" s="1"/>
  <c r="EK1098" i="1"/>
  <c r="EL1098" i="1" s="1"/>
  <c r="ED1098" i="1" s="1"/>
  <c r="EK1099" i="1"/>
  <c r="EL1099" i="1" s="1"/>
  <c r="ED1099" i="1" s="1"/>
  <c r="EK1100" i="1"/>
  <c r="EL1100" i="1" s="1"/>
  <c r="ED1100" i="1" s="1"/>
  <c r="EK1101" i="1"/>
  <c r="EL1101" i="1" s="1"/>
  <c r="ED1101" i="1" s="1"/>
  <c r="EK1102" i="1"/>
  <c r="EL1102" i="1" s="1"/>
  <c r="ED1102" i="1" s="1"/>
  <c r="EK1103" i="1"/>
  <c r="EL1103" i="1" s="1"/>
  <c r="ED1103" i="1" s="1"/>
  <c r="EK471" i="1"/>
  <c r="EL471" i="1" s="1"/>
  <c r="ED471" i="1" s="1"/>
  <c r="EK473" i="1"/>
  <c r="EL473" i="1" s="1"/>
  <c r="ED473" i="1" s="1"/>
  <c r="EK475" i="1"/>
  <c r="EL475" i="1" s="1"/>
  <c r="ED475" i="1" s="1"/>
  <c r="EK477" i="1"/>
  <c r="EL477" i="1" s="1"/>
  <c r="ED477" i="1" s="1"/>
  <c r="EK479" i="1"/>
  <c r="EL479" i="1" s="1"/>
  <c r="ED479" i="1" s="1"/>
  <c r="EK481" i="1"/>
  <c r="EL481" i="1" s="1"/>
  <c r="ED481" i="1" s="1"/>
  <c r="EK483" i="1"/>
  <c r="EL483" i="1" s="1"/>
  <c r="ED483" i="1" s="1"/>
  <c r="EK485" i="1"/>
  <c r="EL485" i="1" s="1"/>
  <c r="ED485" i="1" s="1"/>
  <c r="EK487" i="1"/>
  <c r="EL487" i="1" s="1"/>
  <c r="ED487" i="1" s="1"/>
  <c r="EK491" i="1"/>
  <c r="EL491" i="1" s="1"/>
  <c r="ED491" i="1" s="1"/>
  <c r="EK493" i="1"/>
  <c r="EL493" i="1" s="1"/>
  <c r="ED493" i="1" s="1"/>
  <c r="EK495" i="1"/>
  <c r="EL495" i="1" s="1"/>
  <c r="ED495" i="1" s="1"/>
  <c r="EK518" i="1"/>
  <c r="EL518" i="1" s="1"/>
  <c r="ED518" i="1" s="1"/>
  <c r="EK519" i="1"/>
  <c r="EL519" i="1" s="1"/>
  <c r="ED519" i="1" s="1"/>
  <c r="EK520" i="1"/>
  <c r="EL520" i="1" s="1"/>
  <c r="ED520" i="1" s="1"/>
  <c r="EK521" i="1"/>
  <c r="EL521" i="1" s="1"/>
  <c r="ED521" i="1" s="1"/>
  <c r="EK522" i="1"/>
  <c r="EL522" i="1" s="1"/>
  <c r="ED522" i="1" s="1"/>
  <c r="EK523" i="1"/>
  <c r="EL523" i="1" s="1"/>
  <c r="ED523" i="1" s="1"/>
  <c r="EK636" i="1"/>
  <c r="EL636" i="1" s="1"/>
  <c r="ED636" i="1" s="1"/>
  <c r="EK637" i="1"/>
  <c r="EL637" i="1" s="1"/>
  <c r="ED637" i="1" s="1"/>
  <c r="EK638" i="1"/>
  <c r="EL638" i="1" s="1"/>
  <c r="ED638" i="1" s="1"/>
  <c r="EK639" i="1"/>
  <c r="EL639" i="1" s="1"/>
  <c r="ED639" i="1" s="1"/>
  <c r="EK640" i="1"/>
  <c r="EL640" i="1" s="1"/>
  <c r="ED640" i="1" s="1"/>
  <c r="EK641" i="1"/>
  <c r="EL641" i="1" s="1"/>
  <c r="ED641" i="1" s="1"/>
  <c r="EK642" i="1"/>
  <c r="EL642" i="1" s="1"/>
  <c r="ED642" i="1" s="1"/>
  <c r="EK643" i="1"/>
  <c r="EL643" i="1" s="1"/>
  <c r="ED643" i="1" s="1"/>
  <c r="EK644" i="1"/>
  <c r="EL644" i="1" s="1"/>
  <c r="ED644" i="1" s="1"/>
  <c r="EK645" i="1"/>
  <c r="EL645" i="1" s="1"/>
  <c r="ED645" i="1" s="1"/>
  <c r="EK646" i="1"/>
  <c r="EL646" i="1" s="1"/>
  <c r="ED646" i="1" s="1"/>
  <c r="EK647" i="1"/>
  <c r="EL647" i="1" s="1"/>
  <c r="ED647" i="1" s="1"/>
  <c r="EK648" i="1"/>
  <c r="EL648" i="1" s="1"/>
  <c r="ED648" i="1" s="1"/>
  <c r="EK649" i="1"/>
  <c r="EL649" i="1" s="1"/>
  <c r="ED649" i="1" s="1"/>
  <c r="EK650" i="1"/>
  <c r="EL650" i="1" s="1"/>
  <c r="ED650" i="1" s="1"/>
  <c r="EK651" i="1"/>
  <c r="EL651" i="1" s="1"/>
  <c r="ED651" i="1" s="1"/>
  <c r="EK652" i="1"/>
  <c r="EL652" i="1" s="1"/>
  <c r="ED652" i="1" s="1"/>
  <c r="EK653" i="1"/>
  <c r="EL653" i="1" s="1"/>
  <c r="ED653" i="1" s="1"/>
  <c r="EK654" i="1"/>
  <c r="EL654" i="1" s="1"/>
  <c r="ED654" i="1" s="1"/>
  <c r="EK655" i="1"/>
  <c r="EL655" i="1" s="1"/>
  <c r="ED655" i="1" s="1"/>
  <c r="EK656" i="1"/>
  <c r="EL656" i="1" s="1"/>
  <c r="ED656" i="1" s="1"/>
  <c r="EK657" i="1"/>
  <c r="EL657" i="1" s="1"/>
  <c r="ED657" i="1" s="1"/>
  <c r="EK658" i="1"/>
  <c r="EL658" i="1" s="1"/>
  <c r="ED658" i="1" s="1"/>
  <c r="EK659" i="1"/>
  <c r="EL659" i="1" s="1"/>
  <c r="ED659" i="1" s="1"/>
  <c r="EK660" i="1"/>
  <c r="EL660" i="1" s="1"/>
  <c r="ED660" i="1" s="1"/>
  <c r="EK661" i="1"/>
  <c r="EL661" i="1" s="1"/>
  <c r="ED661" i="1" s="1"/>
  <c r="EK662" i="1"/>
  <c r="EL662" i="1" s="1"/>
  <c r="ED662" i="1" s="1"/>
  <c r="EK663" i="1"/>
  <c r="EL663" i="1" s="1"/>
  <c r="ED663" i="1" s="1"/>
  <c r="EK664" i="1"/>
  <c r="EL664" i="1" s="1"/>
  <c r="ED664" i="1" s="1"/>
  <c r="EK665" i="1"/>
  <c r="EL665" i="1" s="1"/>
  <c r="ED665" i="1" s="1"/>
  <c r="EK666" i="1"/>
  <c r="EL666" i="1" s="1"/>
  <c r="ED666" i="1" s="1"/>
  <c r="EK667" i="1"/>
  <c r="EL667" i="1" s="1"/>
  <c r="ED667" i="1" s="1"/>
  <c r="EK668" i="1"/>
  <c r="EL668" i="1" s="1"/>
  <c r="ED668" i="1" s="1"/>
  <c r="EK669" i="1"/>
  <c r="EL669" i="1" s="1"/>
  <c r="ED669" i="1" s="1"/>
  <c r="EK670" i="1"/>
  <c r="EL670" i="1" s="1"/>
  <c r="ED670" i="1" s="1"/>
  <c r="EK671" i="1"/>
  <c r="EL671" i="1" s="1"/>
  <c r="ED671" i="1" s="1"/>
  <c r="EK672" i="1"/>
  <c r="EL672" i="1" s="1"/>
  <c r="ED672" i="1" s="1"/>
  <c r="EK673" i="1"/>
  <c r="EL673" i="1" s="1"/>
  <c r="ED673" i="1" s="1"/>
  <c r="EK674" i="1"/>
  <c r="EL674" i="1" s="1"/>
  <c r="ED674" i="1" s="1"/>
  <c r="EK675" i="1"/>
  <c r="EL675" i="1" s="1"/>
  <c r="ED675" i="1" s="1"/>
  <c r="EK776" i="1"/>
  <c r="EL776" i="1" s="1"/>
  <c r="ED776" i="1" s="1"/>
  <c r="EK777" i="1"/>
  <c r="EL777" i="1" s="1"/>
  <c r="ED777" i="1" s="1"/>
  <c r="EK778" i="1"/>
  <c r="EL778" i="1" s="1"/>
  <c r="ED778" i="1" s="1"/>
  <c r="EK779" i="1"/>
  <c r="EL779" i="1" s="1"/>
  <c r="ED779" i="1" s="1"/>
  <c r="EK780" i="1"/>
  <c r="EL780" i="1" s="1"/>
  <c r="ED780" i="1" s="1"/>
  <c r="EK781" i="1"/>
  <c r="EL781" i="1" s="1"/>
  <c r="ED781" i="1" s="1"/>
  <c r="EK782" i="1"/>
  <c r="EL782" i="1" s="1"/>
  <c r="ED782" i="1" s="1"/>
  <c r="EK783" i="1"/>
  <c r="EL783" i="1" s="1"/>
  <c r="ED783" i="1" s="1"/>
  <c r="EK784" i="1"/>
  <c r="EL784" i="1" s="1"/>
  <c r="ED784" i="1" s="1"/>
  <c r="EK785" i="1"/>
  <c r="EL785" i="1" s="1"/>
  <c r="ED785" i="1" s="1"/>
  <c r="EK786" i="1"/>
  <c r="EL786" i="1" s="1"/>
  <c r="ED786" i="1" s="1"/>
  <c r="EK787" i="1"/>
  <c r="EL787" i="1" s="1"/>
  <c r="ED787" i="1" s="1"/>
  <c r="EK788" i="1"/>
  <c r="EL788" i="1" s="1"/>
  <c r="ED788" i="1" s="1"/>
  <c r="EK789" i="1"/>
  <c r="EL789" i="1" s="1"/>
  <c r="ED789" i="1" s="1"/>
  <c r="EK790" i="1"/>
  <c r="EL790" i="1" s="1"/>
  <c r="ED790" i="1" s="1"/>
  <c r="EK791" i="1"/>
  <c r="EL791" i="1" s="1"/>
  <c r="ED791" i="1" s="1"/>
  <c r="EK792" i="1"/>
  <c r="EL792" i="1" s="1"/>
  <c r="ED792" i="1" s="1"/>
  <c r="EK793" i="1"/>
  <c r="EL793" i="1" s="1"/>
  <c r="ED793" i="1" s="1"/>
  <c r="EK794" i="1"/>
  <c r="EL794" i="1" s="1"/>
  <c r="ED794" i="1" s="1"/>
  <c r="EK795" i="1"/>
  <c r="EL795" i="1" s="1"/>
  <c r="ED795" i="1" s="1"/>
  <c r="EK796" i="1"/>
  <c r="EL796" i="1" s="1"/>
  <c r="ED796" i="1" s="1"/>
  <c r="EK797" i="1"/>
  <c r="EL797" i="1" s="1"/>
  <c r="ED797" i="1" s="1"/>
  <c r="EK798" i="1"/>
  <c r="EL798" i="1" s="1"/>
  <c r="ED798" i="1" s="1"/>
  <c r="EK799" i="1"/>
  <c r="EL799" i="1" s="1"/>
  <c r="ED799" i="1" s="1"/>
  <c r="EK800" i="1"/>
  <c r="EL800" i="1" s="1"/>
  <c r="ED800" i="1" s="1"/>
  <c r="EK801" i="1"/>
  <c r="EL801" i="1" s="1"/>
  <c r="ED801" i="1" s="1"/>
  <c r="EK802" i="1"/>
  <c r="EL802" i="1" s="1"/>
  <c r="ED802" i="1" s="1"/>
  <c r="EK807" i="1"/>
  <c r="EL807" i="1" s="1"/>
  <c r="ED807" i="1" s="1"/>
  <c r="EK808" i="1"/>
  <c r="EL808" i="1" s="1"/>
  <c r="ED808" i="1" s="1"/>
  <c r="EK809" i="1"/>
  <c r="EL809" i="1" s="1"/>
  <c r="ED809" i="1" s="1"/>
  <c r="EK810" i="1"/>
  <c r="EL810" i="1" s="1"/>
  <c r="ED810" i="1" s="1"/>
  <c r="EK811" i="1"/>
  <c r="EL811" i="1" s="1"/>
  <c r="ED811" i="1" s="1"/>
  <c r="EK812" i="1"/>
  <c r="EL812" i="1" s="1"/>
  <c r="ED812" i="1" s="1"/>
  <c r="EK813" i="1"/>
  <c r="EL813" i="1" s="1"/>
  <c r="ED813" i="1" s="1"/>
  <c r="EK814" i="1"/>
  <c r="EL814" i="1" s="1"/>
  <c r="ED814" i="1" s="1"/>
  <c r="EK815" i="1"/>
  <c r="EL815" i="1" s="1"/>
  <c r="ED815" i="1" s="1"/>
  <c r="EK816" i="1"/>
  <c r="EL816" i="1" s="1"/>
  <c r="ED816" i="1" s="1"/>
  <c r="EK856" i="1"/>
  <c r="EL856" i="1" s="1"/>
  <c r="ED856" i="1" s="1"/>
  <c r="EK857" i="1"/>
  <c r="EL857" i="1" s="1"/>
  <c r="ED857" i="1" s="1"/>
  <c r="EK858" i="1"/>
  <c r="EL858" i="1" s="1"/>
  <c r="ED858" i="1" s="1"/>
  <c r="EK859" i="1"/>
  <c r="EL859" i="1" s="1"/>
  <c r="ED859" i="1" s="1"/>
  <c r="EK860" i="1"/>
  <c r="EL860" i="1" s="1"/>
  <c r="ED860" i="1" s="1"/>
  <c r="EK861" i="1"/>
  <c r="EL861" i="1" s="1"/>
  <c r="ED861" i="1" s="1"/>
  <c r="EK862" i="1"/>
  <c r="EL862" i="1" s="1"/>
  <c r="ED862" i="1" s="1"/>
  <c r="EK863" i="1"/>
  <c r="EL863" i="1" s="1"/>
  <c r="ED863" i="1" s="1"/>
  <c r="EK864" i="1"/>
  <c r="EL864" i="1" s="1"/>
  <c r="ED864" i="1" s="1"/>
  <c r="EK865" i="1"/>
  <c r="EL865" i="1" s="1"/>
  <c r="ED865" i="1" s="1"/>
  <c r="EK866" i="1"/>
  <c r="EL866" i="1" s="1"/>
  <c r="ED866" i="1" s="1"/>
  <c r="EK867" i="1"/>
  <c r="EL867" i="1" s="1"/>
  <c r="ED867" i="1" s="1"/>
  <c r="EK868" i="1"/>
  <c r="EL868" i="1" s="1"/>
  <c r="ED868" i="1" s="1"/>
  <c r="EK869" i="1"/>
  <c r="EL869" i="1" s="1"/>
  <c r="ED869" i="1" s="1"/>
  <c r="EK870" i="1"/>
  <c r="EL870" i="1" s="1"/>
  <c r="ED870" i="1" s="1"/>
  <c r="EK871" i="1"/>
  <c r="EL871" i="1" s="1"/>
  <c r="ED871" i="1" s="1"/>
  <c r="EK872" i="1"/>
  <c r="EL872" i="1" s="1"/>
  <c r="ED872" i="1" s="1"/>
  <c r="EK873" i="1"/>
  <c r="EL873" i="1" s="1"/>
  <c r="ED873" i="1" s="1"/>
  <c r="EK874" i="1"/>
  <c r="EL874" i="1" s="1"/>
  <c r="ED874" i="1" s="1"/>
  <c r="EK875" i="1"/>
  <c r="EL875" i="1" s="1"/>
  <c r="ED875" i="1" s="1"/>
  <c r="EK876" i="1"/>
  <c r="EL876" i="1" s="1"/>
  <c r="ED876" i="1" s="1"/>
  <c r="EK877" i="1"/>
  <c r="EL877" i="1" s="1"/>
  <c r="ED877" i="1" s="1"/>
  <c r="EK878" i="1"/>
  <c r="EL878" i="1" s="1"/>
  <c r="ED878" i="1" s="1"/>
  <c r="EK474" i="1"/>
  <c r="EL474" i="1" s="1"/>
  <c r="ED474" i="1" s="1"/>
  <c r="EK476" i="1"/>
  <c r="EL476" i="1" s="1"/>
  <c r="ED476" i="1" s="1"/>
  <c r="EK478" i="1"/>
  <c r="EL478" i="1" s="1"/>
  <c r="ED478" i="1" s="1"/>
  <c r="EK480" i="1"/>
  <c r="EL480" i="1" s="1"/>
  <c r="ED480" i="1" s="1"/>
  <c r="EK482" i="1"/>
  <c r="EL482" i="1" s="1"/>
  <c r="ED482" i="1" s="1"/>
  <c r="EK484" i="1"/>
  <c r="EL484" i="1" s="1"/>
  <c r="ED484" i="1" s="1"/>
  <c r="EK486" i="1"/>
  <c r="EL486" i="1" s="1"/>
  <c r="ED486" i="1" s="1"/>
  <c r="EK526" i="1"/>
  <c r="EL526" i="1" s="1"/>
  <c r="ED526" i="1" s="1"/>
  <c r="EK529" i="1"/>
  <c r="EL529" i="1" s="1"/>
  <c r="ED529" i="1" s="1"/>
  <c r="EK569" i="1"/>
  <c r="EL569" i="1" s="1"/>
  <c r="ED569" i="1" s="1"/>
  <c r="EK570" i="1"/>
  <c r="EL570" i="1" s="1"/>
  <c r="ED570" i="1" s="1"/>
  <c r="EK571" i="1"/>
  <c r="EL571" i="1" s="1"/>
  <c r="ED571" i="1" s="1"/>
  <c r="EK572" i="1"/>
  <c r="EL572" i="1" s="1"/>
  <c r="ED572" i="1" s="1"/>
  <c r="EK573" i="1"/>
  <c r="EL573" i="1" s="1"/>
  <c r="ED573" i="1" s="1"/>
  <c r="EK574" i="1"/>
  <c r="EL574" i="1" s="1"/>
  <c r="ED574" i="1" s="1"/>
  <c r="EK575" i="1"/>
  <c r="EL575" i="1" s="1"/>
  <c r="ED575" i="1" s="1"/>
  <c r="EK576" i="1"/>
  <c r="EL576" i="1" s="1"/>
  <c r="ED576" i="1" s="1"/>
  <c r="EK577" i="1"/>
  <c r="EL577" i="1" s="1"/>
  <c r="ED577" i="1" s="1"/>
  <c r="EK578" i="1"/>
  <c r="EL578" i="1" s="1"/>
  <c r="ED578" i="1" s="1"/>
  <c r="EK579" i="1"/>
  <c r="EL579" i="1" s="1"/>
  <c r="ED579" i="1" s="1"/>
  <c r="EK580" i="1"/>
  <c r="EL580" i="1" s="1"/>
  <c r="ED580" i="1" s="1"/>
  <c r="EK581" i="1"/>
  <c r="EL581" i="1" s="1"/>
  <c r="ED581" i="1" s="1"/>
  <c r="EK582" i="1"/>
  <c r="EL582" i="1" s="1"/>
  <c r="ED582" i="1" s="1"/>
  <c r="EK583" i="1"/>
  <c r="EL583" i="1" s="1"/>
  <c r="ED583" i="1" s="1"/>
  <c r="EK584" i="1"/>
  <c r="EL584" i="1" s="1"/>
  <c r="ED584" i="1" s="1"/>
  <c r="EK585" i="1"/>
  <c r="EL585" i="1" s="1"/>
  <c r="ED585" i="1" s="1"/>
  <c r="EK586" i="1"/>
  <c r="EL586" i="1" s="1"/>
  <c r="ED586" i="1" s="1"/>
  <c r="EK587" i="1"/>
  <c r="EL587" i="1" s="1"/>
  <c r="ED587" i="1" s="1"/>
  <c r="EK588" i="1"/>
  <c r="EL588" i="1" s="1"/>
  <c r="ED588" i="1" s="1"/>
  <c r="EK589" i="1"/>
  <c r="EL589" i="1" s="1"/>
  <c r="ED589" i="1" s="1"/>
  <c r="EK590" i="1"/>
  <c r="EL590" i="1" s="1"/>
  <c r="ED590" i="1" s="1"/>
  <c r="EK591" i="1"/>
  <c r="EL591" i="1" s="1"/>
  <c r="ED591" i="1" s="1"/>
  <c r="EK592" i="1"/>
  <c r="EL592" i="1" s="1"/>
  <c r="ED592" i="1" s="1"/>
  <c r="EK676" i="1"/>
  <c r="EL676" i="1" s="1"/>
  <c r="ED676" i="1" s="1"/>
  <c r="EK677" i="1"/>
  <c r="EL677" i="1" s="1"/>
  <c r="ED677" i="1" s="1"/>
  <c r="EK678" i="1"/>
  <c r="EL678" i="1" s="1"/>
  <c r="ED678" i="1" s="1"/>
  <c r="EK679" i="1"/>
  <c r="EL679" i="1" s="1"/>
  <c r="ED679" i="1" s="1"/>
  <c r="EK680" i="1"/>
  <c r="EL680" i="1" s="1"/>
  <c r="ED680" i="1" s="1"/>
  <c r="EK681" i="1"/>
  <c r="EL681" i="1" s="1"/>
  <c r="ED681" i="1" s="1"/>
  <c r="EK879" i="1"/>
  <c r="EL879" i="1" s="1"/>
  <c r="ED879" i="1" s="1"/>
  <c r="EK880" i="1"/>
  <c r="EL880" i="1" s="1"/>
  <c r="ED880" i="1" s="1"/>
  <c r="EK881" i="1"/>
  <c r="EL881" i="1" s="1"/>
  <c r="ED881" i="1" s="1"/>
  <c r="EK882" i="1"/>
  <c r="EL882" i="1" s="1"/>
  <c r="ED882" i="1" s="1"/>
  <c r="EK883" i="1"/>
  <c r="EL883" i="1" s="1"/>
  <c r="ED883" i="1" s="1"/>
  <c r="EK884" i="1"/>
  <c r="EL884" i="1" s="1"/>
  <c r="ED884" i="1" s="1"/>
  <c r="EK885" i="1"/>
  <c r="EL885" i="1" s="1"/>
  <c r="ED885" i="1" s="1"/>
  <c r="EK886" i="1"/>
  <c r="EL886" i="1" s="1"/>
  <c r="ED886" i="1" s="1"/>
  <c r="EK887" i="1"/>
  <c r="EL887" i="1" s="1"/>
  <c r="ED887" i="1" s="1"/>
  <c r="EK888" i="1"/>
  <c r="EL888" i="1" s="1"/>
  <c r="ED888" i="1" s="1"/>
  <c r="EK889" i="1"/>
  <c r="EL889" i="1" s="1"/>
  <c r="ED889" i="1" s="1"/>
  <c r="EK890" i="1"/>
  <c r="EL890" i="1" s="1"/>
  <c r="ED890" i="1" s="1"/>
  <c r="EK891" i="1"/>
  <c r="EL891" i="1" s="1"/>
  <c r="ED891" i="1" s="1"/>
  <c r="EK892" i="1"/>
  <c r="EL892" i="1" s="1"/>
  <c r="ED892" i="1" s="1"/>
  <c r="EK893" i="1"/>
  <c r="EL893" i="1" s="1"/>
  <c r="ED893" i="1" s="1"/>
  <c r="EK894" i="1"/>
  <c r="EL894" i="1" s="1"/>
  <c r="ED894" i="1" s="1"/>
  <c r="EK895" i="1"/>
  <c r="EL895" i="1" s="1"/>
  <c r="ED895" i="1" s="1"/>
  <c r="EK896" i="1"/>
  <c r="EL896" i="1" s="1"/>
  <c r="ED896" i="1" s="1"/>
  <c r="EK897" i="1"/>
  <c r="EL897" i="1" s="1"/>
  <c r="ED897" i="1" s="1"/>
  <c r="EK898" i="1"/>
  <c r="EL898" i="1" s="1"/>
  <c r="ED898" i="1" s="1"/>
  <c r="EK899" i="1"/>
  <c r="EL899" i="1" s="1"/>
  <c r="ED899" i="1" s="1"/>
  <c r="EK900" i="1"/>
  <c r="EL900" i="1" s="1"/>
  <c r="ED900" i="1" s="1"/>
  <c r="EK901" i="1"/>
  <c r="EL901" i="1" s="1"/>
  <c r="ED901" i="1" s="1"/>
  <c r="EK902" i="1"/>
  <c r="EL902" i="1" s="1"/>
  <c r="ED902" i="1" s="1"/>
  <c r="EK903" i="1"/>
  <c r="EL903" i="1" s="1"/>
  <c r="ED903" i="1" s="1"/>
  <c r="EK904" i="1"/>
  <c r="EL904" i="1" s="1"/>
  <c r="ED904" i="1" s="1"/>
  <c r="EK905" i="1"/>
  <c r="EL905" i="1" s="1"/>
  <c r="ED905" i="1" s="1"/>
  <c r="EK906" i="1"/>
  <c r="EL906" i="1" s="1"/>
  <c r="ED906" i="1" s="1"/>
  <c r="EK907" i="1"/>
  <c r="EL907" i="1" s="1"/>
  <c r="ED907" i="1" s="1"/>
  <c r="EK908" i="1"/>
  <c r="EL908" i="1" s="1"/>
  <c r="ED908" i="1" s="1"/>
  <c r="EK909" i="1"/>
  <c r="EL909" i="1" s="1"/>
  <c r="ED909" i="1" s="1"/>
  <c r="EK910" i="1"/>
  <c r="EL910" i="1" s="1"/>
  <c r="ED910" i="1" s="1"/>
  <c r="EK911" i="1"/>
  <c r="EL911" i="1" s="1"/>
  <c r="ED911" i="1" s="1"/>
  <c r="EK912" i="1"/>
  <c r="EL912" i="1" s="1"/>
  <c r="ED912" i="1" s="1"/>
  <c r="EK913" i="1"/>
  <c r="EL913" i="1" s="1"/>
  <c r="ED913" i="1" s="1"/>
  <c r="EK914" i="1"/>
  <c r="EL914" i="1" s="1"/>
  <c r="ED914" i="1" s="1"/>
  <c r="EK915" i="1"/>
  <c r="EL915" i="1" s="1"/>
  <c r="ED915" i="1" s="1"/>
  <c r="EK916" i="1"/>
  <c r="EL916" i="1" s="1"/>
  <c r="ED916" i="1" s="1"/>
  <c r="EK917" i="1"/>
  <c r="EL917" i="1" s="1"/>
  <c r="ED917" i="1" s="1"/>
  <c r="EK918" i="1"/>
  <c r="EL918" i="1" s="1"/>
  <c r="ED918" i="1" s="1"/>
  <c r="EK919" i="1"/>
  <c r="EL919" i="1" s="1"/>
  <c r="ED919" i="1" s="1"/>
  <c r="EK920" i="1"/>
  <c r="EL920" i="1" s="1"/>
  <c r="ED920" i="1" s="1"/>
  <c r="EK921" i="1"/>
  <c r="EL921" i="1" s="1"/>
  <c r="ED921" i="1" s="1"/>
  <c r="EK922" i="1"/>
  <c r="EL922" i="1" s="1"/>
  <c r="ED922" i="1" s="1"/>
  <c r="EK923" i="1"/>
  <c r="EL923" i="1" s="1"/>
  <c r="ED923" i="1" s="1"/>
  <c r="EK924" i="1"/>
  <c r="EL924" i="1" s="1"/>
  <c r="ED924" i="1" s="1"/>
  <c r="EK925" i="1"/>
  <c r="EL925" i="1" s="1"/>
  <c r="ED925" i="1" s="1"/>
  <c r="EK926" i="1"/>
  <c r="EL926" i="1" s="1"/>
  <c r="ED926" i="1" s="1"/>
  <c r="EK927" i="1"/>
  <c r="EL927" i="1" s="1"/>
  <c r="ED927" i="1" s="1"/>
  <c r="EK928" i="1"/>
  <c r="EL928" i="1" s="1"/>
  <c r="ED928" i="1" s="1"/>
  <c r="EK929" i="1"/>
  <c r="EL929" i="1" s="1"/>
  <c r="ED929" i="1" s="1"/>
  <c r="EK930" i="1"/>
  <c r="EL930" i="1" s="1"/>
  <c r="ED930" i="1" s="1"/>
  <c r="EK931" i="1"/>
  <c r="EL931" i="1" s="1"/>
  <c r="ED931" i="1" s="1"/>
  <c r="EK932" i="1"/>
  <c r="EL932" i="1" s="1"/>
  <c r="ED932" i="1" s="1"/>
  <c r="EK933" i="1"/>
  <c r="EL933" i="1" s="1"/>
  <c r="ED933" i="1" s="1"/>
  <c r="EK934" i="1"/>
  <c r="EL934" i="1" s="1"/>
  <c r="ED934" i="1" s="1"/>
  <c r="EK935" i="1"/>
  <c r="EL935" i="1" s="1"/>
  <c r="ED935" i="1" s="1"/>
  <c r="EK936" i="1"/>
  <c r="EL936" i="1" s="1"/>
  <c r="ED936" i="1" s="1"/>
  <c r="EK937" i="1"/>
  <c r="EL937" i="1" s="1"/>
  <c r="ED937" i="1" s="1"/>
  <c r="EK938" i="1"/>
  <c r="EL938" i="1" s="1"/>
  <c r="ED938" i="1" s="1"/>
  <c r="EK939" i="1"/>
  <c r="EL939" i="1" s="1"/>
  <c r="ED939" i="1" s="1"/>
  <c r="EK940" i="1"/>
  <c r="EL940" i="1" s="1"/>
  <c r="ED940" i="1" s="1"/>
  <c r="EK941" i="1"/>
  <c r="EL941" i="1" s="1"/>
  <c r="ED941" i="1" s="1"/>
  <c r="EK942" i="1"/>
  <c r="EL942" i="1" s="1"/>
  <c r="ED942" i="1" s="1"/>
  <c r="EK943" i="1"/>
  <c r="EL943" i="1" s="1"/>
  <c r="ED943" i="1" s="1"/>
  <c r="EK944" i="1"/>
  <c r="EL944" i="1" s="1"/>
  <c r="ED944" i="1" s="1"/>
  <c r="EK945" i="1"/>
  <c r="EL945" i="1" s="1"/>
  <c r="ED945" i="1" s="1"/>
  <c r="EK946" i="1"/>
  <c r="EL946" i="1" s="1"/>
  <c r="ED946" i="1" s="1"/>
  <c r="EK947" i="1"/>
  <c r="EL947" i="1" s="1"/>
  <c r="ED947" i="1" s="1"/>
  <c r="EK948" i="1"/>
  <c r="EL948" i="1" s="1"/>
  <c r="ED948" i="1" s="1"/>
  <c r="EK949" i="1"/>
  <c r="EL949" i="1" s="1"/>
  <c r="ED949" i="1" s="1"/>
  <c r="EK950" i="1"/>
  <c r="EL950" i="1" s="1"/>
  <c r="ED950" i="1" s="1"/>
  <c r="EK951" i="1"/>
  <c r="EL951" i="1" s="1"/>
  <c r="ED951" i="1" s="1"/>
  <c r="EK952" i="1"/>
  <c r="EL952" i="1" s="1"/>
  <c r="ED952" i="1" s="1"/>
  <c r="EK1011" i="1"/>
  <c r="EL1011" i="1" s="1"/>
  <c r="ED1011" i="1" s="1"/>
  <c r="EK1012" i="1"/>
  <c r="EL1012" i="1" s="1"/>
  <c r="ED1012" i="1" s="1"/>
  <c r="EK1013" i="1"/>
  <c r="EL1013" i="1" s="1"/>
  <c r="ED1013" i="1" s="1"/>
  <c r="EK1014" i="1"/>
  <c r="EL1014" i="1" s="1"/>
  <c r="ED1014" i="1" s="1"/>
  <c r="EK1015" i="1"/>
  <c r="EL1015" i="1" s="1"/>
  <c r="ED1015" i="1" s="1"/>
  <c r="EK1016" i="1"/>
  <c r="EL1016" i="1" s="1"/>
  <c r="ED1016" i="1" s="1"/>
  <c r="EK1017" i="1"/>
  <c r="EL1017" i="1" s="1"/>
  <c r="ED1017" i="1" s="1"/>
  <c r="EK1018" i="1"/>
  <c r="EL1018" i="1" s="1"/>
  <c r="ED1018" i="1" s="1"/>
  <c r="EK1019" i="1"/>
  <c r="EL1019" i="1" s="1"/>
  <c r="ED1019" i="1" s="1"/>
  <c r="EI731" i="1"/>
  <c r="EJ731" i="1"/>
  <c r="EI732" i="1"/>
  <c r="EJ732" i="1"/>
  <c r="EI733" i="1"/>
  <c r="EJ733" i="1"/>
  <c r="EI834" i="1"/>
  <c r="EJ834" i="1"/>
  <c r="EI974" i="1"/>
  <c r="EJ974" i="1"/>
  <c r="EI976" i="1"/>
  <c r="EJ976" i="1"/>
  <c r="EI977" i="1"/>
  <c r="EJ977" i="1"/>
  <c r="EI978" i="1"/>
  <c r="EJ978" i="1"/>
  <c r="EI979" i="1"/>
  <c r="EJ979" i="1"/>
  <c r="EI980" i="1"/>
  <c r="EJ980" i="1"/>
  <c r="EI982" i="1"/>
  <c r="EJ982" i="1"/>
  <c r="EI984" i="1"/>
  <c r="EJ984" i="1"/>
  <c r="EI986" i="1"/>
  <c r="EJ986" i="1"/>
  <c r="EI1003" i="1"/>
  <c r="EJ1003" i="1"/>
  <c r="EI1056" i="1"/>
  <c r="EJ1056" i="1"/>
  <c r="EI1057" i="1"/>
  <c r="EJ1057" i="1"/>
  <c r="EI1102" i="1"/>
  <c r="EJ1102" i="1"/>
  <c r="EI1103" i="1"/>
  <c r="EJ1103" i="1"/>
  <c r="EI522" i="1"/>
  <c r="EJ522" i="1"/>
  <c r="EI524" i="1"/>
  <c r="EJ524" i="1"/>
  <c r="EI526" i="1"/>
  <c r="EJ526" i="1"/>
  <c r="EI530" i="1"/>
  <c r="EJ530" i="1"/>
  <c r="EI531" i="1"/>
  <c r="EJ531" i="1"/>
  <c r="EI532" i="1"/>
  <c r="EJ532" i="1"/>
  <c r="EI536" i="1"/>
  <c r="EJ536" i="1"/>
  <c r="EI537" i="1"/>
  <c r="EJ537" i="1"/>
  <c r="EI538" i="1"/>
  <c r="EJ538" i="1"/>
  <c r="EI540" i="1"/>
  <c r="EJ540" i="1"/>
  <c r="EI541" i="1"/>
  <c r="EJ541" i="1"/>
  <c r="EI543" i="1"/>
  <c r="EJ543" i="1"/>
  <c r="EI544" i="1"/>
  <c r="EJ544" i="1"/>
  <c r="EI547" i="1"/>
  <c r="EJ547" i="1"/>
  <c r="EI550" i="1"/>
  <c r="EJ550" i="1"/>
  <c r="EI552" i="1"/>
  <c r="EJ552" i="1"/>
  <c r="EI554" i="1"/>
  <c r="EJ554" i="1"/>
  <c r="EI557" i="1"/>
  <c r="EJ557" i="1"/>
  <c r="EI559" i="1"/>
  <c r="EJ559" i="1"/>
  <c r="EI560" i="1"/>
  <c r="EJ560" i="1"/>
  <c r="EI471" i="1"/>
  <c r="EJ471" i="1"/>
  <c r="EI475" i="1"/>
  <c r="EJ475" i="1"/>
  <c r="EI479" i="1"/>
  <c r="EJ479" i="1"/>
  <c r="EI481" i="1"/>
  <c r="EJ481" i="1"/>
  <c r="EI482" i="1"/>
  <c r="EJ482" i="1"/>
  <c r="EI485" i="1"/>
  <c r="EJ485" i="1"/>
  <c r="EI488" i="1"/>
  <c r="EJ488" i="1"/>
  <c r="EI489" i="1"/>
  <c r="EJ489" i="1"/>
  <c r="EI491" i="1"/>
  <c r="EJ491" i="1"/>
  <c r="EI495" i="1"/>
  <c r="EJ495" i="1"/>
  <c r="EI496" i="1"/>
  <c r="EJ496" i="1"/>
  <c r="EI498" i="1"/>
  <c r="EJ498" i="1"/>
  <c r="EI500" i="1"/>
  <c r="EJ500" i="1"/>
  <c r="EI504" i="1"/>
  <c r="EJ504" i="1"/>
  <c r="EI505" i="1"/>
  <c r="EJ505" i="1"/>
  <c r="EI506" i="1"/>
  <c r="EJ506" i="1"/>
  <c r="EI508" i="1"/>
  <c r="EJ508" i="1"/>
  <c r="EI510" i="1"/>
  <c r="EJ510" i="1"/>
  <c r="EI512" i="1"/>
  <c r="EJ512" i="1"/>
  <c r="EI513" i="1"/>
  <c r="EJ513" i="1"/>
  <c r="EI514" i="1"/>
  <c r="EJ514" i="1"/>
  <c r="EI515" i="1"/>
  <c r="EJ515" i="1"/>
  <c r="EI617" i="1"/>
  <c r="EJ617" i="1"/>
  <c r="EI618" i="1"/>
  <c r="EJ618" i="1"/>
  <c r="EI619" i="1"/>
  <c r="EJ619" i="1"/>
  <c r="EI620" i="1"/>
  <c r="EJ620" i="1"/>
  <c r="EI621" i="1"/>
  <c r="EJ621" i="1"/>
  <c r="EI622" i="1"/>
  <c r="EJ622" i="1"/>
  <c r="EI623" i="1"/>
  <c r="EJ623" i="1"/>
  <c r="EI624" i="1"/>
  <c r="EJ624" i="1"/>
  <c r="EI625" i="1"/>
  <c r="EJ625" i="1"/>
  <c r="EI682" i="1"/>
  <c r="EJ682" i="1"/>
  <c r="EI683" i="1"/>
  <c r="EJ683" i="1"/>
  <c r="EI685" i="1"/>
  <c r="EJ685" i="1"/>
  <c r="EI686" i="1"/>
  <c r="EJ686" i="1"/>
  <c r="EI687" i="1"/>
  <c r="EJ687" i="1"/>
  <c r="EI688" i="1"/>
  <c r="EJ688" i="1"/>
  <c r="EI689" i="1"/>
  <c r="EJ689" i="1"/>
  <c r="EI690" i="1"/>
  <c r="EJ690" i="1"/>
  <c r="EI691" i="1"/>
  <c r="EJ691" i="1"/>
  <c r="EI692" i="1"/>
  <c r="EJ692" i="1"/>
  <c r="EI693" i="1"/>
  <c r="EJ693" i="1"/>
  <c r="EI694" i="1"/>
  <c r="EJ694" i="1"/>
  <c r="EI695" i="1"/>
  <c r="EJ695" i="1"/>
  <c r="EI696" i="1"/>
  <c r="EJ696" i="1"/>
  <c r="EI697" i="1"/>
  <c r="EJ697" i="1"/>
  <c r="EI698" i="1"/>
  <c r="EJ698" i="1"/>
  <c r="EI699" i="1"/>
  <c r="EJ699" i="1"/>
  <c r="EI700" i="1"/>
  <c r="EJ700" i="1"/>
  <c r="EI701" i="1"/>
  <c r="EJ701" i="1"/>
  <c r="EI702" i="1"/>
  <c r="EJ702" i="1"/>
  <c r="EI703" i="1"/>
  <c r="EJ703" i="1"/>
  <c r="EI704" i="1"/>
  <c r="EJ704" i="1"/>
  <c r="EI707" i="1"/>
  <c r="EJ707" i="1"/>
  <c r="EI708" i="1"/>
  <c r="EJ708" i="1"/>
  <c r="EI710" i="1"/>
  <c r="EJ710" i="1"/>
  <c r="EI711" i="1"/>
  <c r="EJ711" i="1"/>
  <c r="EI712" i="1"/>
  <c r="EJ712" i="1"/>
  <c r="EI714" i="1"/>
  <c r="EJ714" i="1"/>
  <c r="EI715" i="1"/>
  <c r="EJ715" i="1"/>
  <c r="EI716" i="1"/>
  <c r="EJ716" i="1"/>
  <c r="EI717" i="1"/>
  <c r="EJ717" i="1"/>
  <c r="EI718" i="1"/>
  <c r="EJ718" i="1"/>
  <c r="EI719" i="1"/>
  <c r="EJ719" i="1"/>
  <c r="EI721" i="1"/>
  <c r="EJ721" i="1"/>
  <c r="EI722" i="1"/>
  <c r="EJ722" i="1"/>
  <c r="EI724" i="1"/>
  <c r="EJ724" i="1"/>
  <c r="EI725" i="1"/>
  <c r="EJ725" i="1"/>
  <c r="EI727" i="1"/>
  <c r="EJ727" i="1"/>
  <c r="EI729" i="1"/>
  <c r="EJ729" i="1"/>
  <c r="EI516" i="1"/>
  <c r="EJ516" i="1"/>
  <c r="EI517" i="1"/>
  <c r="EJ517" i="1"/>
  <c r="EI527" i="1"/>
  <c r="EJ527" i="1"/>
  <c r="EI528" i="1"/>
  <c r="EJ528" i="1"/>
  <c r="EI529" i="1"/>
  <c r="EJ529" i="1"/>
  <c r="EI627" i="1"/>
  <c r="EJ627" i="1"/>
  <c r="EI628" i="1"/>
  <c r="EJ628" i="1"/>
  <c r="EI629" i="1"/>
  <c r="EJ629" i="1"/>
  <c r="EI630" i="1"/>
  <c r="EJ630" i="1"/>
  <c r="EI631" i="1"/>
  <c r="EJ631" i="1"/>
  <c r="EI632" i="1"/>
  <c r="EJ632" i="1"/>
  <c r="EI633" i="1"/>
  <c r="EJ633" i="1"/>
  <c r="EI634" i="1"/>
  <c r="EJ634" i="1"/>
  <c r="EI635" i="1"/>
  <c r="EJ635" i="1"/>
  <c r="EI734" i="1"/>
  <c r="EJ734" i="1"/>
  <c r="EI836" i="1"/>
  <c r="EJ836" i="1"/>
  <c r="EI837" i="1"/>
  <c r="EJ837" i="1"/>
  <c r="EI838" i="1"/>
  <c r="EJ838" i="1"/>
  <c r="EI839" i="1"/>
  <c r="EJ839" i="1"/>
  <c r="EI840" i="1"/>
  <c r="EJ840" i="1"/>
  <c r="EI841" i="1"/>
  <c r="EJ841" i="1"/>
  <c r="EI842" i="1"/>
  <c r="EJ842" i="1"/>
  <c r="EI843" i="1"/>
  <c r="EJ843" i="1"/>
  <c r="EI844" i="1"/>
  <c r="EJ844" i="1"/>
  <c r="EI845" i="1"/>
  <c r="EJ845" i="1"/>
  <c r="EI846" i="1"/>
  <c r="EJ846" i="1"/>
  <c r="EI847" i="1"/>
  <c r="EJ847" i="1"/>
  <c r="EI848" i="1"/>
  <c r="EJ848" i="1"/>
  <c r="EI851" i="1"/>
  <c r="EJ851" i="1"/>
  <c r="EI852" i="1"/>
  <c r="EJ852" i="1"/>
  <c r="EI853" i="1"/>
  <c r="EJ853" i="1"/>
  <c r="EI854" i="1"/>
  <c r="EJ854" i="1"/>
  <c r="EI857" i="1"/>
  <c r="EJ857" i="1"/>
  <c r="EI858" i="1"/>
  <c r="EJ858" i="1"/>
  <c r="EI859" i="1"/>
  <c r="EJ859" i="1"/>
  <c r="EI860" i="1"/>
  <c r="EJ860" i="1"/>
  <c r="EI861" i="1"/>
  <c r="EJ861" i="1"/>
  <c r="EI862" i="1"/>
  <c r="EJ862" i="1"/>
  <c r="EI863" i="1"/>
  <c r="EJ863" i="1"/>
  <c r="EI864" i="1"/>
  <c r="EJ864" i="1"/>
  <c r="EI865" i="1"/>
  <c r="EJ865" i="1"/>
  <c r="EI867" i="1"/>
  <c r="EJ867" i="1"/>
  <c r="EI868" i="1"/>
  <c r="EJ868" i="1"/>
  <c r="EI869" i="1"/>
  <c r="EJ869" i="1"/>
  <c r="EI871" i="1"/>
  <c r="EJ871" i="1"/>
  <c r="EI872" i="1"/>
  <c r="EJ872" i="1"/>
  <c r="EI873" i="1"/>
  <c r="EJ873" i="1"/>
  <c r="EI874" i="1"/>
  <c r="EJ874" i="1"/>
  <c r="EI875" i="1"/>
  <c r="EJ875" i="1"/>
  <c r="EI876" i="1"/>
  <c r="EJ876" i="1"/>
  <c r="EI877" i="1"/>
  <c r="EJ877" i="1"/>
  <c r="EI878" i="1"/>
  <c r="EJ878" i="1"/>
  <c r="EI1055" i="1"/>
  <c r="EJ1055" i="1"/>
  <c r="EI1060" i="1"/>
  <c r="EJ1060" i="1"/>
  <c r="EI1062" i="1"/>
  <c r="EJ1062" i="1"/>
  <c r="EI1063" i="1"/>
  <c r="EJ1063" i="1"/>
  <c r="EI1064" i="1"/>
  <c r="EJ1064" i="1"/>
  <c r="EI1065" i="1"/>
  <c r="EJ1065" i="1"/>
  <c r="EI1066" i="1"/>
  <c r="EJ1066" i="1"/>
  <c r="EI1070" i="1"/>
  <c r="EJ1070" i="1"/>
  <c r="EI1071" i="1"/>
  <c r="EJ1071" i="1"/>
  <c r="EI1072" i="1"/>
  <c r="EJ1072" i="1"/>
  <c r="EI1073" i="1"/>
  <c r="EJ1073" i="1"/>
  <c r="EI1074" i="1"/>
  <c r="EJ1074" i="1"/>
  <c r="EI1075" i="1"/>
  <c r="EJ1075" i="1"/>
  <c r="EI1076" i="1"/>
  <c r="EJ1076" i="1"/>
  <c r="EI1077" i="1"/>
  <c r="EJ1077" i="1"/>
  <c r="EI1078" i="1"/>
  <c r="EJ1078" i="1"/>
  <c r="EI1079" i="1"/>
  <c r="EJ1079" i="1"/>
  <c r="EI1080" i="1"/>
  <c r="EJ1080" i="1"/>
  <c r="EI1081" i="1"/>
  <c r="EJ1081" i="1"/>
  <c r="EI1083" i="1"/>
  <c r="EJ1083" i="1"/>
  <c r="EI1084" i="1"/>
  <c r="EJ1084" i="1"/>
  <c r="EI1085" i="1"/>
  <c r="EJ1085" i="1"/>
  <c r="EI1101" i="1"/>
  <c r="EJ1101" i="1"/>
  <c r="EI519" i="1"/>
  <c r="EJ519" i="1"/>
  <c r="EI521" i="1"/>
  <c r="EJ521" i="1"/>
  <c r="EI566" i="1"/>
  <c r="EJ566" i="1"/>
  <c r="EI636" i="1"/>
  <c r="EJ636" i="1"/>
  <c r="EI637" i="1"/>
  <c r="EJ637" i="1"/>
  <c r="EI638" i="1"/>
  <c r="EJ638" i="1"/>
  <c r="EI639" i="1"/>
  <c r="EJ639" i="1"/>
  <c r="EI641" i="1"/>
  <c r="EJ641" i="1"/>
  <c r="EI642" i="1"/>
  <c r="EJ642" i="1"/>
  <c r="EI643" i="1"/>
  <c r="EJ643" i="1"/>
  <c r="EI644" i="1"/>
  <c r="EJ644" i="1"/>
  <c r="EI645" i="1"/>
  <c r="EJ645" i="1"/>
  <c r="EI646" i="1"/>
  <c r="EJ646" i="1"/>
  <c r="EI647" i="1"/>
  <c r="EJ647" i="1"/>
  <c r="EI648" i="1"/>
  <c r="EJ648" i="1"/>
  <c r="EI649" i="1"/>
  <c r="EJ649" i="1"/>
  <c r="EI650" i="1"/>
  <c r="EJ650" i="1"/>
  <c r="EI651" i="1"/>
  <c r="EJ651" i="1"/>
  <c r="EI652" i="1"/>
  <c r="EJ652" i="1"/>
  <c r="EI653" i="1"/>
  <c r="EJ653" i="1"/>
  <c r="EI654" i="1"/>
  <c r="EJ654" i="1"/>
  <c r="EI655" i="1"/>
  <c r="EJ655" i="1"/>
  <c r="EI656" i="1"/>
  <c r="EJ656" i="1"/>
  <c r="EI657" i="1"/>
  <c r="EJ657" i="1"/>
  <c r="EI658" i="1"/>
  <c r="EJ658" i="1"/>
  <c r="EI659" i="1"/>
  <c r="EJ659" i="1"/>
  <c r="EI660" i="1"/>
  <c r="EJ660" i="1"/>
  <c r="EI661" i="1"/>
  <c r="EJ661" i="1"/>
  <c r="EI662" i="1"/>
  <c r="EJ662" i="1"/>
  <c r="EI664" i="1"/>
  <c r="EJ664" i="1"/>
  <c r="EI665" i="1"/>
  <c r="EJ665" i="1"/>
  <c r="EI666" i="1"/>
  <c r="EJ666" i="1"/>
  <c r="EI667" i="1"/>
  <c r="EJ667" i="1"/>
  <c r="EI668" i="1"/>
  <c r="EJ668" i="1"/>
  <c r="EI669" i="1"/>
  <c r="EJ669" i="1"/>
  <c r="EI670" i="1"/>
  <c r="EJ670" i="1"/>
  <c r="EI673" i="1"/>
  <c r="EJ673" i="1"/>
  <c r="EI674" i="1"/>
  <c r="EJ674" i="1"/>
  <c r="EI675" i="1"/>
  <c r="EJ675" i="1"/>
  <c r="EI737" i="1"/>
  <c r="EJ737" i="1"/>
  <c r="EI739" i="1"/>
  <c r="EJ739" i="1"/>
  <c r="EI740" i="1"/>
  <c r="EJ740" i="1"/>
  <c r="EI742" i="1"/>
  <c r="EJ742" i="1"/>
  <c r="EI743" i="1"/>
  <c r="EJ743" i="1"/>
  <c r="EI744" i="1"/>
  <c r="EJ744" i="1"/>
  <c r="EI746" i="1"/>
  <c r="EJ746" i="1"/>
  <c r="EI747" i="1"/>
  <c r="EJ747" i="1"/>
  <c r="EI748" i="1"/>
  <c r="EJ748" i="1"/>
  <c r="EI750" i="1"/>
  <c r="EJ750" i="1"/>
  <c r="EI751" i="1"/>
  <c r="EJ751" i="1"/>
  <c r="EI753" i="1"/>
  <c r="EJ753" i="1"/>
  <c r="EI754" i="1"/>
  <c r="EJ754" i="1"/>
  <c r="EI755" i="1"/>
  <c r="EJ755" i="1"/>
  <c r="EI756" i="1"/>
  <c r="EJ756" i="1"/>
  <c r="EI757" i="1"/>
  <c r="EJ757" i="1"/>
  <c r="EI758" i="1"/>
  <c r="EJ758" i="1"/>
  <c r="EI759" i="1"/>
  <c r="EJ759" i="1"/>
  <c r="EI760" i="1"/>
  <c r="EJ760" i="1"/>
  <c r="EI761" i="1"/>
  <c r="EJ761" i="1"/>
  <c r="EI762" i="1"/>
  <c r="EJ762" i="1"/>
  <c r="EI764" i="1"/>
  <c r="EJ764" i="1"/>
  <c r="EI765" i="1"/>
  <c r="EJ765" i="1"/>
  <c r="EI766" i="1"/>
  <c r="EJ766" i="1"/>
  <c r="EI768" i="1"/>
  <c r="EJ768" i="1"/>
  <c r="EI769" i="1"/>
  <c r="EJ769" i="1"/>
  <c r="EI770" i="1"/>
  <c r="EJ770" i="1"/>
  <c r="EI771" i="1"/>
  <c r="EJ771" i="1"/>
  <c r="EI772" i="1"/>
  <c r="EJ772" i="1"/>
  <c r="EI773" i="1"/>
  <c r="EJ773" i="1"/>
  <c r="EI775" i="1"/>
  <c r="EJ775" i="1"/>
  <c r="EI776" i="1"/>
  <c r="EJ776" i="1"/>
  <c r="EI777" i="1"/>
  <c r="EJ777" i="1"/>
  <c r="EI778" i="1"/>
  <c r="EJ778" i="1"/>
  <c r="EI779" i="1"/>
  <c r="EJ779" i="1"/>
  <c r="EI780" i="1"/>
  <c r="EJ780" i="1"/>
  <c r="EI781" i="1"/>
  <c r="EJ781" i="1"/>
  <c r="EI782" i="1"/>
  <c r="EJ782" i="1"/>
  <c r="EI783" i="1"/>
  <c r="EJ783" i="1"/>
  <c r="EI786" i="1"/>
  <c r="EJ786" i="1"/>
  <c r="EI787" i="1"/>
  <c r="EJ787" i="1"/>
  <c r="EI788" i="1"/>
  <c r="EJ788" i="1"/>
  <c r="EI789" i="1"/>
  <c r="EJ789" i="1"/>
  <c r="EI790" i="1"/>
  <c r="EJ790" i="1"/>
  <c r="EI791" i="1"/>
  <c r="EJ791" i="1"/>
  <c r="EI792" i="1"/>
  <c r="EJ792" i="1"/>
  <c r="EI794" i="1"/>
  <c r="EJ794" i="1"/>
  <c r="EI795" i="1"/>
  <c r="EJ795" i="1"/>
  <c r="EI796" i="1"/>
  <c r="EJ796" i="1"/>
  <c r="EI799" i="1"/>
  <c r="EJ799" i="1"/>
  <c r="EI800" i="1"/>
  <c r="EJ800" i="1"/>
  <c r="EI801" i="1"/>
  <c r="EJ801" i="1"/>
  <c r="EI802" i="1"/>
  <c r="EJ802" i="1"/>
  <c r="EI803" i="1"/>
  <c r="EJ803" i="1"/>
  <c r="EI804" i="1"/>
  <c r="EJ804" i="1"/>
  <c r="EI805" i="1"/>
  <c r="EJ805" i="1"/>
  <c r="EI806" i="1"/>
  <c r="EJ806" i="1"/>
  <c r="EI808" i="1"/>
  <c r="EJ808" i="1"/>
  <c r="EI809" i="1"/>
  <c r="EJ809" i="1"/>
  <c r="EI810" i="1"/>
  <c r="EJ810" i="1"/>
  <c r="EI811" i="1"/>
  <c r="EJ811" i="1"/>
  <c r="EI812" i="1"/>
  <c r="EJ812" i="1"/>
  <c r="EI813" i="1"/>
  <c r="EJ813" i="1"/>
  <c r="EI814" i="1"/>
  <c r="EJ814" i="1"/>
  <c r="EI815" i="1"/>
  <c r="EJ815" i="1"/>
  <c r="EI816" i="1"/>
  <c r="EJ816" i="1"/>
  <c r="EI818" i="1"/>
  <c r="EJ818" i="1"/>
  <c r="EI819" i="1"/>
  <c r="EJ819" i="1"/>
  <c r="EI820" i="1"/>
  <c r="EJ820" i="1"/>
  <c r="EI821" i="1"/>
  <c r="EJ821" i="1"/>
  <c r="EI822" i="1"/>
  <c r="EJ822" i="1"/>
  <c r="EI879" i="1"/>
  <c r="EJ879" i="1"/>
  <c r="EI880" i="1"/>
  <c r="EJ880" i="1"/>
  <c r="EI882" i="1"/>
  <c r="EJ882" i="1"/>
  <c r="EI883" i="1"/>
  <c r="EJ883" i="1"/>
  <c r="EI885" i="1"/>
  <c r="EJ885" i="1"/>
  <c r="EI886" i="1"/>
  <c r="EJ886" i="1"/>
  <c r="EI887" i="1"/>
  <c r="EJ887" i="1"/>
  <c r="EI889" i="1"/>
  <c r="EJ889" i="1"/>
  <c r="EI890" i="1"/>
  <c r="EJ890" i="1"/>
  <c r="EI892" i="1"/>
  <c r="EJ892" i="1"/>
  <c r="EI893" i="1"/>
  <c r="EJ893" i="1"/>
  <c r="EI894" i="1"/>
  <c r="EJ894" i="1"/>
  <c r="EI895" i="1"/>
  <c r="EJ895" i="1"/>
  <c r="EI896" i="1"/>
  <c r="EJ896" i="1"/>
  <c r="EI897" i="1"/>
  <c r="EJ897" i="1"/>
  <c r="EI898" i="1"/>
  <c r="EJ898" i="1"/>
  <c r="EI899" i="1"/>
  <c r="EJ899" i="1"/>
  <c r="EI900" i="1"/>
  <c r="EJ900" i="1"/>
  <c r="EI902" i="1"/>
  <c r="EJ902" i="1"/>
  <c r="EI903" i="1"/>
  <c r="EJ903" i="1"/>
  <c r="EI905" i="1"/>
  <c r="EJ905" i="1"/>
  <c r="EI907" i="1"/>
  <c r="EJ907" i="1"/>
  <c r="EI908" i="1"/>
  <c r="EJ908" i="1"/>
  <c r="EI909" i="1"/>
  <c r="EJ909" i="1"/>
  <c r="EI910" i="1"/>
  <c r="EJ910" i="1"/>
  <c r="EI911" i="1"/>
  <c r="EJ911" i="1"/>
  <c r="EI912" i="1"/>
  <c r="EJ912" i="1"/>
  <c r="EI914" i="1"/>
  <c r="EJ914" i="1"/>
  <c r="EI915" i="1"/>
  <c r="EJ915" i="1"/>
  <c r="EI916" i="1"/>
  <c r="EJ916" i="1"/>
  <c r="EI918" i="1"/>
  <c r="EJ918" i="1"/>
  <c r="EI919" i="1"/>
  <c r="EJ919" i="1"/>
  <c r="EI920" i="1"/>
  <c r="EJ920" i="1"/>
  <c r="EI921" i="1"/>
  <c r="EJ921" i="1"/>
  <c r="EI924" i="1"/>
  <c r="EJ924" i="1"/>
  <c r="EI925" i="1"/>
  <c r="EJ925" i="1"/>
  <c r="EI926" i="1"/>
  <c r="EJ926" i="1"/>
  <c r="EI929" i="1"/>
  <c r="EJ929" i="1"/>
  <c r="EI930" i="1"/>
  <c r="EJ930" i="1"/>
  <c r="EI931" i="1"/>
  <c r="EJ931" i="1"/>
  <c r="EI932" i="1"/>
  <c r="EJ932" i="1"/>
  <c r="EI933" i="1"/>
  <c r="EJ933" i="1"/>
  <c r="EI935" i="1"/>
  <c r="EJ935" i="1"/>
  <c r="EI936" i="1"/>
  <c r="EJ936" i="1"/>
  <c r="EI937" i="1"/>
  <c r="EJ937" i="1"/>
  <c r="EI938" i="1"/>
  <c r="EJ938" i="1"/>
  <c r="EI939" i="1"/>
  <c r="EJ939" i="1"/>
  <c r="EI940" i="1"/>
  <c r="EJ940" i="1"/>
  <c r="EI941" i="1"/>
  <c r="EJ941" i="1"/>
  <c r="EI943" i="1"/>
  <c r="EJ943" i="1"/>
  <c r="EI944" i="1"/>
  <c r="EJ944" i="1"/>
  <c r="EI945" i="1"/>
  <c r="EJ945" i="1"/>
  <c r="EI946" i="1"/>
  <c r="EJ946" i="1"/>
  <c r="EI947" i="1"/>
  <c r="EJ947" i="1"/>
  <c r="EI948" i="1"/>
  <c r="EJ948" i="1"/>
  <c r="EI949" i="1"/>
  <c r="EJ949" i="1"/>
  <c r="EI952" i="1"/>
  <c r="EJ952" i="1"/>
  <c r="EI989" i="1"/>
  <c r="EJ989" i="1"/>
  <c r="EI990" i="1"/>
  <c r="EJ990" i="1"/>
  <c r="EI991" i="1"/>
  <c r="EJ991" i="1"/>
  <c r="EI992" i="1"/>
  <c r="EJ992" i="1"/>
  <c r="EI993" i="1"/>
  <c r="EJ993" i="1"/>
  <c r="EI997" i="1"/>
  <c r="EJ997" i="1"/>
  <c r="EI998" i="1"/>
  <c r="EJ998" i="1"/>
  <c r="EI999" i="1"/>
  <c r="EJ999" i="1"/>
  <c r="EI1000" i="1"/>
  <c r="EJ1000" i="1"/>
  <c r="EI1001" i="1"/>
  <c r="EJ1001" i="1"/>
  <c r="EI1002" i="1"/>
  <c r="EJ1002" i="1"/>
  <c r="EI1058" i="1"/>
  <c r="EJ1058" i="1"/>
  <c r="EI1087" i="1"/>
  <c r="EJ1087" i="1"/>
  <c r="EI1088" i="1"/>
  <c r="EJ1088" i="1"/>
  <c r="EI1089" i="1"/>
  <c r="EJ1089" i="1"/>
  <c r="EI1091" i="1"/>
  <c r="EJ1091" i="1"/>
  <c r="EI1092" i="1"/>
  <c r="EJ1092" i="1"/>
  <c r="EI1093" i="1"/>
  <c r="EJ1093" i="1"/>
  <c r="EI1094" i="1"/>
  <c r="EJ1094" i="1"/>
  <c r="EI1095" i="1"/>
  <c r="EJ1095" i="1"/>
  <c r="EI1096" i="1"/>
  <c r="EJ1096" i="1"/>
  <c r="EI1098" i="1"/>
  <c r="EJ1098" i="1"/>
  <c r="EI1100" i="1"/>
  <c r="EJ1100" i="1"/>
  <c r="EI548" i="1"/>
  <c r="EJ548" i="1"/>
  <c r="EI549" i="1"/>
  <c r="EJ549" i="1"/>
  <c r="EI551" i="1"/>
  <c r="EJ551" i="1"/>
  <c r="EI553" i="1"/>
  <c r="EJ553" i="1"/>
  <c r="EI555" i="1"/>
  <c r="EJ555" i="1"/>
  <c r="EI556" i="1"/>
  <c r="EJ556" i="1"/>
  <c r="EI558" i="1"/>
  <c r="EJ558" i="1"/>
  <c r="EI562" i="1"/>
  <c r="EJ562" i="1"/>
  <c r="EI472" i="1"/>
  <c r="EJ472" i="1"/>
  <c r="EI474" i="1"/>
  <c r="EJ474" i="1"/>
  <c r="EI476" i="1"/>
  <c r="EJ476" i="1"/>
  <c r="EI477" i="1"/>
  <c r="EJ477" i="1"/>
  <c r="EI480" i="1"/>
  <c r="EJ480" i="1"/>
  <c r="EI486" i="1"/>
  <c r="EJ486" i="1"/>
  <c r="EI490" i="1"/>
  <c r="EJ490" i="1"/>
  <c r="EI492" i="1"/>
  <c r="EJ492" i="1"/>
  <c r="EI493" i="1"/>
  <c r="EJ493" i="1"/>
  <c r="EI567" i="1"/>
  <c r="EJ567" i="1"/>
  <c r="EI570" i="1"/>
  <c r="EJ570" i="1"/>
  <c r="EI571" i="1"/>
  <c r="EJ571" i="1"/>
  <c r="EI572" i="1"/>
  <c r="EJ572" i="1"/>
  <c r="EI573" i="1"/>
  <c r="EJ573" i="1"/>
  <c r="EI574" i="1"/>
  <c r="EJ574" i="1"/>
  <c r="EI575" i="1"/>
  <c r="EJ575" i="1"/>
  <c r="EI576" i="1"/>
  <c r="EJ576" i="1"/>
  <c r="EI577" i="1"/>
  <c r="EJ577" i="1"/>
  <c r="EI578" i="1"/>
  <c r="EJ578" i="1"/>
  <c r="EI579" i="1"/>
  <c r="EJ579" i="1"/>
  <c r="EI581" i="1"/>
  <c r="EJ581" i="1"/>
  <c r="EI582" i="1"/>
  <c r="EJ582" i="1"/>
  <c r="EI583" i="1"/>
  <c r="EJ583" i="1"/>
  <c r="EI584" i="1"/>
  <c r="EJ584" i="1"/>
  <c r="EI585" i="1"/>
  <c r="EJ585" i="1"/>
  <c r="EI586" i="1"/>
  <c r="EJ586" i="1"/>
  <c r="EI587" i="1"/>
  <c r="EJ587" i="1"/>
  <c r="EI588" i="1"/>
  <c r="EJ588" i="1"/>
  <c r="EI589" i="1"/>
  <c r="EJ589" i="1"/>
  <c r="EI590" i="1"/>
  <c r="EJ590" i="1"/>
  <c r="EI591" i="1"/>
  <c r="EJ591" i="1"/>
  <c r="EI592" i="1"/>
  <c r="EJ592" i="1"/>
  <c r="EI593" i="1"/>
  <c r="EJ593" i="1"/>
  <c r="EI594" i="1"/>
  <c r="EJ594" i="1"/>
  <c r="EI595" i="1"/>
  <c r="EJ595" i="1"/>
  <c r="EI596" i="1"/>
  <c r="EJ596" i="1"/>
  <c r="EI597" i="1"/>
  <c r="EJ597" i="1"/>
  <c r="EI598" i="1"/>
  <c r="EJ598" i="1"/>
  <c r="EI599" i="1"/>
  <c r="EJ599" i="1"/>
  <c r="EI600" i="1"/>
  <c r="EJ600" i="1"/>
  <c r="EI601" i="1"/>
  <c r="EJ601" i="1"/>
  <c r="EI602" i="1"/>
  <c r="EJ602" i="1"/>
  <c r="EI603" i="1"/>
  <c r="EJ603" i="1"/>
  <c r="EI604" i="1"/>
  <c r="EJ604" i="1"/>
  <c r="EI605" i="1"/>
  <c r="EJ605" i="1"/>
  <c r="EI606" i="1"/>
  <c r="EJ606" i="1"/>
  <c r="EI607" i="1"/>
  <c r="EJ607" i="1"/>
  <c r="EI608" i="1"/>
  <c r="EJ608" i="1"/>
  <c r="EI609" i="1"/>
  <c r="EJ609" i="1"/>
  <c r="EI610" i="1"/>
  <c r="EJ610" i="1"/>
  <c r="EI611" i="1"/>
  <c r="EJ611" i="1"/>
  <c r="EI612" i="1"/>
  <c r="EJ612" i="1"/>
  <c r="EI613" i="1"/>
  <c r="EJ613" i="1"/>
  <c r="EI614" i="1"/>
  <c r="EJ614" i="1"/>
  <c r="EI615" i="1"/>
  <c r="EJ615" i="1"/>
  <c r="EI616" i="1"/>
  <c r="EJ616" i="1"/>
  <c r="EI676" i="1"/>
  <c r="EJ676" i="1"/>
  <c r="EI677" i="1"/>
  <c r="EJ677" i="1"/>
  <c r="EI678" i="1"/>
  <c r="EJ678" i="1"/>
  <c r="EI680" i="1"/>
  <c r="EJ680" i="1"/>
  <c r="EI681" i="1"/>
  <c r="EJ681" i="1"/>
  <c r="EI735" i="1"/>
  <c r="EJ735" i="1"/>
  <c r="EI823" i="1"/>
  <c r="EJ823" i="1"/>
  <c r="EI825" i="1"/>
  <c r="EJ825" i="1"/>
  <c r="EI826" i="1"/>
  <c r="EJ826" i="1"/>
  <c r="EI827" i="1"/>
  <c r="EJ827" i="1"/>
  <c r="EI828" i="1"/>
  <c r="EJ828" i="1"/>
  <c r="EI829" i="1"/>
  <c r="EJ829" i="1"/>
  <c r="EI830" i="1"/>
  <c r="EJ830" i="1"/>
  <c r="EI831" i="1"/>
  <c r="EJ831" i="1"/>
  <c r="EI832" i="1"/>
  <c r="EJ832" i="1"/>
  <c r="EI833" i="1"/>
  <c r="EJ833" i="1"/>
  <c r="EI953" i="1"/>
  <c r="EJ953" i="1"/>
  <c r="EI954" i="1"/>
  <c r="EJ954" i="1"/>
  <c r="EI955" i="1"/>
  <c r="EJ955" i="1"/>
  <c r="EI956" i="1"/>
  <c r="EJ956" i="1"/>
  <c r="EI958" i="1"/>
  <c r="EJ958" i="1"/>
  <c r="EI959" i="1"/>
  <c r="EJ959" i="1"/>
  <c r="EI960" i="1"/>
  <c r="EJ960" i="1"/>
  <c r="EI961" i="1"/>
  <c r="EJ961" i="1"/>
  <c r="EI962" i="1"/>
  <c r="EJ962" i="1"/>
  <c r="EI963" i="1"/>
  <c r="EJ963" i="1"/>
  <c r="EI964" i="1"/>
  <c r="EJ964" i="1"/>
  <c r="EI965" i="1"/>
  <c r="EJ965" i="1"/>
  <c r="EI966" i="1"/>
  <c r="EJ966" i="1"/>
  <c r="EI967" i="1"/>
  <c r="EJ967" i="1"/>
  <c r="EI968" i="1"/>
  <c r="EJ968" i="1"/>
  <c r="EI969" i="1"/>
  <c r="EJ969" i="1"/>
  <c r="EI970" i="1"/>
  <c r="EJ970" i="1"/>
  <c r="EI971" i="1"/>
  <c r="EJ971" i="1"/>
  <c r="EI972" i="1"/>
  <c r="EJ972" i="1"/>
  <c r="EI988" i="1"/>
  <c r="EJ988" i="1"/>
  <c r="EI1004" i="1"/>
  <c r="EJ1004" i="1"/>
  <c r="EI1005" i="1"/>
  <c r="EJ1005" i="1"/>
  <c r="EI1006" i="1"/>
  <c r="EJ1006" i="1"/>
  <c r="EI1007" i="1"/>
  <c r="EJ1007" i="1"/>
  <c r="EI1009" i="1"/>
  <c r="EJ1009" i="1"/>
  <c r="EI1010" i="1"/>
  <c r="EJ1010" i="1"/>
  <c r="EI1011" i="1"/>
  <c r="EJ1011" i="1"/>
  <c r="EI1013" i="1"/>
  <c r="EJ1013" i="1"/>
  <c r="EI1015" i="1"/>
  <c r="EJ1015" i="1"/>
  <c r="EI1017" i="1"/>
  <c r="EJ1017" i="1"/>
  <c r="EI1018" i="1"/>
  <c r="EJ1018" i="1"/>
  <c r="EI1019" i="1"/>
  <c r="EJ1019" i="1"/>
  <c r="EI1020" i="1"/>
  <c r="EJ1020" i="1"/>
  <c r="EI1021" i="1"/>
  <c r="EJ1021" i="1"/>
  <c r="EI1022" i="1"/>
  <c r="EJ1022" i="1"/>
  <c r="EI1023" i="1"/>
  <c r="EJ1023" i="1"/>
  <c r="EI1024" i="1"/>
  <c r="EJ1024" i="1"/>
  <c r="EI1026" i="1"/>
  <c r="EJ1026" i="1"/>
  <c r="EI1028" i="1"/>
  <c r="EJ1028" i="1"/>
  <c r="EI1029" i="1"/>
  <c r="EJ1029" i="1"/>
  <c r="EI1030" i="1"/>
  <c r="EJ1030" i="1"/>
  <c r="EI1031" i="1"/>
  <c r="EJ1031" i="1"/>
  <c r="EI1032" i="1"/>
  <c r="EJ1032" i="1"/>
  <c r="EI1033" i="1"/>
  <c r="EJ1033" i="1"/>
  <c r="EI1034" i="1"/>
  <c r="EJ1034" i="1"/>
  <c r="EI1035" i="1"/>
  <c r="EJ1035" i="1"/>
  <c r="EI1036" i="1"/>
  <c r="EJ1036" i="1"/>
  <c r="EI1039" i="1"/>
  <c r="EJ1039" i="1"/>
  <c r="EI1040" i="1"/>
  <c r="EJ1040" i="1"/>
  <c r="EI1041" i="1"/>
  <c r="EJ1041" i="1"/>
  <c r="EI1042" i="1"/>
  <c r="EJ1042" i="1"/>
  <c r="EI1043" i="1"/>
  <c r="EJ1043" i="1"/>
  <c r="EI1044" i="1"/>
  <c r="EJ1044" i="1"/>
  <c r="EI1045" i="1"/>
  <c r="EJ1045" i="1"/>
  <c r="EI1046" i="1"/>
  <c r="EJ1046" i="1"/>
  <c r="EI1047" i="1"/>
  <c r="EJ1047" i="1"/>
  <c r="EI1048" i="1"/>
  <c r="EJ1048" i="1"/>
  <c r="EI1049" i="1"/>
  <c r="EJ1049" i="1"/>
  <c r="EI1050" i="1"/>
  <c r="EJ1050" i="1"/>
  <c r="EI1051" i="1"/>
  <c r="EJ1051" i="1"/>
  <c r="EI1052" i="1"/>
  <c r="EJ1052" i="1"/>
  <c r="EI1053" i="1"/>
  <c r="EJ1053" i="1"/>
  <c r="EI1054" i="1"/>
  <c r="EJ1054" i="1"/>
  <c r="EI1086" i="1"/>
  <c r="EJ1086" i="1"/>
  <c r="EI684" i="1"/>
  <c r="EI705" i="1"/>
  <c r="EI706" i="1"/>
  <c r="EI709" i="1"/>
  <c r="EI807" i="1"/>
  <c r="EI817" i="1"/>
  <c r="EI835" i="1"/>
  <c r="EI917" i="1"/>
  <c r="EI922" i="1"/>
  <c r="EI923" i="1"/>
  <c r="EI927" i="1"/>
  <c r="EI928" i="1"/>
  <c r="EI934" i="1"/>
  <c r="EI942" i="1"/>
  <c r="EI713" i="1"/>
  <c r="EI720" i="1"/>
  <c r="EI723" i="1"/>
  <c r="EI726" i="1"/>
  <c r="EI728" i="1"/>
  <c r="EI730" i="1"/>
  <c r="EI824" i="1"/>
  <c r="EI950" i="1"/>
  <c r="EI951" i="1"/>
  <c r="EI957" i="1"/>
  <c r="EI994" i="1"/>
  <c r="EI995" i="1"/>
  <c r="EI996" i="1"/>
  <c r="EI1059" i="1"/>
  <c r="EI1061" i="1"/>
  <c r="EI1067" i="1"/>
  <c r="EI1068" i="1"/>
  <c r="EI1069" i="1"/>
  <c r="EI1082" i="1"/>
  <c r="EI563" i="1"/>
  <c r="EI564" i="1"/>
  <c r="EI565" i="1"/>
  <c r="EI568" i="1"/>
  <c r="EI569" i="1"/>
  <c r="EI580" i="1"/>
  <c r="EI1008" i="1"/>
  <c r="EI1012" i="1"/>
  <c r="EI1014" i="1"/>
  <c r="EI1016" i="1"/>
  <c r="EI1025" i="1"/>
  <c r="EI1027" i="1"/>
  <c r="EI1090" i="1"/>
  <c r="EI1097" i="1"/>
  <c r="EI1099" i="1"/>
  <c r="EI736" i="1"/>
  <c r="EI738" i="1"/>
  <c r="EI741" i="1"/>
  <c r="EI849" i="1"/>
  <c r="EI850" i="1"/>
  <c r="EI855" i="1"/>
  <c r="EI856" i="1"/>
  <c r="EI866" i="1"/>
  <c r="EI870" i="1"/>
  <c r="EI881" i="1"/>
  <c r="EI884" i="1"/>
  <c r="EI888" i="1"/>
  <c r="EI891" i="1"/>
  <c r="EI901" i="1"/>
  <c r="EI904" i="1"/>
  <c r="EI906" i="1"/>
  <c r="EI913" i="1"/>
  <c r="EI973" i="1"/>
  <c r="EI975" i="1"/>
  <c r="EI981" i="1"/>
  <c r="EI983" i="1"/>
  <c r="EI985" i="1"/>
  <c r="EI987" i="1"/>
  <c r="EI1037" i="1"/>
  <c r="EI1038" i="1"/>
  <c r="EI679" i="1"/>
  <c r="EI561" i="1"/>
  <c r="EI640" i="1"/>
  <c r="EI499" i="1"/>
  <c r="EI525" i="1"/>
  <c r="EI502" i="1"/>
  <c r="EI503" i="1"/>
  <c r="EI507" i="1"/>
  <c r="EI509" i="1"/>
  <c r="EI511" i="1"/>
  <c r="EI533" i="1"/>
  <c r="EI534" i="1"/>
  <c r="EI535" i="1"/>
  <c r="EI539" i="1"/>
  <c r="EI542" i="1"/>
  <c r="EI545" i="1"/>
  <c r="EI546" i="1"/>
  <c r="EI663" i="1"/>
  <c r="EI671" i="1"/>
  <c r="EI672" i="1"/>
  <c r="EI745" i="1"/>
  <c r="EI749" i="1"/>
  <c r="EI752" i="1"/>
  <c r="EI1105" i="1"/>
  <c r="EI763" i="1"/>
  <c r="EI501" i="1"/>
  <c r="EI473" i="1"/>
  <c r="EI478" i="1"/>
  <c r="EI483" i="1"/>
  <c r="EI484" i="1"/>
  <c r="EI487" i="1"/>
  <c r="EI494" i="1"/>
  <c r="EI497" i="1"/>
  <c r="EI518" i="1"/>
  <c r="EI520" i="1"/>
  <c r="EI523" i="1"/>
  <c r="EI626" i="1"/>
  <c r="EI767" i="1"/>
  <c r="EI774" i="1"/>
  <c r="EI784" i="1"/>
  <c r="EI785" i="1"/>
  <c r="EI793" i="1"/>
  <c r="EI797" i="1"/>
  <c r="EI798" i="1"/>
  <c r="G11" i="112"/>
  <c r="D11" i="112" s="1"/>
  <c r="G16" i="112"/>
  <c r="D16" i="112" s="1"/>
  <c r="G18" i="112"/>
  <c r="D18" i="112" s="1"/>
  <c r="G20" i="112"/>
  <c r="D20" i="112" s="1"/>
  <c r="G9" i="112"/>
  <c r="D9" i="112" s="1"/>
  <c r="G14" i="112"/>
  <c r="D14" i="112" s="1"/>
  <c r="G8" i="113" l="1"/>
  <c r="D32" i="113" s="1"/>
  <c r="G22" i="113"/>
  <c r="G9" i="113"/>
  <c r="G23" i="113"/>
  <c r="G30" i="113"/>
  <c r="G24" i="113"/>
  <c r="G29" i="113"/>
  <c r="G34" i="113"/>
  <c r="D17" i="113" l="1"/>
  <c r="D23" i="113"/>
  <c r="D13" i="113"/>
  <c r="D29" i="113"/>
  <c r="D33" i="113"/>
  <c r="D9" i="113"/>
  <c r="D8" i="113"/>
  <c r="D34" i="113"/>
  <c r="D16" i="113"/>
  <c r="D24" i="113"/>
  <c r="D18" i="113"/>
  <c r="D22" i="113"/>
  <c r="D12" i="113"/>
  <c r="D30" i="113"/>
  <c r="G26" i="110"/>
  <c r="D26" i="110" s="1"/>
  <c r="G25" i="110"/>
  <c r="D25" i="110" s="1"/>
  <c r="G24" i="110"/>
  <c r="D24" i="110" s="1"/>
  <c r="G23" i="110"/>
  <c r="D23" i="110" s="1"/>
  <c r="G27" i="110"/>
  <c r="D27" i="110" s="1"/>
  <c r="G17" i="110"/>
  <c r="D17" i="110" s="1"/>
  <c r="G16" i="110"/>
  <c r="D16" i="110" s="1"/>
  <c r="G19" i="110"/>
  <c r="D19" i="110" s="1"/>
  <c r="G13" i="110"/>
  <c r="D13" i="110" s="1"/>
  <c r="G12" i="110"/>
  <c r="D12" i="110" s="1"/>
  <c r="G11" i="110"/>
  <c r="D11" i="110" s="1"/>
  <c r="G20" i="110"/>
  <c r="D20" i="110" s="1"/>
  <c r="G18" i="110"/>
  <c r="D18" i="110" s="1"/>
  <c r="G15" i="110"/>
  <c r="D15" i="110" s="1"/>
  <c r="G10" i="110"/>
  <c r="D10" i="110" s="1"/>
  <c r="G14" i="110"/>
  <c r="D14" i="110" s="1"/>
  <c r="G11" i="100" l="1"/>
  <c r="D11" i="100" s="1"/>
  <c r="G11" i="107" l="1"/>
  <c r="D11" i="107" s="1"/>
  <c r="G10" i="103" l="1"/>
  <c r="D10" i="103" s="1"/>
  <c r="G8" i="103"/>
  <c r="D8" i="103" s="1"/>
  <c r="G11" i="99" l="1"/>
  <c r="D11" i="99" s="1"/>
  <c r="G10" i="87"/>
  <c r="D10" i="87" s="1"/>
  <c r="G10" i="88" l="1"/>
  <c r="D10" i="88" s="1"/>
  <c r="G8" i="88"/>
  <c r="D8" i="88" s="1"/>
  <c r="G9" i="88"/>
  <c r="D9" i="88" s="1"/>
  <c r="G12" i="88"/>
  <c r="D12" i="88" s="1"/>
  <c r="G15" i="88"/>
  <c r="D15" i="88" s="1"/>
  <c r="G14" i="88"/>
  <c r="D14" i="88" s="1"/>
  <c r="G9" i="80" l="1"/>
  <c r="D9" i="80" s="1"/>
  <c r="E20" i="80" l="1"/>
  <c r="CQ36" i="1" s="1"/>
  <c r="E10" i="80"/>
  <c r="CQ171" i="1" s="1"/>
  <c r="E11" i="80"/>
  <c r="CQ449" i="1" s="1"/>
  <c r="E34" i="80"/>
  <c r="CQ236" i="1" s="1"/>
  <c r="E18" i="80"/>
  <c r="CQ92" i="1" s="1"/>
  <c r="E28" i="80"/>
  <c r="CQ220" i="1" s="1"/>
  <c r="E12" i="80"/>
  <c r="CQ428" i="1" s="1"/>
  <c r="E35" i="80"/>
  <c r="CQ221" i="1" s="1"/>
  <c r="E27" i="80"/>
  <c r="CQ395" i="1" s="1"/>
  <c r="E19" i="80"/>
  <c r="CQ67" i="1" s="1"/>
  <c r="E29" i="80"/>
  <c r="CQ165" i="1" s="1"/>
  <c r="E21" i="80"/>
  <c r="CQ364" i="1" s="1"/>
  <c r="E13" i="80"/>
  <c r="CQ201" i="1" s="1"/>
  <c r="E26" i="80"/>
  <c r="CQ57" i="1" s="1"/>
  <c r="E33" i="80"/>
  <c r="CQ440" i="1" s="1"/>
  <c r="E8" i="80"/>
  <c r="CQ93" i="1" s="1"/>
  <c r="E23" i="80"/>
  <c r="CQ113" i="1" s="1"/>
  <c r="E25" i="80"/>
  <c r="CQ41" i="1" s="1"/>
  <c r="E14" i="80"/>
  <c r="CQ45" i="1" s="1"/>
  <c r="E16" i="80"/>
  <c r="CQ261" i="1" s="1"/>
  <c r="E22" i="80"/>
  <c r="CQ436" i="1" s="1"/>
  <c r="E24" i="80"/>
  <c r="CQ433" i="1" s="1"/>
  <c r="E31" i="80"/>
  <c r="CQ331" i="1" s="1"/>
  <c r="E30" i="80"/>
  <c r="CQ453" i="1" s="1"/>
  <c r="E32" i="80"/>
  <c r="CQ98" i="1" s="1"/>
  <c r="F5" i="80"/>
  <c r="E9" i="80"/>
  <c r="CQ444" i="1" s="1"/>
  <c r="E15" i="80"/>
  <c r="CQ337" i="1" s="1"/>
  <c r="E17" i="80"/>
  <c r="CQ48" i="1" s="1"/>
  <c r="G9" i="81"/>
  <c r="D9" i="81" s="1"/>
  <c r="G10" i="81"/>
  <c r="D10" i="81" s="1"/>
  <c r="G8" i="81"/>
  <c r="D8" i="81" s="1"/>
  <c r="G17" i="67"/>
  <c r="D17" i="67" s="1"/>
  <c r="G11" i="67"/>
  <c r="D11" i="67" s="1"/>
  <c r="G27" i="67"/>
  <c r="D27" i="67" s="1"/>
  <c r="G20" i="67"/>
  <c r="D20" i="67" s="1"/>
  <c r="G28" i="67"/>
  <c r="D28" i="67" s="1"/>
  <c r="G9" i="70"/>
  <c r="D9" i="70" s="1"/>
  <c r="G8" i="70"/>
  <c r="D8" i="70" s="1"/>
  <c r="G10" i="70"/>
  <c r="D10" i="70" s="1"/>
  <c r="G13" i="70"/>
  <c r="D13" i="70" s="1"/>
  <c r="G8" i="68"/>
  <c r="D8" i="68" s="1"/>
  <c r="G8" i="86"/>
  <c r="D8" i="86" s="1"/>
  <c r="G19" i="86"/>
  <c r="D19" i="86" s="1"/>
  <c r="G14" i="86"/>
  <c r="D14" i="86" s="1"/>
  <c r="G15" i="89"/>
  <c r="D15" i="89" s="1"/>
  <c r="G21" i="89"/>
  <c r="D21" i="89" s="1"/>
  <c r="G22" i="89"/>
  <c r="D22" i="89" s="1"/>
  <c r="G23" i="89"/>
  <c r="D23" i="89" s="1"/>
  <c r="G8" i="66"/>
  <c r="D8" i="66" s="1"/>
  <c r="G9" i="66"/>
  <c r="D9" i="66" s="1"/>
  <c r="G10" i="66"/>
  <c r="D10" i="66" s="1"/>
  <c r="G31" i="67"/>
  <c r="D31" i="67" s="1"/>
  <c r="G29" i="67"/>
  <c r="D29" i="67" s="1"/>
  <c r="G16" i="67"/>
  <c r="D16" i="67" s="1"/>
  <c r="G22" i="67"/>
  <c r="D22" i="67" s="1"/>
  <c r="G21" i="67"/>
  <c r="D21" i="67" s="1"/>
  <c r="G12" i="70"/>
  <c r="D12" i="70" s="1"/>
  <c r="G18" i="70"/>
  <c r="D18" i="70" s="1"/>
  <c r="G20" i="70"/>
  <c r="D20" i="70" s="1"/>
  <c r="G19" i="70"/>
  <c r="D19" i="70" s="1"/>
  <c r="G11" i="70"/>
  <c r="D11" i="70" s="1"/>
  <c r="G17" i="70"/>
  <c r="D17" i="70" s="1"/>
  <c r="G16" i="70"/>
  <c r="D16" i="70" s="1"/>
  <c r="G15" i="70"/>
  <c r="D15" i="70" s="1"/>
  <c r="G14" i="70"/>
  <c r="D14" i="70" s="1"/>
  <c r="G13" i="81"/>
  <c r="D13" i="81" s="1"/>
  <c r="G12" i="96"/>
  <c r="D12" i="96" s="1"/>
  <c r="G11" i="96"/>
  <c r="D11" i="96" s="1"/>
  <c r="G8" i="96"/>
  <c r="D8" i="96" s="1"/>
  <c r="G10" i="96"/>
  <c r="D10" i="96" s="1"/>
  <c r="G8" i="95"/>
  <c r="D8" i="95" s="1"/>
  <c r="G9" i="95"/>
  <c r="D9" i="95" s="1"/>
  <c r="G10" i="94"/>
  <c r="D10" i="94" s="1"/>
  <c r="G8" i="94"/>
  <c r="D8" i="94" s="1"/>
  <c r="G9" i="94"/>
  <c r="D9" i="94" s="1"/>
  <c r="G11" i="94"/>
  <c r="D11" i="94" s="1"/>
  <c r="G29" i="64"/>
  <c r="D29" i="64" s="1"/>
  <c r="G8" i="64"/>
  <c r="D8" i="64" s="1"/>
  <c r="G13" i="64"/>
  <c r="D13" i="64" s="1"/>
  <c r="G26" i="64"/>
  <c r="D26" i="64" s="1"/>
  <c r="G12" i="64"/>
  <c r="D12" i="64" s="1"/>
  <c r="G33" i="64"/>
  <c r="D33" i="64" s="1"/>
  <c r="G62" i="64"/>
  <c r="D62" i="64" s="1"/>
  <c r="G49" i="64"/>
  <c r="D49" i="64" s="1"/>
  <c r="G20" i="64"/>
  <c r="D20" i="64" s="1"/>
  <c r="G64" i="64"/>
  <c r="D64" i="64" s="1"/>
  <c r="G63" i="64"/>
  <c r="D63" i="64" s="1"/>
  <c r="G34" i="64"/>
  <c r="D34" i="64" s="1"/>
  <c r="G14" i="64"/>
  <c r="D14" i="64" s="1"/>
  <c r="G10" i="64"/>
  <c r="D10" i="64" s="1"/>
  <c r="G11" i="64"/>
  <c r="D11" i="64" s="1"/>
  <c r="G18" i="64"/>
  <c r="D18" i="64" s="1"/>
  <c r="G9" i="10"/>
  <c r="D9" i="10" s="1"/>
  <c r="G8" i="10"/>
  <c r="D8" i="10" s="1"/>
  <c r="G10" i="10"/>
  <c r="D10" i="10" s="1"/>
  <c r="G11" i="10"/>
  <c r="D11" i="10" s="1"/>
  <c r="G8" i="8"/>
  <c r="D8" i="8" s="1"/>
  <c r="G9" i="8"/>
  <c r="D9" i="8" s="1"/>
  <c r="G10" i="8"/>
  <c r="D10" i="8" s="1"/>
  <c r="G8" i="12"/>
  <c r="G9" i="12"/>
  <c r="G10" i="12"/>
  <c r="G11" i="12"/>
  <c r="G12" i="12"/>
  <c r="G8" i="93"/>
  <c r="D8" i="93" s="1"/>
  <c r="G9" i="93"/>
  <c r="D9" i="93" s="1"/>
  <c r="G12" i="20"/>
  <c r="D12" i="20" s="1"/>
  <c r="G9" i="20"/>
  <c r="D9" i="20" s="1"/>
  <c r="G8" i="24"/>
  <c r="D8" i="24" s="1"/>
  <c r="G9" i="24"/>
  <c r="D9" i="24" s="1"/>
  <c r="G18" i="45"/>
  <c r="D18" i="45" s="1"/>
  <c r="G59" i="45"/>
  <c r="D59" i="45" s="1"/>
  <c r="G63" i="45"/>
  <c r="D63" i="45" s="1"/>
  <c r="G19" i="45"/>
  <c r="D19" i="45" s="1"/>
  <c r="G83" i="45"/>
  <c r="D83" i="45" s="1"/>
  <c r="G14" i="36"/>
  <c r="D14" i="36" s="1"/>
  <c r="G13" i="36"/>
  <c r="D13" i="36" s="1"/>
  <c r="G15" i="36"/>
  <c r="D15" i="36" s="1"/>
  <c r="G8" i="36"/>
  <c r="D8" i="36" s="1"/>
  <c r="G11" i="36"/>
  <c r="D11" i="36" s="1"/>
  <c r="G8" i="39"/>
  <c r="D8" i="39" s="1"/>
  <c r="G9" i="39"/>
  <c r="D9" i="39" s="1"/>
  <c r="G10" i="39"/>
  <c r="D10" i="39" s="1"/>
  <c r="G8" i="46"/>
  <c r="D8" i="46" s="1"/>
  <c r="G13" i="46"/>
  <c r="D13" i="46" s="1"/>
  <c r="G9" i="44"/>
  <c r="D9" i="44" s="1"/>
  <c r="G8" i="44"/>
  <c r="D8" i="44" s="1"/>
  <c r="G11" i="44"/>
  <c r="D11" i="44" s="1"/>
  <c r="G12" i="44"/>
  <c r="D12" i="44" s="1"/>
  <c r="G21" i="28"/>
  <c r="G18" i="28"/>
  <c r="G17" i="28"/>
  <c r="G24" i="28"/>
  <c r="G22" i="28"/>
  <c r="G8" i="25"/>
  <c r="G9" i="25"/>
  <c r="G10" i="25"/>
  <c r="G11" i="25"/>
  <c r="G8" i="56"/>
  <c r="D8" i="56" s="1"/>
  <c r="G8" i="38"/>
  <c r="D8" i="38" s="1"/>
  <c r="G9" i="38"/>
  <c r="D9" i="38" s="1"/>
  <c r="G10" i="38"/>
  <c r="D10" i="38" s="1"/>
  <c r="G12" i="38"/>
  <c r="D12" i="38" s="1"/>
  <c r="G11" i="38"/>
  <c r="D11" i="38" s="1"/>
  <c r="G15" i="71"/>
  <c r="D15" i="71" s="1"/>
  <c r="G8" i="17"/>
  <c r="G9" i="17"/>
  <c r="G10" i="17"/>
  <c r="G11" i="17"/>
  <c r="G12" i="17"/>
  <c r="G8" i="35"/>
  <c r="D8" i="35" s="1"/>
  <c r="G9" i="35"/>
  <c r="D9" i="35" s="1"/>
  <c r="G8" i="23"/>
  <c r="D8" i="23" s="1"/>
  <c r="G14" i="23"/>
  <c r="D14" i="23" s="1"/>
  <c r="G11" i="23"/>
  <c r="D11" i="23" s="1"/>
  <c r="G18" i="32"/>
  <c r="D18" i="32" s="1"/>
  <c r="G20" i="32"/>
  <c r="D20" i="32" s="1"/>
  <c r="G17" i="32"/>
  <c r="G19" i="32"/>
  <c r="D19" i="32" s="1"/>
  <c r="G15" i="32"/>
  <c r="D15" i="32" s="1"/>
  <c r="G8" i="33"/>
  <c r="D8" i="33" s="1"/>
  <c r="G9" i="33"/>
  <c r="D9" i="33" s="1"/>
  <c r="G10" i="33"/>
  <c r="G11" i="33"/>
  <c r="G16" i="33"/>
  <c r="G11" i="52"/>
  <c r="D11" i="52" s="1"/>
  <c r="G10" i="52"/>
  <c r="D10" i="52" s="1"/>
  <c r="G9" i="52"/>
  <c r="D9" i="52" s="1"/>
  <c r="G8" i="52"/>
  <c r="D8" i="52" s="1"/>
  <c r="G8" i="53"/>
  <c r="D8" i="53" s="1"/>
  <c r="G9" i="53"/>
  <c r="D9" i="53" s="1"/>
  <c r="G8" i="47"/>
  <c r="D8" i="47" s="1"/>
  <c r="G8" i="57"/>
  <c r="D8" i="57" s="1"/>
  <c r="G9" i="57"/>
  <c r="D9" i="57" s="1"/>
  <c r="G10" i="57"/>
  <c r="D10" i="57" s="1"/>
  <c r="G8" i="15"/>
  <c r="D8" i="15" s="1"/>
  <c r="G9" i="15"/>
  <c r="D9" i="15" s="1"/>
  <c r="G10" i="15"/>
  <c r="D10" i="15" s="1"/>
  <c r="G11" i="15"/>
  <c r="D11" i="15" s="1"/>
  <c r="G8" i="31"/>
  <c r="D8" i="31" s="1"/>
  <c r="G10" i="31"/>
  <c r="D10" i="31" s="1"/>
  <c r="G11" i="31"/>
  <c r="D11" i="31" s="1"/>
  <c r="G8" i="97"/>
  <c r="D8" i="97" s="1"/>
  <c r="G9" i="97"/>
  <c r="D9" i="97" s="1"/>
  <c r="G10" i="97"/>
  <c r="D10" i="97" s="1"/>
  <c r="G8" i="63"/>
  <c r="D8" i="63" s="1"/>
  <c r="G15" i="54"/>
  <c r="D15" i="54" s="1"/>
  <c r="G10" i="54"/>
  <c r="D10" i="54" s="1"/>
  <c r="G8" i="59"/>
  <c r="D8" i="59" s="1"/>
  <c r="G9" i="59"/>
  <c r="D9" i="59" s="1"/>
  <c r="G19" i="26"/>
  <c r="G16" i="26"/>
  <c r="G22" i="26"/>
  <c r="G21" i="26"/>
  <c r="G23" i="26"/>
  <c r="D23" i="26" s="1"/>
  <c r="G14" i="49"/>
  <c r="D14" i="49" s="1"/>
  <c r="G8" i="60"/>
  <c r="D8" i="60" s="1"/>
  <c r="F5" i="60" s="1"/>
  <c r="G11" i="60"/>
  <c r="D11" i="60" s="1"/>
  <c r="G12" i="60"/>
  <c r="D12" i="60" s="1"/>
  <c r="G11" i="91"/>
  <c r="D11" i="91" s="1"/>
  <c r="G9" i="91"/>
  <c r="D9" i="91" s="1"/>
  <c r="G10" i="91"/>
  <c r="D10" i="91" s="1"/>
  <c r="G13" i="91"/>
  <c r="D13" i="91" s="1"/>
  <c r="G8" i="91"/>
  <c r="D8" i="91" s="1"/>
  <c r="G10" i="51"/>
  <c r="D10" i="51" s="1"/>
  <c r="G8" i="51"/>
  <c r="D8" i="51" s="1"/>
  <c r="G9" i="51"/>
  <c r="D9" i="51" s="1"/>
  <c r="G12" i="42"/>
  <c r="G9" i="42"/>
  <c r="D9" i="42" s="1"/>
  <c r="G8" i="42"/>
  <c r="D8" i="42" s="1"/>
  <c r="G11" i="42"/>
  <c r="D11" i="42" s="1"/>
  <c r="G8" i="30"/>
  <c r="D8" i="30" s="1"/>
  <c r="G9" i="30"/>
  <c r="D9" i="30" s="1"/>
  <c r="G15" i="29"/>
  <c r="D15" i="29" s="1"/>
  <c r="G19" i="29"/>
  <c r="D19" i="29" s="1"/>
  <c r="G16" i="29"/>
  <c r="D16" i="29" s="1"/>
  <c r="G10" i="37"/>
  <c r="D10" i="37" s="1"/>
  <c r="G9" i="37"/>
  <c r="D9" i="37" s="1"/>
  <c r="G8" i="37"/>
  <c r="D8" i="37" s="1"/>
  <c r="G12" i="37"/>
  <c r="D12" i="37" s="1"/>
  <c r="G8" i="77"/>
  <c r="D8" i="77" s="1"/>
  <c r="G8" i="9"/>
  <c r="D8" i="9" s="1"/>
  <c r="G10" i="9"/>
  <c r="D10" i="9" s="1"/>
  <c r="G8" i="11"/>
  <c r="D8" i="11" s="1"/>
  <c r="G9" i="11"/>
  <c r="D9" i="11" s="1"/>
  <c r="G8" i="5"/>
  <c r="D8" i="5" s="1"/>
  <c r="G9" i="5"/>
  <c r="D9" i="5" s="1"/>
  <c r="G8" i="48"/>
  <c r="D8" i="48" s="1"/>
  <c r="G9" i="48"/>
  <c r="D9" i="48" s="1"/>
  <c r="G8" i="7"/>
  <c r="G9" i="7"/>
  <c r="G10" i="7"/>
  <c r="G11" i="7"/>
  <c r="G8" i="75"/>
  <c r="G9" i="75"/>
  <c r="G8" i="13"/>
  <c r="D8" i="13" s="1"/>
  <c r="G9" i="13"/>
  <c r="D9" i="13" s="1"/>
  <c r="G10" i="13"/>
  <c r="D10" i="13" s="1"/>
  <c r="G10" i="92"/>
  <c r="G9" i="92"/>
  <c r="D11" i="92" s="1"/>
  <c r="G8" i="92"/>
  <c r="G8" i="98"/>
  <c r="D8" i="98" s="1"/>
  <c r="G8" i="74"/>
  <c r="D8" i="74" s="1"/>
  <c r="G9" i="74"/>
  <c r="D9" i="74" s="1"/>
  <c r="G10" i="74"/>
  <c r="D10" i="74" s="1"/>
  <c r="G13" i="62"/>
  <c r="D13" i="62" s="1"/>
  <c r="G16" i="62"/>
  <c r="D16" i="62" s="1"/>
  <c r="G18" i="62"/>
  <c r="D18" i="62" s="1"/>
  <c r="G9" i="62"/>
  <c r="D9" i="62" s="1"/>
  <c r="F5" i="62" s="1"/>
  <c r="G13" i="38"/>
  <c r="D13" i="38" s="1"/>
  <c r="G16" i="38"/>
  <c r="D16" i="38" s="1"/>
  <c r="G15" i="38"/>
  <c r="D15" i="38" s="1"/>
  <c r="G17" i="38"/>
  <c r="D17" i="38" s="1"/>
  <c r="G11" i="51"/>
  <c r="D11" i="51" s="1"/>
  <c r="G9" i="41"/>
  <c r="D9" i="41" s="1"/>
  <c r="G11" i="34"/>
  <c r="D11" i="34" s="1"/>
  <c r="G12" i="34"/>
  <c r="D12" i="34" s="1"/>
  <c r="G22" i="32"/>
  <c r="G10" i="28"/>
  <c r="D10" i="28" s="1"/>
  <c r="G15" i="28"/>
  <c r="D12" i="28" s="1"/>
  <c r="G14" i="28"/>
  <c r="G8" i="28"/>
  <c r="G19" i="28"/>
  <c r="G9" i="28"/>
  <c r="G13" i="28"/>
  <c r="G23" i="28"/>
  <c r="G22" i="17"/>
  <c r="G21" i="17"/>
  <c r="D21" i="17" s="1"/>
  <c r="G20" i="17"/>
  <c r="D20" i="17" s="1"/>
  <c r="G19" i="17"/>
  <c r="G18" i="17"/>
  <c r="G17" i="17"/>
  <c r="D25" i="17" s="1"/>
  <c r="G16" i="17"/>
  <c r="G15" i="17"/>
  <c r="G14" i="17"/>
  <c r="G13" i="17"/>
  <c r="G13" i="12"/>
  <c r="G8" i="109"/>
  <c r="G9" i="109"/>
  <c r="G10" i="109"/>
  <c r="D10" i="109" s="1"/>
  <c r="G9" i="106"/>
  <c r="D9" i="106" s="1"/>
  <c r="G10" i="106"/>
  <c r="D10" i="106" s="1"/>
  <c r="G11" i="106"/>
  <c r="D11" i="106" s="1"/>
  <c r="G12" i="106"/>
  <c r="D12" i="106" s="1"/>
  <c r="G8" i="106"/>
  <c r="D8" i="106" s="1"/>
  <c r="G13" i="106"/>
  <c r="D13" i="106" s="1"/>
  <c r="G8" i="117"/>
  <c r="D8" i="117" s="1"/>
  <c r="G9" i="117"/>
  <c r="D9" i="117" s="1"/>
  <c r="G11" i="117"/>
  <c r="D11" i="117" s="1"/>
  <c r="G12" i="117"/>
  <c r="D12" i="117" s="1"/>
  <c r="G8" i="21"/>
  <c r="D8" i="21" s="1"/>
  <c r="G9" i="21"/>
  <c r="D9" i="21" s="1"/>
  <c r="G8" i="105"/>
  <c r="D8" i="105" s="1"/>
  <c r="G9" i="105"/>
  <c r="D9" i="105" s="1"/>
  <c r="G9" i="22"/>
  <c r="D9" i="22" s="1"/>
  <c r="G8" i="22"/>
  <c r="D8" i="22" s="1"/>
  <c r="G12" i="33"/>
  <c r="D12" i="33" s="1"/>
  <c r="G8" i="40"/>
  <c r="D8" i="40" s="1"/>
  <c r="G9" i="40"/>
  <c r="D9" i="40" s="1"/>
  <c r="G12" i="40"/>
  <c r="D12" i="40" s="1"/>
  <c r="G10" i="40"/>
  <c r="D10" i="40" s="1"/>
  <c r="G8" i="107"/>
  <c r="D8" i="107" s="1"/>
  <c r="G9" i="107"/>
  <c r="D9" i="107" s="1"/>
  <c r="G8" i="90"/>
  <c r="D8" i="90" s="1"/>
  <c r="G9" i="90"/>
  <c r="D9" i="90" s="1"/>
  <c r="G19" i="80"/>
  <c r="D19" i="80" s="1"/>
  <c r="G11" i="80"/>
  <c r="D11" i="80" s="1"/>
  <c r="G9" i="116"/>
  <c r="D9" i="116" s="1"/>
  <c r="G8" i="116"/>
  <c r="D8" i="116" s="1"/>
  <c r="G11" i="85"/>
  <c r="D11" i="85" s="1"/>
  <c r="G14" i="85"/>
  <c r="D14" i="85" s="1"/>
  <c r="G8" i="85"/>
  <c r="D8" i="85" s="1"/>
  <c r="G13" i="85"/>
  <c r="D13" i="85" s="1"/>
  <c r="G8" i="108"/>
  <c r="D8" i="108" s="1"/>
  <c r="G9" i="108"/>
  <c r="D9" i="108" s="1"/>
  <c r="G10" i="108"/>
  <c r="D10" i="108" s="1"/>
  <c r="G11" i="72"/>
  <c r="D11" i="72" s="1"/>
  <c r="G9" i="111"/>
  <c r="D9" i="111" s="1"/>
  <c r="G23" i="111"/>
  <c r="D23" i="111" s="1"/>
  <c r="G8" i="65"/>
  <c r="D8" i="65" s="1"/>
  <c r="E10" i="65" s="1"/>
  <c r="BM106" i="1" s="1"/>
  <c r="G8" i="14"/>
  <c r="D8" i="14" s="1"/>
  <c r="G9" i="14"/>
  <c r="D9" i="14" s="1"/>
  <c r="G10" i="14"/>
  <c r="D10" i="14" s="1"/>
  <c r="G8" i="104"/>
  <c r="D8" i="104" s="1"/>
  <c r="G9" i="104"/>
  <c r="D9" i="104" s="1"/>
  <c r="G10" i="104"/>
  <c r="D10" i="104" s="1"/>
  <c r="G8" i="6"/>
  <c r="D8" i="6" s="1"/>
  <c r="G9" i="6"/>
  <c r="D9" i="6" s="1"/>
  <c r="G8" i="18"/>
  <c r="G9" i="18"/>
  <c r="D10" i="18" s="1"/>
  <c r="G8" i="41"/>
  <c r="D8" i="41" s="1"/>
  <c r="G10" i="41"/>
  <c r="D10" i="41" s="1"/>
  <c r="G8" i="61"/>
  <c r="D8" i="61" s="1"/>
  <c r="G9" i="61"/>
  <c r="D9" i="61" s="1"/>
  <c r="G17" i="78"/>
  <c r="D17" i="78" s="1"/>
  <c r="G9" i="78"/>
  <c r="D9" i="78" s="1"/>
  <c r="G15" i="78"/>
  <c r="D15" i="78" s="1"/>
  <c r="G8" i="87"/>
  <c r="D8" i="87" s="1"/>
  <c r="G11" i="87"/>
  <c r="D11" i="87" s="1"/>
  <c r="G9" i="87"/>
  <c r="D9" i="87" s="1"/>
  <c r="G16" i="99"/>
  <c r="D16" i="99" s="1"/>
  <c r="G10" i="99"/>
  <c r="D10" i="99" s="1"/>
  <c r="G13" i="99"/>
  <c r="D13" i="99" s="1"/>
  <c r="G28" i="38"/>
  <c r="D28" i="38" s="1"/>
  <c r="G21" i="38"/>
  <c r="D21" i="38" s="1"/>
  <c r="G8" i="101"/>
  <c r="D8" i="101" s="1"/>
  <c r="G9" i="101"/>
  <c r="G10" i="101"/>
  <c r="D10" i="101" s="1"/>
  <c r="G11" i="101"/>
  <c r="D11" i="101" s="1"/>
  <c r="G8" i="82"/>
  <c r="D8" i="82" s="1"/>
  <c r="G10" i="82"/>
  <c r="D10" i="82" s="1"/>
  <c r="G11" i="82"/>
  <c r="D11" i="82" s="1"/>
  <c r="G11" i="88"/>
  <c r="D11" i="88" s="1"/>
  <c r="G13" i="88"/>
  <c r="D13" i="88" s="1"/>
  <c r="G11" i="103"/>
  <c r="D11" i="103" s="1"/>
  <c r="CR2" i="1"/>
  <c r="G14" i="80"/>
  <c r="D14" i="80" s="1"/>
  <c r="G9" i="96"/>
  <c r="D9" i="96" s="1"/>
  <c r="G15" i="33"/>
  <c r="D19" i="33" s="1"/>
  <c r="G13" i="33"/>
  <c r="D17" i="33" s="1"/>
  <c r="G14" i="33"/>
  <c r="D14" i="33" s="1"/>
  <c r="G17" i="26"/>
  <c r="G15" i="26"/>
  <c r="G13" i="26"/>
  <c r="D13" i="26" s="1"/>
  <c r="G9" i="26"/>
  <c r="G14" i="26"/>
  <c r="G26" i="26"/>
  <c r="D26" i="26" s="1"/>
  <c r="G25" i="26"/>
  <c r="D25" i="26" s="1"/>
  <c r="G8" i="26"/>
  <c r="G28" i="26"/>
  <c r="D28" i="26" s="1"/>
  <c r="G24" i="26"/>
  <c r="D24" i="26" s="1"/>
  <c r="G20" i="26"/>
  <c r="G12" i="26"/>
  <c r="G18" i="26"/>
  <c r="G27" i="26"/>
  <c r="D27" i="26" s="1"/>
  <c r="G8" i="126"/>
  <c r="D8" i="126" s="1"/>
  <c r="G9" i="126"/>
  <c r="D9" i="126" s="1"/>
  <c r="G8" i="120"/>
  <c r="D8" i="120" s="1"/>
  <c r="G10" i="120"/>
  <c r="D10" i="120" s="1"/>
  <c r="G9" i="120"/>
  <c r="D9" i="120" s="1"/>
  <c r="G11" i="120"/>
  <c r="D11" i="120" s="1"/>
  <c r="G12" i="120"/>
  <c r="D12" i="120" s="1"/>
  <c r="G10" i="115"/>
  <c r="D10" i="115" s="1"/>
  <c r="G19" i="115"/>
  <c r="D19" i="115" s="1"/>
  <c r="G8" i="123"/>
  <c r="D8" i="123" s="1"/>
  <c r="G14" i="123"/>
  <c r="D14" i="123" s="1"/>
  <c r="G20" i="123"/>
  <c r="D20" i="123" s="1"/>
  <c r="G9" i="123"/>
  <c r="D9" i="123" s="1"/>
  <c r="G17" i="123"/>
  <c r="D17" i="123" s="1"/>
  <c r="G9" i="124"/>
  <c r="D9" i="124" s="1"/>
  <c r="G11" i="124"/>
  <c r="D11" i="124" s="1"/>
  <c r="G21" i="124"/>
  <c r="D21" i="124" s="1"/>
  <c r="G19" i="124"/>
  <c r="D19" i="124" s="1"/>
  <c r="G14" i="124"/>
  <c r="D14" i="124" s="1"/>
  <c r="G14" i="106"/>
  <c r="D14" i="106" s="1"/>
  <c r="G15" i="106"/>
  <c r="D15" i="106" s="1"/>
  <c r="G8" i="125"/>
  <c r="D8" i="125" s="1"/>
  <c r="G9" i="125"/>
  <c r="D9" i="125" s="1"/>
  <c r="G10" i="125"/>
  <c r="D10" i="125" s="1"/>
  <c r="G11" i="114"/>
  <c r="D11" i="114" s="1"/>
  <c r="G10" i="114"/>
  <c r="D10" i="114" s="1"/>
  <c r="G14" i="114"/>
  <c r="D14" i="114" s="1"/>
  <c r="G12" i="114"/>
  <c r="D12" i="114" s="1"/>
  <c r="G15" i="114"/>
  <c r="D15" i="114" s="1"/>
  <c r="G8" i="119"/>
  <c r="D8" i="119" s="1"/>
  <c r="G9" i="119"/>
  <c r="D9" i="119" s="1"/>
  <c r="G10" i="122"/>
  <c r="D10" i="122" s="1"/>
  <c r="G19" i="122"/>
  <c r="D19" i="122" s="1"/>
  <c r="G14" i="122"/>
  <c r="D14" i="122" s="1"/>
  <c r="G21" i="122"/>
  <c r="D21" i="122" s="1"/>
  <c r="G8" i="122"/>
  <c r="D8" i="122" s="1"/>
  <c r="G21" i="121"/>
  <c r="D21" i="121" s="1"/>
  <c r="G10" i="121"/>
  <c r="D10" i="121" s="1"/>
  <c r="G19" i="121"/>
  <c r="D19" i="121" s="1"/>
  <c r="G8" i="112"/>
  <c r="D8" i="112" s="1"/>
  <c r="G10" i="112"/>
  <c r="D10" i="112" s="1"/>
  <c r="G8" i="118"/>
  <c r="D8" i="118" s="1"/>
  <c r="G9" i="118"/>
  <c r="D9" i="118" s="1"/>
  <c r="G25" i="113"/>
  <c r="G21" i="113"/>
  <c r="G19" i="113"/>
  <c r="G8" i="100"/>
  <c r="D8" i="100" s="1"/>
  <c r="G9" i="100"/>
  <c r="D9" i="100" s="1"/>
  <c r="G10" i="100"/>
  <c r="D10" i="100" s="1"/>
  <c r="G9" i="110"/>
  <c r="D9" i="110" s="1"/>
  <c r="G8" i="110"/>
  <c r="D8" i="110" s="1"/>
  <c r="G31" i="113"/>
  <c r="AE818" i="84"/>
  <c r="AE810" i="84"/>
  <c r="AE817" i="84"/>
  <c r="AE816" i="84"/>
  <c r="AE815" i="84"/>
  <c r="AE814" i="84"/>
  <c r="AE813" i="84"/>
  <c r="AE812" i="84"/>
  <c r="AE811" i="84"/>
  <c r="AE808" i="84"/>
  <c r="AE809" i="84"/>
  <c r="AE807" i="84"/>
  <c r="AE806" i="84"/>
  <c r="AE805" i="84"/>
  <c r="DX3" i="1"/>
  <c r="DX2" i="1"/>
  <c r="DW3" i="1"/>
  <c r="DW2" i="1"/>
  <c r="G12" i="125"/>
  <c r="D12" i="125" s="1"/>
  <c r="G18" i="126"/>
  <c r="D18" i="126" s="1"/>
  <c r="G16" i="126"/>
  <c r="D16" i="126" s="1"/>
  <c r="G17" i="126"/>
  <c r="D17" i="126" s="1"/>
  <c r="G11" i="125"/>
  <c r="D11" i="125" s="1"/>
  <c r="G13" i="126"/>
  <c r="D13" i="126" s="1"/>
  <c r="G15" i="126"/>
  <c r="D15" i="126" s="1"/>
  <c r="G11" i="126"/>
  <c r="D11" i="126" s="1"/>
  <c r="G12" i="126"/>
  <c r="D12" i="126" s="1"/>
  <c r="G14" i="126"/>
  <c r="D14" i="126" s="1"/>
  <c r="G10" i="126"/>
  <c r="D10" i="126" s="1"/>
  <c r="AE800" i="84"/>
  <c r="AE799" i="84"/>
  <c r="AE798" i="84"/>
  <c r="AE797" i="84"/>
  <c r="AE796" i="84"/>
  <c r="AE795" i="84"/>
  <c r="AE794" i="84"/>
  <c r="AE793" i="84"/>
  <c r="AE792" i="84"/>
  <c r="AE791" i="84"/>
  <c r="AE790" i="84"/>
  <c r="AE789" i="84"/>
  <c r="AE788" i="84"/>
  <c r="AE787" i="84"/>
  <c r="DV3" i="1"/>
  <c r="DV2" i="1"/>
  <c r="DU3" i="1"/>
  <c r="DU2" i="1"/>
  <c r="G22" i="124"/>
  <c r="D22" i="124" s="1"/>
  <c r="G8" i="124"/>
  <c r="D8" i="124" s="1"/>
  <c r="G10" i="124"/>
  <c r="D10" i="124" s="1"/>
  <c r="G13" i="124"/>
  <c r="D13" i="124" s="1"/>
  <c r="G15" i="124"/>
  <c r="D15" i="124" s="1"/>
  <c r="DS2" i="1"/>
  <c r="G17" i="122"/>
  <c r="D17" i="122" s="1"/>
  <c r="G16" i="122"/>
  <c r="D16" i="122" s="1"/>
  <c r="G12" i="122"/>
  <c r="D12" i="122" s="1"/>
  <c r="G9" i="122"/>
  <c r="D9" i="122" s="1"/>
  <c r="DT2" i="1"/>
  <c r="G9" i="121"/>
  <c r="D9" i="121" s="1"/>
  <c r="G8" i="121"/>
  <c r="D8" i="121" s="1"/>
  <c r="G13" i="121"/>
  <c r="D13" i="121" s="1"/>
  <c r="DP3" i="1"/>
  <c r="DP2" i="1"/>
  <c r="DO3" i="1"/>
  <c r="DO2" i="1"/>
  <c r="G19" i="114"/>
  <c r="D19" i="114" s="1"/>
  <c r="DR3" i="1"/>
  <c r="DR2" i="1"/>
  <c r="G15" i="115"/>
  <c r="D15" i="115" s="1"/>
  <c r="G13" i="115"/>
  <c r="D13" i="115" s="1"/>
  <c r="G16" i="115"/>
  <c r="D16" i="115" s="1"/>
  <c r="G12" i="115"/>
  <c r="D12" i="115" s="1"/>
  <c r="G9" i="115"/>
  <c r="D9" i="115" s="1"/>
  <c r="G8" i="115"/>
  <c r="D8" i="115" s="1"/>
  <c r="G23" i="115"/>
  <c r="D23" i="115" s="1"/>
  <c r="G21" i="115"/>
  <c r="D21" i="115" s="1"/>
  <c r="G22" i="115"/>
  <c r="D22" i="115" s="1"/>
  <c r="G14" i="115"/>
  <c r="D14" i="115" s="1"/>
  <c r="DQ3" i="1"/>
  <c r="DQ2" i="1"/>
  <c r="DT3" i="1"/>
  <c r="DS3" i="1"/>
  <c r="DN2" i="1"/>
  <c r="DN3" i="1"/>
  <c r="DM3" i="1"/>
  <c r="DM2" i="1"/>
  <c r="DL3" i="1"/>
  <c r="DL2" i="1"/>
  <c r="EN657" i="1"/>
  <c r="DK3" i="1"/>
  <c r="DK2" i="1"/>
  <c r="DJ3" i="1"/>
  <c r="DJ2" i="1"/>
  <c r="DI3" i="1"/>
  <c r="DI2" i="1"/>
  <c r="DH3" i="1"/>
  <c r="DH2" i="1"/>
  <c r="DG3" i="1"/>
  <c r="DG2" i="1"/>
  <c r="DF3" i="1"/>
  <c r="DF2" i="1"/>
  <c r="DE3" i="1"/>
  <c r="DE2" i="1"/>
  <c r="DD3" i="1"/>
  <c r="DD2" i="1"/>
  <c r="DC3" i="1"/>
  <c r="DC2" i="1"/>
  <c r="DB3" i="1"/>
  <c r="DB2" i="1"/>
  <c r="DA3" i="1"/>
  <c r="DA2" i="1"/>
  <c r="CZ3" i="1"/>
  <c r="CZ2" i="1"/>
  <c r="CY3" i="1"/>
  <c r="CY2" i="1"/>
  <c r="CX3" i="1"/>
  <c r="CX2" i="1"/>
  <c r="CV3" i="1"/>
  <c r="CV2" i="1"/>
  <c r="CW3" i="1"/>
  <c r="CW2" i="1"/>
  <c r="CU3" i="1"/>
  <c r="CU2" i="1"/>
  <c r="CT3" i="1"/>
  <c r="CT2" i="1"/>
  <c r="CS3" i="1"/>
  <c r="CS2" i="1"/>
  <c r="CR3" i="1"/>
  <c r="CQ3" i="1"/>
  <c r="CQ2" i="1"/>
  <c r="CP3" i="1"/>
  <c r="CP2" i="1"/>
  <c r="CO3" i="1"/>
  <c r="CO2" i="1"/>
  <c r="CN3" i="1"/>
  <c r="CN2" i="1"/>
  <c r="CM3" i="1"/>
  <c r="CM2" i="1"/>
  <c r="CL3" i="1"/>
  <c r="CL2" i="1"/>
  <c r="CK3" i="1"/>
  <c r="CK2" i="1"/>
  <c r="CJ3" i="1"/>
  <c r="CJ2" i="1"/>
  <c r="CI3" i="1"/>
  <c r="CI2" i="1"/>
  <c r="CH3" i="1"/>
  <c r="CH2" i="1"/>
  <c r="CG3" i="1"/>
  <c r="CG2" i="1"/>
  <c r="CD3" i="1"/>
  <c r="CD2" i="1"/>
  <c r="CF3" i="1"/>
  <c r="CF2" i="1"/>
  <c r="CE3" i="1"/>
  <c r="CE2" i="1"/>
  <c r="CC3" i="1"/>
  <c r="CC2" i="1"/>
  <c r="CB3" i="1"/>
  <c r="CB2" i="1"/>
  <c r="CA3" i="1"/>
  <c r="CA2" i="1"/>
  <c r="BZ3" i="1"/>
  <c r="BZ2" i="1"/>
  <c r="BY3" i="1"/>
  <c r="BY2" i="1"/>
  <c r="BX3" i="1"/>
  <c r="BX2" i="1"/>
  <c r="BW3" i="1"/>
  <c r="BW2" i="1"/>
  <c r="BV3" i="1"/>
  <c r="BV2" i="1"/>
  <c r="BU3" i="1"/>
  <c r="BU2" i="1"/>
  <c r="BT3" i="1"/>
  <c r="BT2" i="1"/>
  <c r="BS3" i="1"/>
  <c r="BS2" i="1"/>
  <c r="BR3" i="1"/>
  <c r="BR2" i="1"/>
  <c r="BQ3" i="1"/>
  <c r="BQ2" i="1"/>
  <c r="BP3" i="1"/>
  <c r="BP2" i="1"/>
  <c r="BO3" i="1"/>
  <c r="BO2" i="1"/>
  <c r="BN3" i="1"/>
  <c r="BN2" i="1"/>
  <c r="BM3" i="1"/>
  <c r="BM2" i="1"/>
  <c r="BL3" i="1"/>
  <c r="BL2" i="1"/>
  <c r="BK3" i="1"/>
  <c r="BK2" i="1"/>
  <c r="BJ3" i="1"/>
  <c r="BJ2" i="1"/>
  <c r="BI3" i="1"/>
  <c r="BI2" i="1"/>
  <c r="BH3" i="1"/>
  <c r="BH2" i="1"/>
  <c r="BG3" i="1"/>
  <c r="BG2" i="1"/>
  <c r="BF3" i="1"/>
  <c r="BF2" i="1"/>
  <c r="BE3" i="1"/>
  <c r="BE2" i="1"/>
  <c r="BD3" i="1"/>
  <c r="BD2" i="1"/>
  <c r="BC3" i="1"/>
  <c r="BC2" i="1"/>
  <c r="BB3" i="1"/>
  <c r="BB2" i="1"/>
  <c r="BA3" i="1"/>
  <c r="BA2" i="1"/>
  <c r="AZ3" i="1"/>
  <c r="AZ2" i="1"/>
  <c r="G16" i="91"/>
  <c r="D16" i="91" s="1"/>
  <c r="AY3" i="1"/>
  <c r="AY2" i="1"/>
  <c r="AX3" i="1"/>
  <c r="AX2" i="1"/>
  <c r="AW3" i="1"/>
  <c r="AW2" i="1"/>
  <c r="AV3" i="1"/>
  <c r="AV2" i="1"/>
  <c r="AU3" i="1"/>
  <c r="AU2" i="1"/>
  <c r="AT3" i="1"/>
  <c r="AT2" i="1"/>
  <c r="G21" i="32"/>
  <c r="D21" i="32" s="1"/>
  <c r="G8" i="32"/>
  <c r="G16" i="32"/>
  <c r="G13" i="32"/>
  <c r="G14" i="32"/>
  <c r="AS3" i="1"/>
  <c r="AS2" i="1"/>
  <c r="AR3" i="1"/>
  <c r="AR2" i="1"/>
  <c r="AQ3" i="1"/>
  <c r="AQ2" i="1"/>
  <c r="AP3" i="1"/>
  <c r="AP2" i="1"/>
  <c r="AO3" i="1"/>
  <c r="AO2" i="1"/>
  <c r="AN3" i="1"/>
  <c r="AN2" i="1"/>
  <c r="AM3" i="1"/>
  <c r="AM2" i="1"/>
  <c r="AL3" i="1"/>
  <c r="AL2" i="1"/>
  <c r="AK3" i="1"/>
  <c r="AK2" i="1"/>
  <c r="AJ3" i="1"/>
  <c r="AJ2" i="1"/>
  <c r="AI3" i="1"/>
  <c r="AI2" i="1"/>
  <c r="AH3" i="1"/>
  <c r="AH2" i="1"/>
  <c r="AG3" i="1"/>
  <c r="AG2" i="1"/>
  <c r="AF3" i="1"/>
  <c r="AF2" i="1"/>
  <c r="AE3" i="1"/>
  <c r="AE2" i="1"/>
  <c r="AD3" i="1"/>
  <c r="AD2" i="1"/>
  <c r="AC3" i="1"/>
  <c r="AC2" i="1"/>
  <c r="AB3" i="1"/>
  <c r="AB2" i="1"/>
  <c r="AA3" i="1"/>
  <c r="AA2" i="1"/>
  <c r="Y2" i="1"/>
  <c r="Z3" i="1"/>
  <c r="Z2" i="1"/>
  <c r="Y3" i="1"/>
  <c r="X3" i="1"/>
  <c r="X2" i="1"/>
  <c r="W3" i="1"/>
  <c r="W2" i="1"/>
  <c r="V3" i="1"/>
  <c r="V2" i="1"/>
  <c r="U3" i="1"/>
  <c r="U2" i="1"/>
  <c r="T3" i="1"/>
  <c r="T2" i="1"/>
  <c r="S3" i="1"/>
  <c r="S2" i="1"/>
  <c r="R2" i="1"/>
  <c r="R3" i="1"/>
  <c r="Q3" i="1"/>
  <c r="Q2" i="1"/>
  <c r="P3" i="1"/>
  <c r="P2" i="1"/>
  <c r="O3" i="1"/>
  <c r="O2" i="1"/>
  <c r="N3" i="1"/>
  <c r="N2" i="1"/>
  <c r="M3" i="1"/>
  <c r="M2" i="1"/>
  <c r="L3" i="1"/>
  <c r="L2" i="1"/>
  <c r="K3" i="1"/>
  <c r="K2" i="1"/>
  <c r="G10" i="107"/>
  <c r="D10" i="107" s="1"/>
  <c r="J2" i="1"/>
  <c r="I2" i="1"/>
  <c r="G13" i="114"/>
  <c r="D13" i="114" s="1"/>
  <c r="G18" i="114"/>
  <c r="D18" i="114" s="1"/>
  <c r="G34" i="114"/>
  <c r="D34" i="114" s="1"/>
  <c r="G13" i="123"/>
  <c r="D13" i="123" s="1"/>
  <c r="G10" i="123"/>
  <c r="D10" i="123" s="1"/>
  <c r="G11" i="123"/>
  <c r="D11" i="123" s="1"/>
  <c r="G21" i="123"/>
  <c r="D21" i="123" s="1"/>
  <c r="G19" i="123"/>
  <c r="D19" i="123" s="1"/>
  <c r="G15" i="123"/>
  <c r="D15" i="123" s="1"/>
  <c r="G16" i="123"/>
  <c r="D16" i="123" s="1"/>
  <c r="G18" i="123"/>
  <c r="D18" i="123" s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G16" i="106"/>
  <c r="D16" i="106" s="1"/>
  <c r="I3" i="1"/>
  <c r="J3" i="1"/>
  <c r="G8" i="3"/>
  <c r="D8" i="3" s="1"/>
  <c r="E11" i="3" s="1"/>
  <c r="G15" i="3"/>
  <c r="D15" i="3" s="1"/>
  <c r="G14" i="3"/>
  <c r="D14" i="3" s="1"/>
  <c r="G13" i="3"/>
  <c r="D13" i="3" s="1"/>
  <c r="G12" i="3"/>
  <c r="D12" i="3" s="1"/>
  <c r="G11" i="3"/>
  <c r="D11" i="3" s="1"/>
  <c r="G10" i="3"/>
  <c r="D10" i="3" s="1"/>
  <c r="G9" i="3"/>
  <c r="D9" i="3" s="1"/>
  <c r="E24" i="87" l="1"/>
  <c r="CV92" i="1" s="1"/>
  <c r="E33" i="87"/>
  <c r="CV461" i="1" s="1"/>
  <c r="E14" i="87"/>
  <c r="CV204" i="1" s="1"/>
  <c r="E31" i="87"/>
  <c r="CV331" i="1" s="1"/>
  <c r="E26" i="87"/>
  <c r="CV364" i="1" s="1"/>
  <c r="E30" i="87"/>
  <c r="CV354" i="1" s="1"/>
  <c r="E36" i="87"/>
  <c r="CV221" i="1" s="1"/>
  <c r="E27" i="87"/>
  <c r="CV433" i="1" s="1"/>
  <c r="E32" i="87"/>
  <c r="E13" i="87"/>
  <c r="CV369" i="1" s="1"/>
  <c r="E25" i="87"/>
  <c r="CV36" i="1" s="1"/>
  <c r="E21" i="87"/>
  <c r="CV255" i="1" s="1"/>
  <c r="E12" i="87"/>
  <c r="CV107" i="1" s="1"/>
  <c r="E19" i="87"/>
  <c r="CV358" i="1" s="1"/>
  <c r="E17" i="87"/>
  <c r="CV223" i="1" s="1"/>
  <c r="E9" i="87"/>
  <c r="CV16" i="1" s="1"/>
  <c r="E35" i="87"/>
  <c r="CV236" i="1" s="1"/>
  <c r="E23" i="87"/>
  <c r="CV48" i="1" s="1"/>
  <c r="E18" i="87"/>
  <c r="CV308" i="1" s="1"/>
  <c r="E10" i="87"/>
  <c r="CV123" i="1" s="1"/>
  <c r="E22" i="87"/>
  <c r="CV337" i="1" s="1"/>
  <c r="E29" i="87"/>
  <c r="CV395" i="1" s="1"/>
  <c r="E20" i="87"/>
  <c r="CV428" i="1" s="1"/>
  <c r="E34" i="87"/>
  <c r="CV440" i="1" s="1"/>
  <c r="E16" i="87"/>
  <c r="CV100" i="1" s="1"/>
  <c r="E8" i="87"/>
  <c r="CV66" i="1" s="1"/>
  <c r="E28" i="87"/>
  <c r="CV57" i="1" s="1"/>
  <c r="E15" i="87"/>
  <c r="CV60" i="1" s="1"/>
  <c r="F5" i="87"/>
  <c r="E11" i="87"/>
  <c r="CV312" i="1" s="1"/>
  <c r="E17" i="99"/>
  <c r="CW98" i="1" s="1"/>
  <c r="E13" i="99"/>
  <c r="CW45" i="1" s="1"/>
  <c r="E12" i="99"/>
  <c r="CW201" i="1" s="1"/>
  <c r="E16" i="99"/>
  <c r="CW67" i="1" s="1"/>
  <c r="E14" i="99"/>
  <c r="CW261" i="1" s="1"/>
  <c r="F5" i="99"/>
  <c r="E8" i="99"/>
  <c r="CW93" i="1" s="1"/>
  <c r="E15" i="99"/>
  <c r="CW436" i="1" s="1"/>
  <c r="E9" i="99"/>
  <c r="CW444" i="1" s="1"/>
  <c r="E11" i="99"/>
  <c r="CW449" i="1" s="1"/>
  <c r="E10" i="99"/>
  <c r="CW171" i="1" s="1"/>
  <c r="E22" i="78"/>
  <c r="CS280" i="1" s="1"/>
  <c r="E14" i="78"/>
  <c r="CS409" i="1" s="1"/>
  <c r="E17" i="78"/>
  <c r="CS225" i="1" s="1"/>
  <c r="E21" i="78"/>
  <c r="CS441" i="1" s="1"/>
  <c r="E13" i="78"/>
  <c r="CS331" i="1" s="1"/>
  <c r="E9" i="78"/>
  <c r="CS67" i="1" s="1"/>
  <c r="E16" i="78"/>
  <c r="CS373" i="1" s="1"/>
  <c r="F5" i="78"/>
  <c r="E20" i="78"/>
  <c r="CS144" i="1" s="1"/>
  <c r="E12" i="78"/>
  <c r="CS137" i="1" s="1"/>
  <c r="E19" i="78"/>
  <c r="CS46" i="1" s="1"/>
  <c r="EK46" i="1" s="1"/>
  <c r="EL46" i="1" s="1"/>
  <c r="E11" i="78"/>
  <c r="CS433" i="1" s="1"/>
  <c r="E18" i="78"/>
  <c r="CS285" i="1" s="1"/>
  <c r="E10" i="78"/>
  <c r="CS207" i="1" s="1"/>
  <c r="E8" i="78"/>
  <c r="CS215" i="1" s="1"/>
  <c r="E15" i="78"/>
  <c r="CS104" i="1" s="1"/>
  <c r="E9" i="79"/>
  <c r="CR67" i="1" s="1"/>
  <c r="E14" i="79"/>
  <c r="CR409" i="1" s="1"/>
  <c r="E12" i="79"/>
  <c r="CR137" i="1" s="1"/>
  <c r="E16" i="79"/>
  <c r="CR373" i="1" s="1"/>
  <c r="E13" i="79"/>
  <c r="CR331" i="1" s="1"/>
  <c r="E10" i="79"/>
  <c r="CR207" i="1" s="1"/>
  <c r="E11" i="79"/>
  <c r="CR433" i="1" s="1"/>
  <c r="E8" i="79"/>
  <c r="CR215" i="1" s="1"/>
  <c r="E15" i="79"/>
  <c r="CR104" i="1" s="1"/>
  <c r="D17" i="32"/>
  <c r="E23" i="81"/>
  <c r="CP461" i="1" s="1"/>
  <c r="E21" i="81"/>
  <c r="CP300" i="1" s="1"/>
  <c r="E18" i="81"/>
  <c r="CP308" i="1" s="1"/>
  <c r="E14" i="81"/>
  <c r="CP204" i="1" s="1"/>
  <c r="E20" i="81"/>
  <c r="CP255" i="1" s="1"/>
  <c r="E17" i="81"/>
  <c r="CP223" i="1" s="1"/>
  <c r="E12" i="81"/>
  <c r="CP107" i="1" s="1"/>
  <c r="E22" i="81"/>
  <c r="CP229" i="1" s="1"/>
  <c r="E19" i="81"/>
  <c r="CP358" i="1" s="1"/>
  <c r="E11" i="81"/>
  <c r="CP312" i="1" s="1"/>
  <c r="E15" i="81"/>
  <c r="CP60" i="1" s="1"/>
  <c r="E16" i="81"/>
  <c r="CP100" i="1" s="1"/>
  <c r="E32" i="67"/>
  <c r="CO67" i="1" s="1"/>
  <c r="E33" i="67"/>
  <c r="CO171" i="1" s="1"/>
  <c r="E10" i="67"/>
  <c r="CO449" i="1" s="1"/>
  <c r="E13" i="67"/>
  <c r="CO45" i="1" s="1"/>
  <c r="E19" i="67"/>
  <c r="CO436" i="1" s="1"/>
  <c r="E34" i="67"/>
  <c r="CO98" i="1" s="1"/>
  <c r="E15" i="67"/>
  <c r="CO261" i="1" s="1"/>
  <c r="E8" i="67"/>
  <c r="CO93" i="1" s="1"/>
  <c r="E12" i="67"/>
  <c r="CO201" i="1" s="1"/>
  <c r="E10" i="68"/>
  <c r="CM15" i="1" s="1"/>
  <c r="E8" i="68"/>
  <c r="CM434" i="1" s="1"/>
  <c r="E9" i="68"/>
  <c r="CM239" i="1" s="1"/>
  <c r="F5" i="68"/>
  <c r="E23" i="70"/>
  <c r="CN461" i="1" s="1"/>
  <c r="E17" i="86"/>
  <c r="CL456" i="1" s="1"/>
  <c r="E13" i="86"/>
  <c r="CL395" i="1" s="1"/>
  <c r="E11" i="86"/>
  <c r="CL379" i="1" s="1"/>
  <c r="E15" i="86"/>
  <c r="CL447" i="1" s="1"/>
  <c r="E10" i="86"/>
  <c r="CL389" i="1" s="1"/>
  <c r="E18" i="86"/>
  <c r="CL95" i="1" s="1"/>
  <c r="E16" i="86"/>
  <c r="CL138" i="1" s="1"/>
  <c r="E12" i="86"/>
  <c r="CL113" i="1" s="1"/>
  <c r="E20" i="86"/>
  <c r="CL368" i="1" s="1"/>
  <c r="F5" i="95"/>
  <c r="E9" i="95"/>
  <c r="CH312" i="1" s="1"/>
  <c r="E8" i="95"/>
  <c r="CH16" i="1" s="1"/>
  <c r="E12" i="94"/>
  <c r="CG204" i="1" s="1"/>
  <c r="E11" i="94"/>
  <c r="CG66" i="1" s="1"/>
  <c r="E10" i="94"/>
  <c r="CG123" i="1" s="1"/>
  <c r="E9" i="94"/>
  <c r="CG312" i="1" s="1"/>
  <c r="E8" i="94"/>
  <c r="CG16" i="1" s="1"/>
  <c r="F5" i="94"/>
  <c r="F5" i="96"/>
  <c r="E11" i="66"/>
  <c r="CJ66" i="1" s="1"/>
  <c r="F5" i="55"/>
  <c r="D21" i="26"/>
  <c r="E43" i="64"/>
  <c r="CF351" i="1" s="1"/>
  <c r="E25" i="64"/>
  <c r="CF245" i="1" s="1"/>
  <c r="E78" i="64"/>
  <c r="CF445" i="1" s="1"/>
  <c r="E75" i="64"/>
  <c r="E58" i="64"/>
  <c r="CF156" i="1" s="1"/>
  <c r="E73" i="64"/>
  <c r="CF77" i="1" s="1"/>
  <c r="E15" i="64"/>
  <c r="CF215" i="1" s="1"/>
  <c r="E81" i="64"/>
  <c r="CF157" i="1" s="1"/>
  <c r="E50" i="64"/>
  <c r="CF246" i="1" s="1"/>
  <c r="E40" i="64"/>
  <c r="CF196" i="1" s="1"/>
  <c r="E41" i="64"/>
  <c r="CF234" i="1" s="1"/>
  <c r="E42" i="64"/>
  <c r="CF168" i="1" s="1"/>
  <c r="E24" i="64"/>
  <c r="CF41" i="1" s="1"/>
  <c r="E21" i="64"/>
  <c r="CF158" i="1" s="1"/>
  <c r="E16" i="64"/>
  <c r="CF301" i="1" s="1"/>
  <c r="E9" i="64"/>
  <c r="CF127" i="1" s="1"/>
  <c r="E72" i="64"/>
  <c r="CF260" i="1" s="1"/>
  <c r="E68" i="64"/>
  <c r="CF219" i="1" s="1"/>
  <c r="E59" i="64"/>
  <c r="CF286" i="1" s="1"/>
  <c r="E67" i="64"/>
  <c r="CF287" i="1" s="1"/>
  <c r="E32" i="64"/>
  <c r="CF27" i="1" s="1"/>
  <c r="E71" i="64"/>
  <c r="CF401" i="1" s="1"/>
  <c r="E47" i="64"/>
  <c r="CF119" i="1" s="1"/>
  <c r="E55" i="64"/>
  <c r="E36" i="64"/>
  <c r="CF354" i="1" s="1"/>
  <c r="E35" i="64"/>
  <c r="CF243" i="1" s="1"/>
  <c r="E76" i="64"/>
  <c r="CF213" i="1" s="1"/>
  <c r="E74" i="64"/>
  <c r="CF458" i="1" s="1"/>
  <c r="E57" i="64"/>
  <c r="CF49" i="1" s="1"/>
  <c r="E53" i="64"/>
  <c r="CF390" i="1" s="1"/>
  <c r="E70" i="64"/>
  <c r="CF303" i="1" s="1"/>
  <c r="E69" i="64"/>
  <c r="CF371" i="1" s="1"/>
  <c r="E22" i="64"/>
  <c r="CF375" i="1" s="1"/>
  <c r="E46" i="64"/>
  <c r="CF422" i="1" s="1"/>
  <c r="E45" i="64"/>
  <c r="CF200" i="1" s="1"/>
  <c r="E39" i="64"/>
  <c r="CF460" i="1" s="1"/>
  <c r="E54" i="64"/>
  <c r="CF115" i="1" s="1"/>
  <c r="E28" i="64"/>
  <c r="CF148" i="1" s="1"/>
  <c r="E65" i="64"/>
  <c r="CF26" i="1" s="1"/>
  <c r="EK26" i="1" s="1"/>
  <c r="EL26" i="1" s="1"/>
  <c r="E56" i="64"/>
  <c r="CF64" i="1" s="1"/>
  <c r="E80" i="64"/>
  <c r="CF262" i="1" s="1"/>
  <c r="E44" i="64"/>
  <c r="CF305" i="1" s="1"/>
  <c r="E52" i="64"/>
  <c r="CF4" i="1" s="1"/>
  <c r="E31" i="64"/>
  <c r="CF384" i="1" s="1"/>
  <c r="E38" i="64"/>
  <c r="CF184" i="1" s="1"/>
  <c r="E79" i="64"/>
  <c r="CF24" i="1" s="1"/>
  <c r="E19" i="64"/>
  <c r="CF326" i="1" s="1"/>
  <c r="E17" i="64"/>
  <c r="CF257" i="1" s="1"/>
  <c r="E77" i="64"/>
  <c r="CF62" i="1" s="1"/>
  <c r="E60" i="64"/>
  <c r="CF124" i="1" s="1"/>
  <c r="E48" i="64"/>
  <c r="CF344" i="1" s="1"/>
  <c r="E61" i="64"/>
  <c r="CF288" i="1" s="1"/>
  <c r="E51" i="64"/>
  <c r="CF228" i="1" s="1"/>
  <c r="E66" i="64"/>
  <c r="CF29" i="1" s="1"/>
  <c r="EK29" i="1" s="1"/>
  <c r="EL29" i="1" s="1"/>
  <c r="E11" i="59"/>
  <c r="CB88" i="1" s="1"/>
  <c r="F5" i="59"/>
  <c r="E10" i="59"/>
  <c r="CB323" i="1" s="1"/>
  <c r="E8" i="59"/>
  <c r="CB106" i="1" s="1"/>
  <c r="E9" i="59"/>
  <c r="CB223" i="1" s="1"/>
  <c r="E18" i="38"/>
  <c r="CD266" i="1" s="1"/>
  <c r="E25" i="38"/>
  <c r="CD203" i="1" s="1"/>
  <c r="E26" i="38"/>
  <c r="CD423" i="1" s="1"/>
  <c r="E23" i="38"/>
  <c r="CD55" i="1" s="1"/>
  <c r="E22" i="38"/>
  <c r="CD163" i="1" s="1"/>
  <c r="E24" i="38"/>
  <c r="CD315" i="1" s="1"/>
  <c r="E29" i="38"/>
  <c r="CD397" i="1" s="1"/>
  <c r="E27" i="38"/>
  <c r="CD316" i="1" s="1"/>
  <c r="E11" i="53"/>
  <c r="BZ164" i="1" s="1"/>
  <c r="F5" i="53"/>
  <c r="E9" i="53"/>
  <c r="BZ310" i="1" s="1"/>
  <c r="E8" i="53"/>
  <c r="BZ83" i="1" s="1"/>
  <c r="E10" i="53"/>
  <c r="BZ31" i="1" s="1"/>
  <c r="E11" i="52"/>
  <c r="BY88" i="1" s="1"/>
  <c r="F5" i="52"/>
  <c r="E10" i="52"/>
  <c r="BY323" i="1" s="1"/>
  <c r="E8" i="52"/>
  <c r="BY106" i="1" s="1"/>
  <c r="E9" i="52"/>
  <c r="BY223" i="1" s="1"/>
  <c r="E11" i="51"/>
  <c r="BU164" i="1" s="1"/>
  <c r="F5" i="51"/>
  <c r="E8" i="51"/>
  <c r="BU83" i="1" s="1"/>
  <c r="E10" i="51"/>
  <c r="BU31" i="1" s="1"/>
  <c r="E9" i="51"/>
  <c r="BU310" i="1" s="1"/>
  <c r="E9" i="82"/>
  <c r="BX310" i="1" s="1"/>
  <c r="E11" i="82"/>
  <c r="BX223" i="1" s="1"/>
  <c r="E10" i="82"/>
  <c r="BX31" i="1" s="1"/>
  <c r="E8" i="82"/>
  <c r="BX83" i="1" s="1"/>
  <c r="F5" i="82"/>
  <c r="F5" i="97"/>
  <c r="E8" i="97"/>
  <c r="BV83" i="1" s="1"/>
  <c r="E10" i="97"/>
  <c r="BV31" i="1" s="1"/>
  <c r="E11" i="97"/>
  <c r="BV223" i="1" s="1"/>
  <c r="E9" i="97"/>
  <c r="BV310" i="1" s="1"/>
  <c r="BS8" i="1"/>
  <c r="EK8" i="1" s="1"/>
  <c r="EL8" i="1" s="1"/>
  <c r="E12" i="58"/>
  <c r="BS58" i="1" s="1"/>
  <c r="E15" i="62"/>
  <c r="BR218" i="1" s="1"/>
  <c r="E8" i="62"/>
  <c r="BR185" i="1" s="1"/>
  <c r="E19" i="62"/>
  <c r="BR455" i="1" s="1"/>
  <c r="E20" i="62"/>
  <c r="BR388" i="1" s="1"/>
  <c r="E21" i="62"/>
  <c r="BR99" i="1" s="1"/>
  <c r="E10" i="62"/>
  <c r="BR376" i="1" s="1"/>
  <c r="E22" i="62"/>
  <c r="BR188" i="1" s="1"/>
  <c r="E17" i="62"/>
  <c r="BR349" i="1" s="1"/>
  <c r="D18" i="28"/>
  <c r="E12" i="72"/>
  <c r="BN126" i="1" s="1"/>
  <c r="E13" i="72"/>
  <c r="BN455" i="1" s="1"/>
  <c r="E14" i="72"/>
  <c r="BN108" i="1" s="1"/>
  <c r="E15" i="72"/>
  <c r="BN230" i="1" s="1"/>
  <c r="E9" i="72"/>
  <c r="BN187" i="1" s="1"/>
  <c r="E9" i="44"/>
  <c r="BL406" i="1" s="1"/>
  <c r="E12" i="44"/>
  <c r="BL108" i="1" s="1"/>
  <c r="E8" i="44"/>
  <c r="BL187" i="1" s="1"/>
  <c r="E11" i="44"/>
  <c r="BL455" i="1" s="1"/>
  <c r="F5" i="44"/>
  <c r="E10" i="44"/>
  <c r="BL126" i="1" s="1"/>
  <c r="E10" i="41"/>
  <c r="BI312" i="1" s="1"/>
  <c r="E9" i="41"/>
  <c r="BI16" i="1" s="1"/>
  <c r="E8" i="41"/>
  <c r="BI66" i="1" s="1"/>
  <c r="E11" i="41"/>
  <c r="BH123" i="1" s="1"/>
  <c r="F5" i="41"/>
  <c r="F5" i="61"/>
  <c r="E11" i="61"/>
  <c r="BJ36" i="1" s="1"/>
  <c r="E10" i="61"/>
  <c r="BJ127" i="1" s="1"/>
  <c r="E11" i="40"/>
  <c r="BH253" i="1" s="1"/>
  <c r="E14" i="40"/>
  <c r="E20" i="40"/>
  <c r="BH163" i="1" s="1"/>
  <c r="E16" i="40"/>
  <c r="BH173" i="1" s="1"/>
  <c r="E9" i="40"/>
  <c r="BH141" i="1" s="1"/>
  <c r="E13" i="40"/>
  <c r="BH325" i="1" s="1"/>
  <c r="E24" i="40"/>
  <c r="BH423" i="1" s="1"/>
  <c r="E19" i="40"/>
  <c r="BH247" i="1" s="1"/>
  <c r="E15" i="40"/>
  <c r="BH322" i="1" s="1"/>
  <c r="E8" i="40"/>
  <c r="BH89" i="1" s="1"/>
  <c r="E23" i="40"/>
  <c r="BH175" i="1" s="1"/>
  <c r="E22" i="40"/>
  <c r="BH431" i="1" s="1"/>
  <c r="E18" i="40"/>
  <c r="BH9" i="1" s="1"/>
  <c r="E10" i="40"/>
  <c r="BH81" i="1" s="1"/>
  <c r="F5" i="40"/>
  <c r="E25" i="40"/>
  <c r="BH174" i="1" s="1"/>
  <c r="E21" i="40"/>
  <c r="BH315" i="1" s="1"/>
  <c r="E17" i="40"/>
  <c r="BH266" i="1" s="1"/>
  <c r="E12" i="40"/>
  <c r="BH238" i="1" s="1"/>
  <c r="D16" i="26"/>
  <c r="E10" i="39"/>
  <c r="BF312" i="1" s="1"/>
  <c r="E9" i="39"/>
  <c r="BF16" i="1" s="1"/>
  <c r="E8" i="39"/>
  <c r="BF66" i="1" s="1"/>
  <c r="F5" i="39"/>
  <c r="E21" i="46"/>
  <c r="BG112" i="1" s="1"/>
  <c r="E24" i="46"/>
  <c r="BG426" i="1" s="1"/>
  <c r="E19" i="46"/>
  <c r="BG431" i="1" s="1"/>
  <c r="E13" i="46"/>
  <c r="BG173" i="1" s="1"/>
  <c r="E8" i="46"/>
  <c r="BG89" i="1" s="1"/>
  <c r="E16" i="46"/>
  <c r="BG247" i="1" s="1"/>
  <c r="E23" i="46"/>
  <c r="BG174" i="1" s="1"/>
  <c r="E17" i="46"/>
  <c r="BG163" i="1" s="1"/>
  <c r="E11" i="46"/>
  <c r="BG237" i="1" s="1"/>
  <c r="F5" i="46"/>
  <c r="E12" i="46"/>
  <c r="BG413" i="1" s="1"/>
  <c r="E22" i="46"/>
  <c r="BG316" i="1" s="1"/>
  <c r="E15" i="46"/>
  <c r="BG9" i="1" s="1"/>
  <c r="E10" i="46"/>
  <c r="BG238" i="1" s="1"/>
  <c r="E18" i="46"/>
  <c r="BG315" i="1" s="1"/>
  <c r="E20" i="46"/>
  <c r="BG423" i="1" s="1"/>
  <c r="E14" i="46"/>
  <c r="BG266" i="1" s="1"/>
  <c r="E9" i="46"/>
  <c r="BG141" i="1" s="1"/>
  <c r="E11" i="98"/>
  <c r="BC123" i="1" s="1"/>
  <c r="F5" i="98"/>
  <c r="E8" i="98"/>
  <c r="BC16" i="1" s="1"/>
  <c r="E10" i="98"/>
  <c r="BC312" i="1" s="1"/>
  <c r="E9" i="98"/>
  <c r="BC66" i="1" s="1"/>
  <c r="E19" i="77"/>
  <c r="BA265" i="1" s="1"/>
  <c r="E15" i="77"/>
  <c r="BA308" i="1" s="1"/>
  <c r="E11" i="77"/>
  <c r="BA50" i="1" s="1"/>
  <c r="F5" i="77"/>
  <c r="E16" i="77"/>
  <c r="BA333" i="1" s="1"/>
  <c r="E12" i="77"/>
  <c r="BA185" i="1" s="1"/>
  <c r="E8" i="77"/>
  <c r="BA142" i="1" s="1"/>
  <c r="E18" i="77"/>
  <c r="BA143" i="1" s="1"/>
  <c r="E14" i="77"/>
  <c r="BA223" i="1" s="1"/>
  <c r="E10" i="77"/>
  <c r="BA100" i="1" s="1"/>
  <c r="E17" i="77"/>
  <c r="BA358" i="1" s="1"/>
  <c r="E13" i="77"/>
  <c r="BA166" i="1" s="1"/>
  <c r="E9" i="77"/>
  <c r="BA169" i="1" s="1"/>
  <c r="E16" i="47"/>
  <c r="BD106" i="1" s="1"/>
  <c r="E12" i="47"/>
  <c r="BD223" i="1" s="1"/>
  <c r="E8" i="47"/>
  <c r="BD142" i="1" s="1"/>
  <c r="E15" i="47"/>
  <c r="BD358" i="1" s="1"/>
  <c r="E11" i="47"/>
  <c r="BD166" i="1" s="1"/>
  <c r="F5" i="47"/>
  <c r="E13" i="47"/>
  <c r="BD308" i="1" s="1"/>
  <c r="E9" i="47"/>
  <c r="BD169" i="1" s="1"/>
  <c r="E14" i="47"/>
  <c r="BD333" i="1" s="1"/>
  <c r="E10" i="47"/>
  <c r="BD50" i="1" s="1"/>
  <c r="E20" i="74"/>
  <c r="BE197" i="1" s="1"/>
  <c r="E12" i="74"/>
  <c r="BE187" i="1" s="1"/>
  <c r="F5" i="74"/>
  <c r="E16" i="74"/>
  <c r="BE126" i="1" s="1"/>
  <c r="E17" i="74"/>
  <c r="BE455" i="1" s="1"/>
  <c r="E18" i="74"/>
  <c r="BE150" i="1" s="1"/>
  <c r="E21" i="74"/>
  <c r="BE210" i="1" s="1"/>
  <c r="E8" i="74"/>
  <c r="E11" i="74"/>
  <c r="BE36" i="1" s="1"/>
  <c r="E13" i="74"/>
  <c r="BE450" i="1" s="1"/>
  <c r="E14" i="74"/>
  <c r="BE425" i="1" s="1"/>
  <c r="E15" i="74"/>
  <c r="BE240" i="1" s="1"/>
  <c r="E19" i="74"/>
  <c r="BE230" i="1" s="1"/>
  <c r="E17" i="56"/>
  <c r="BB126" i="1" s="1"/>
  <c r="E11" i="56"/>
  <c r="BB36" i="1" s="1"/>
  <c r="E16" i="56"/>
  <c r="BB240" i="1" s="1"/>
  <c r="E21" i="56"/>
  <c r="BB197" i="1" s="1"/>
  <c r="E18" i="56"/>
  <c r="BB455" i="1" s="1"/>
  <c r="E12" i="56"/>
  <c r="BB187" i="1" s="1"/>
  <c r="E19" i="56"/>
  <c r="BB150" i="1" s="1"/>
  <c r="E14" i="56"/>
  <c r="BB450" i="1" s="1"/>
  <c r="E10" i="56"/>
  <c r="BB429" i="1" s="1"/>
  <c r="E9" i="56"/>
  <c r="BB444" i="1" s="1"/>
  <c r="E15" i="56"/>
  <c r="BB425" i="1" s="1"/>
  <c r="E13" i="56"/>
  <c r="BB54" i="1" s="1"/>
  <c r="E22" i="56"/>
  <c r="BB210" i="1" s="1"/>
  <c r="E20" i="56"/>
  <c r="BB230" i="1" s="1"/>
  <c r="E22" i="91"/>
  <c r="AZ75" i="1" s="1"/>
  <c r="E27" i="91"/>
  <c r="AZ392" i="1" s="1"/>
  <c r="E19" i="91"/>
  <c r="AZ455" i="1" s="1"/>
  <c r="E18" i="91"/>
  <c r="AZ126" i="1" s="1"/>
  <c r="E14" i="91"/>
  <c r="AZ54" i="1" s="1"/>
  <c r="E17" i="91"/>
  <c r="AZ240" i="1" s="1"/>
  <c r="E15" i="91"/>
  <c r="AZ85" i="1" s="1"/>
  <c r="E20" i="91"/>
  <c r="AZ150" i="1" s="1"/>
  <c r="E24" i="91"/>
  <c r="AZ197" i="1" s="1"/>
  <c r="E12" i="91"/>
  <c r="AZ128" i="1" s="1"/>
  <c r="E21" i="91"/>
  <c r="AZ230" i="1" s="1"/>
  <c r="E23" i="91"/>
  <c r="AZ421" i="1" s="1"/>
  <c r="E26" i="91"/>
  <c r="AZ360" i="1" s="1"/>
  <c r="E25" i="91"/>
  <c r="AZ248" i="1" s="1"/>
  <c r="E10" i="36"/>
  <c r="AX444" i="1" s="1"/>
  <c r="E96" i="36"/>
  <c r="AX111" i="1" s="1"/>
  <c r="E89" i="36"/>
  <c r="AX156" i="1" s="1"/>
  <c r="E81" i="36"/>
  <c r="AX119" i="1" s="1"/>
  <c r="E73" i="36"/>
  <c r="AX200" i="1" s="1"/>
  <c r="E65" i="36"/>
  <c r="AX384" i="1" s="1"/>
  <c r="E95" i="36"/>
  <c r="AX160" i="1" s="1"/>
  <c r="E92" i="36"/>
  <c r="AX417" i="1" s="1"/>
  <c r="E90" i="36"/>
  <c r="AX124" i="1" s="1"/>
  <c r="E87" i="36"/>
  <c r="AX390" i="1" s="1"/>
  <c r="E84" i="36"/>
  <c r="AX402" i="1" s="1"/>
  <c r="E82" i="36"/>
  <c r="AX246" i="1" s="1"/>
  <c r="E79" i="36"/>
  <c r="AX277" i="1" s="1"/>
  <c r="E76" i="36"/>
  <c r="AX65" i="1" s="1"/>
  <c r="E74" i="36"/>
  <c r="AX27" i="1" s="1"/>
  <c r="E71" i="36"/>
  <c r="AX219" i="1" s="1"/>
  <c r="E68" i="36"/>
  <c r="AX330" i="1" s="1"/>
  <c r="E66" i="36"/>
  <c r="AX309" i="1" s="1"/>
  <c r="E63" i="36"/>
  <c r="AX25" i="1" s="1"/>
  <c r="EK25" i="1" s="1"/>
  <c r="EL25" i="1" s="1"/>
  <c r="E60" i="36"/>
  <c r="AX465" i="1" s="1"/>
  <c r="E58" i="36"/>
  <c r="AX63" i="1" s="1"/>
  <c r="E55" i="36"/>
  <c r="AX49" i="1" s="1"/>
  <c r="E52" i="36"/>
  <c r="AX375" i="1" s="1"/>
  <c r="E50" i="36"/>
  <c r="AX68" i="1" s="1"/>
  <c r="E46" i="36"/>
  <c r="AX287" i="1" s="1"/>
  <c r="E43" i="36"/>
  <c r="AX168" i="1" s="1"/>
  <c r="E41" i="36"/>
  <c r="AX71" i="1" s="1"/>
  <c r="E36" i="36"/>
  <c r="AX40" i="1" s="1"/>
  <c r="E31" i="36"/>
  <c r="AX432" i="1" s="1"/>
  <c r="E29" i="36"/>
  <c r="AX84" i="1" s="1"/>
  <c r="E23" i="36"/>
  <c r="AX41" i="1" s="1"/>
  <c r="E18" i="36"/>
  <c r="AX326" i="1" s="1"/>
  <c r="E16" i="36"/>
  <c r="AX445" i="1" s="1"/>
  <c r="F5" i="36"/>
  <c r="E9" i="36"/>
  <c r="AX93" i="1" s="1"/>
  <c r="E93" i="36"/>
  <c r="AX437" i="1" s="1"/>
  <c r="E85" i="36"/>
  <c r="AX181" i="1" s="1"/>
  <c r="E77" i="36"/>
  <c r="AX278" i="1" s="1"/>
  <c r="E69" i="36"/>
  <c r="AX196" i="1" s="1"/>
  <c r="E61" i="36"/>
  <c r="AX257" i="1" s="1"/>
  <c r="E56" i="36"/>
  <c r="AX304" i="1" s="1"/>
  <c r="E47" i="36"/>
  <c r="AX4" i="1" s="1"/>
  <c r="E39" i="36"/>
  <c r="AX283" i="1" s="1"/>
  <c r="E37" i="36"/>
  <c r="AX460" i="1" s="1"/>
  <c r="E26" i="36"/>
  <c r="AX190" i="1" s="1"/>
  <c r="E24" i="36"/>
  <c r="AX354" i="1" s="1"/>
  <c r="E54" i="36"/>
  <c r="AX10" i="1" s="1"/>
  <c r="E34" i="36"/>
  <c r="AX11" i="1" s="1"/>
  <c r="E32" i="36"/>
  <c r="AX335" i="1" s="1"/>
  <c r="E21" i="36"/>
  <c r="AX243" i="1" s="1"/>
  <c r="E94" i="36"/>
  <c r="AX378" i="1" s="1"/>
  <c r="E86" i="36"/>
  <c r="AX78" i="1" s="1"/>
  <c r="E78" i="36"/>
  <c r="AX103" i="1" s="1"/>
  <c r="E70" i="36"/>
  <c r="AX234" i="1" s="1"/>
  <c r="E62" i="36"/>
  <c r="AX249" i="1" s="1"/>
  <c r="E35" i="36"/>
  <c r="AX116" i="1" s="1"/>
  <c r="E33" i="36"/>
  <c r="AX184" i="1" s="1"/>
  <c r="E22" i="36"/>
  <c r="AX245" i="1" s="1"/>
  <c r="E20" i="36"/>
  <c r="AX105" i="1" s="1"/>
  <c r="E45" i="36"/>
  <c r="AX401" i="1" s="1"/>
  <c r="E19" i="36"/>
  <c r="AX158" i="1" s="1"/>
  <c r="E28" i="36"/>
  <c r="AX284" i="1" s="1"/>
  <c r="E91" i="36"/>
  <c r="AX286" i="1" s="1"/>
  <c r="E88" i="36"/>
  <c r="AX115" i="1" s="1"/>
  <c r="E83" i="36"/>
  <c r="AX344" i="1" s="1"/>
  <c r="E80" i="36"/>
  <c r="AX430" i="1" s="1"/>
  <c r="E75" i="36"/>
  <c r="AX415" i="1" s="1"/>
  <c r="E72" i="36"/>
  <c r="AX453" i="1" s="1"/>
  <c r="E67" i="36"/>
  <c r="AX148" i="1" s="1"/>
  <c r="E64" i="36"/>
  <c r="AX372" i="1" s="1"/>
  <c r="E59" i="36"/>
  <c r="AX352" i="1" s="1"/>
  <c r="E57" i="36"/>
  <c r="AX288" i="1" s="1"/>
  <c r="E53" i="36"/>
  <c r="AX365" i="1" s="1"/>
  <c r="E51" i="36"/>
  <c r="AX228" i="1" s="1"/>
  <c r="E49" i="36"/>
  <c r="AX305" i="1" s="1"/>
  <c r="E44" i="36"/>
  <c r="AX351" i="1" s="1"/>
  <c r="E42" i="36"/>
  <c r="AX215" i="1" s="1"/>
  <c r="E40" i="36"/>
  <c r="AX306" i="1" s="1"/>
  <c r="E38" i="36"/>
  <c r="AX151" i="1" s="1"/>
  <c r="E30" i="36"/>
  <c r="AX398" i="1" s="1"/>
  <c r="E27" i="36"/>
  <c r="AX355" i="1" s="1"/>
  <c r="E25" i="36"/>
  <c r="AX269" i="1" s="1"/>
  <c r="E17" i="36"/>
  <c r="AX198" i="1" s="1"/>
  <c r="E97" i="36"/>
  <c r="AX197" i="1" s="1"/>
  <c r="E98" i="36"/>
  <c r="AX227" i="1" s="1"/>
  <c r="E48" i="36"/>
  <c r="AX126" i="1" s="1"/>
  <c r="D11" i="17"/>
  <c r="E24" i="37"/>
  <c r="AY396" i="1" s="1"/>
  <c r="E22" i="37"/>
  <c r="AY276" i="1" s="1"/>
  <c r="E23" i="37"/>
  <c r="AY388" i="1" s="1"/>
  <c r="E18" i="37"/>
  <c r="AY218" i="1" s="1"/>
  <c r="E13" i="37"/>
  <c r="AY122" i="1" s="1"/>
  <c r="E26" i="37"/>
  <c r="AY188" i="1" s="1"/>
  <c r="E19" i="37"/>
  <c r="AY455" i="1" s="1"/>
  <c r="E25" i="37"/>
  <c r="AY87" i="1" s="1"/>
  <c r="E29" i="37"/>
  <c r="AY94" i="1" s="1"/>
  <c r="E21" i="37"/>
  <c r="AY108" i="1" s="1"/>
  <c r="E16" i="37"/>
  <c r="AY450" i="1" s="1"/>
  <c r="E20" i="37"/>
  <c r="AY357" i="1" s="1"/>
  <c r="E12" i="37"/>
  <c r="AY187" i="1" s="1"/>
  <c r="E18" i="34"/>
  <c r="AV188" i="1" s="1"/>
  <c r="D15" i="33"/>
  <c r="D16" i="33"/>
  <c r="D13" i="33"/>
  <c r="D11" i="33"/>
  <c r="D10" i="33"/>
  <c r="D16" i="32"/>
  <c r="D14" i="28"/>
  <c r="D8" i="28"/>
  <c r="D21" i="28"/>
  <c r="D23" i="28"/>
  <c r="D19" i="28"/>
  <c r="D24" i="28"/>
  <c r="D15" i="28"/>
  <c r="D9" i="28"/>
  <c r="D13" i="28"/>
  <c r="D22" i="28"/>
  <c r="D16" i="28"/>
  <c r="D17" i="28"/>
  <c r="D17" i="26"/>
  <c r="D12" i="26"/>
  <c r="D18" i="26"/>
  <c r="D22" i="26"/>
  <c r="D9" i="26"/>
  <c r="D10" i="26"/>
  <c r="D20" i="26"/>
  <c r="D8" i="26"/>
  <c r="D15" i="26"/>
  <c r="D14" i="26"/>
  <c r="D11" i="26"/>
  <c r="D19" i="26"/>
  <c r="E19" i="31"/>
  <c r="E18" i="31"/>
  <c r="AN138" i="1" s="1"/>
  <c r="E12" i="31"/>
  <c r="AN379" i="1" s="1"/>
  <c r="E9" i="31"/>
  <c r="E14" i="31"/>
  <c r="AN202" i="1" s="1"/>
  <c r="E15" i="31"/>
  <c r="E20" i="31"/>
  <c r="AN95" i="1" s="1"/>
  <c r="E21" i="31"/>
  <c r="AN297" i="1" s="1"/>
  <c r="E22" i="31"/>
  <c r="AN241" i="1" s="1"/>
  <c r="E17" i="31"/>
  <c r="AN395" i="1" s="1"/>
  <c r="E16" i="31"/>
  <c r="AN447" i="1" s="1"/>
  <c r="E13" i="31"/>
  <c r="AN382" i="1" s="1"/>
  <c r="D19" i="30"/>
  <c r="D18" i="30"/>
  <c r="D11" i="30"/>
  <c r="D17" i="30"/>
  <c r="D8" i="25"/>
  <c r="D11" i="25"/>
  <c r="D10" i="25"/>
  <c r="D9" i="25"/>
  <c r="D15" i="42"/>
  <c r="D12" i="42"/>
  <c r="E14" i="42" s="1"/>
  <c r="AK388" i="1" s="1"/>
  <c r="E15" i="22"/>
  <c r="AJ406" i="1" s="1"/>
  <c r="E11" i="22"/>
  <c r="AJ108" i="1" s="1"/>
  <c r="F5" i="22"/>
  <c r="E18" i="22"/>
  <c r="AJ218" i="1" s="1"/>
  <c r="E8" i="22"/>
  <c r="AJ295" i="1" s="1"/>
  <c r="E13" i="22"/>
  <c r="AJ276" i="1" s="1"/>
  <c r="E9" i="22"/>
  <c r="AJ122" i="1" s="1"/>
  <c r="E12" i="22"/>
  <c r="AJ178" i="1" s="1"/>
  <c r="E17" i="22"/>
  <c r="AJ380" i="1" s="1"/>
  <c r="E16" i="22"/>
  <c r="AJ102" i="1" s="1"/>
  <c r="E10" i="22"/>
  <c r="AJ51" i="1" s="1"/>
  <c r="E14" i="22"/>
  <c r="AJ388" i="1" s="1"/>
  <c r="E8" i="21"/>
  <c r="AI16" i="1" s="1"/>
  <c r="F5" i="21"/>
  <c r="E10" i="21"/>
  <c r="AI66" i="1" s="1"/>
  <c r="E9" i="21"/>
  <c r="AI312" i="1" s="1"/>
  <c r="E32" i="23"/>
  <c r="AG422" i="1" s="1"/>
  <c r="E21" i="23"/>
  <c r="AG387" i="1" s="1"/>
  <c r="E14" i="23"/>
  <c r="AG48" i="1" s="1"/>
  <c r="E30" i="23"/>
  <c r="AG118" i="1" s="1"/>
  <c r="E19" i="23"/>
  <c r="AG439" i="1" s="1"/>
  <c r="E8" i="23"/>
  <c r="AG370" i="1" s="1"/>
  <c r="E24" i="23"/>
  <c r="AG446" i="1" s="1"/>
  <c r="E9" i="23"/>
  <c r="E25" i="23"/>
  <c r="AG347" i="1" s="1"/>
  <c r="E18" i="23"/>
  <c r="AG199" i="1" s="1"/>
  <c r="F5" i="23"/>
  <c r="E23" i="23"/>
  <c r="AG393" i="1" s="1"/>
  <c r="E12" i="23"/>
  <c r="E28" i="23"/>
  <c r="AG338" i="1" s="1"/>
  <c r="E13" i="23"/>
  <c r="AG205" i="1" s="1"/>
  <c r="E29" i="23"/>
  <c r="AG235" i="1" s="1"/>
  <c r="E22" i="23"/>
  <c r="AG184" i="1" s="1"/>
  <c r="E11" i="23"/>
  <c r="AG239" i="1" s="1"/>
  <c r="E27" i="23"/>
  <c r="AG367" i="1" s="1"/>
  <c r="E16" i="23"/>
  <c r="AG130" i="1" s="1"/>
  <c r="E17" i="23"/>
  <c r="AG267" i="1" s="1"/>
  <c r="E10" i="23"/>
  <c r="AG317" i="1" s="1"/>
  <c r="E26" i="23"/>
  <c r="AG64" i="1" s="1"/>
  <c r="E15" i="23"/>
  <c r="AG189" i="1" s="1"/>
  <c r="E31" i="23"/>
  <c r="AG12" i="1" s="1"/>
  <c r="EK12" i="1" s="1"/>
  <c r="EL12" i="1" s="1"/>
  <c r="E20" i="23"/>
  <c r="AG233" i="1" s="1"/>
  <c r="E9" i="35"/>
  <c r="AF369" i="1" s="1"/>
  <c r="E8" i="35"/>
  <c r="AF312" i="1" s="1"/>
  <c r="E10" i="35"/>
  <c r="AF107" i="1" s="1"/>
  <c r="F5" i="35"/>
  <c r="D9" i="18"/>
  <c r="D8" i="18"/>
  <c r="D22" i="17"/>
  <c r="D14" i="17"/>
  <c r="D16" i="17"/>
  <c r="D18" i="17"/>
  <c r="D19" i="17"/>
  <c r="D17" i="17"/>
  <c r="D8" i="17"/>
  <c r="D13" i="17"/>
  <c r="D23" i="17"/>
  <c r="D24" i="17"/>
  <c r="D12" i="17"/>
  <c r="D10" i="17"/>
  <c r="D15" i="17"/>
  <c r="D9" i="17"/>
  <c r="E11" i="15"/>
  <c r="AB142" i="1" s="1"/>
  <c r="F5" i="15"/>
  <c r="E9" i="15"/>
  <c r="AB107" i="1" s="1"/>
  <c r="E10" i="15"/>
  <c r="AB369" i="1" s="1"/>
  <c r="E8" i="15"/>
  <c r="AB312" i="1" s="1"/>
  <c r="E8" i="14"/>
  <c r="AA312" i="1" s="1"/>
  <c r="F5" i="14"/>
  <c r="E11" i="14"/>
  <c r="AA142" i="1" s="1"/>
  <c r="E10" i="14"/>
  <c r="AA369" i="1" s="1"/>
  <c r="E9" i="14"/>
  <c r="AA107" i="1" s="1"/>
  <c r="E36" i="20"/>
  <c r="Y159" i="1" s="1"/>
  <c r="E20" i="20"/>
  <c r="Y261" i="1" s="1"/>
  <c r="E35" i="20"/>
  <c r="Y292" i="1" s="1"/>
  <c r="E19" i="20"/>
  <c r="E25" i="20"/>
  <c r="Y346" i="1" s="1"/>
  <c r="E22" i="20"/>
  <c r="Y323" i="1" s="1"/>
  <c r="E32" i="20"/>
  <c r="Y313" i="1" s="1"/>
  <c r="E13" i="20"/>
  <c r="Y310" i="1" s="1"/>
  <c r="E31" i="20"/>
  <c r="Y420" i="1" s="1"/>
  <c r="E16" i="20"/>
  <c r="Y444" i="1" s="1"/>
  <c r="E34" i="20"/>
  <c r="Y167" i="1" s="1"/>
  <c r="E15" i="20"/>
  <c r="Y93" i="1" s="1"/>
  <c r="E33" i="20"/>
  <c r="Y39" i="1" s="1"/>
  <c r="E18" i="20"/>
  <c r="Y449" i="1" s="1"/>
  <c r="E26" i="20"/>
  <c r="Y67" i="1" s="1"/>
  <c r="E9" i="20"/>
  <c r="Y83" i="1" s="1"/>
  <c r="E30" i="20"/>
  <c r="Y58" i="1" s="1"/>
  <c r="E12" i="20"/>
  <c r="Y80" i="1" s="1"/>
  <c r="E29" i="20"/>
  <c r="Y45" i="1" s="1"/>
  <c r="E11" i="20"/>
  <c r="Y88" i="1" s="1"/>
  <c r="E27" i="20"/>
  <c r="Y201" i="1" s="1"/>
  <c r="E14" i="20"/>
  <c r="Y171" i="1" s="1"/>
  <c r="E21" i="20"/>
  <c r="Y31" i="1" s="1"/>
  <c r="E23" i="20"/>
  <c r="Y164" i="1" s="1"/>
  <c r="E8" i="20"/>
  <c r="Y223" i="1" s="1"/>
  <c r="E24" i="20"/>
  <c r="Y106" i="1" s="1"/>
  <c r="F5" i="20"/>
  <c r="E28" i="20"/>
  <c r="Y399" i="1" s="1"/>
  <c r="E10" i="20"/>
  <c r="Y462" i="1" s="1"/>
  <c r="E17" i="20"/>
  <c r="Y110" i="1" s="1"/>
  <c r="E28" i="111"/>
  <c r="X399" i="1" s="1"/>
  <c r="E34" i="111"/>
  <c r="X420" i="1" s="1"/>
  <c r="E30" i="111"/>
  <c r="X58" i="1" s="1"/>
  <c r="E25" i="111"/>
  <c r="X106" i="1" s="1"/>
  <c r="E21" i="111"/>
  <c r="X261" i="1" s="1"/>
  <c r="E17" i="111"/>
  <c r="X110" i="1" s="1"/>
  <c r="E13" i="111"/>
  <c r="X310" i="1" s="1"/>
  <c r="E9" i="111"/>
  <c r="X83" i="1" s="1"/>
  <c r="E37" i="111"/>
  <c r="X292" i="1" s="1"/>
  <c r="E33" i="111"/>
  <c r="X167" i="1" s="1"/>
  <c r="E29" i="111"/>
  <c r="X45" i="1" s="1"/>
  <c r="E24" i="111"/>
  <c r="X323" i="1" s="1"/>
  <c r="E20" i="111"/>
  <c r="X158" i="1" s="1"/>
  <c r="E16" i="111"/>
  <c r="X444" i="1" s="1"/>
  <c r="E12" i="111"/>
  <c r="X80" i="1" s="1"/>
  <c r="E8" i="111"/>
  <c r="X223" i="1" s="1"/>
  <c r="E31" i="111"/>
  <c r="X346" i="1" s="1"/>
  <c r="E36" i="111"/>
  <c r="X39" i="1" s="1"/>
  <c r="EK39" i="1" s="1"/>
  <c r="EL39" i="1" s="1"/>
  <c r="E32" i="111"/>
  <c r="X201" i="1" s="1"/>
  <c r="E27" i="111"/>
  <c r="X67" i="1" s="1"/>
  <c r="E23" i="111"/>
  <c r="X31" i="1" s="1"/>
  <c r="E19" i="111"/>
  <c r="E15" i="111"/>
  <c r="X93" i="1" s="1"/>
  <c r="E11" i="111"/>
  <c r="X88" i="1" s="1"/>
  <c r="F5" i="111"/>
  <c r="E35" i="111"/>
  <c r="X313" i="1" s="1"/>
  <c r="E26" i="111"/>
  <c r="X164" i="1" s="1"/>
  <c r="E22" i="111"/>
  <c r="X436" i="1" s="1"/>
  <c r="E18" i="111"/>
  <c r="X449" i="1" s="1"/>
  <c r="E14" i="111"/>
  <c r="X171" i="1" s="1"/>
  <c r="E10" i="111"/>
  <c r="X462" i="1" s="1"/>
  <c r="F5" i="93"/>
  <c r="E8" i="13"/>
  <c r="U16" i="1" s="1"/>
  <c r="E10" i="13"/>
  <c r="U123" i="1" s="1"/>
  <c r="E11" i="13"/>
  <c r="U312" i="1" s="1"/>
  <c r="F5" i="13"/>
  <c r="E9" i="13"/>
  <c r="U66" i="1" s="1"/>
  <c r="E22" i="93"/>
  <c r="V171" i="1" s="1"/>
  <c r="E11" i="93"/>
  <c r="V60" i="1" s="1"/>
  <c r="E15" i="93"/>
  <c r="V100" i="1" s="1"/>
  <c r="E18" i="93"/>
  <c r="V83" i="1" s="1"/>
  <c r="E14" i="93"/>
  <c r="V50" i="1" s="1"/>
  <c r="E26" i="93"/>
  <c r="V31" i="1" s="1"/>
  <c r="E19" i="93"/>
  <c r="V308" i="1" s="1"/>
  <c r="E10" i="93"/>
  <c r="V204" i="1" s="1"/>
  <c r="E12" i="93"/>
  <c r="V134" i="1" s="1"/>
  <c r="E16" i="93"/>
  <c r="V169" i="1" s="1"/>
  <c r="E24" i="93"/>
  <c r="V255" i="1" s="1"/>
  <c r="E23" i="93"/>
  <c r="V358" i="1" s="1"/>
  <c r="E13" i="93"/>
  <c r="V166" i="1" s="1"/>
  <c r="E17" i="93"/>
  <c r="V223" i="1" s="1"/>
  <c r="E21" i="93"/>
  <c r="V80" i="1" s="1"/>
  <c r="E20" i="93"/>
  <c r="V333" i="1" s="1"/>
  <c r="E25" i="93"/>
  <c r="V225" i="1" s="1"/>
  <c r="E28" i="11"/>
  <c r="E14" i="11"/>
  <c r="S50" i="1" s="1"/>
  <c r="E13" i="11"/>
  <c r="S166" i="1" s="1"/>
  <c r="E15" i="11"/>
  <c r="S100" i="1" s="1"/>
  <c r="E17" i="11"/>
  <c r="S223" i="1" s="1"/>
  <c r="E20" i="11"/>
  <c r="S308" i="1" s="1"/>
  <c r="E23" i="11"/>
  <c r="S109" i="1" s="1"/>
  <c r="E10" i="11"/>
  <c r="S204" i="1" s="1"/>
  <c r="E27" i="11"/>
  <c r="S225" i="1" s="1"/>
  <c r="E9" i="11"/>
  <c r="S142" i="1" s="1"/>
  <c r="E18" i="11"/>
  <c r="S83" i="1" s="1"/>
  <c r="E25" i="11"/>
  <c r="S358" i="1" s="1"/>
  <c r="E19" i="11"/>
  <c r="S88" i="1" s="1"/>
  <c r="E8" i="11"/>
  <c r="S107" i="1" s="1"/>
  <c r="E24" i="11"/>
  <c r="S323" i="1" s="1"/>
  <c r="E12" i="11"/>
  <c r="S134" i="1" s="1"/>
  <c r="E11" i="11"/>
  <c r="S60" i="1" s="1"/>
  <c r="E21" i="11"/>
  <c r="S333" i="1" s="1"/>
  <c r="E22" i="11"/>
  <c r="S80" i="1" s="1"/>
  <c r="F5" i="11"/>
  <c r="E26" i="11"/>
  <c r="S255" i="1" s="1"/>
  <c r="E16" i="11"/>
  <c r="S169" i="1" s="1"/>
  <c r="F5" i="5"/>
  <c r="E15" i="9"/>
  <c r="Q100" i="1" s="1"/>
  <c r="E19" i="9"/>
  <c r="Q308" i="1" s="1"/>
  <c r="E16" i="9"/>
  <c r="Q169" i="1" s="1"/>
  <c r="E13" i="9"/>
  <c r="Q166" i="1" s="1"/>
  <c r="E10" i="9"/>
  <c r="Q204" i="1" s="1"/>
  <c r="E24" i="9"/>
  <c r="Q255" i="1" s="1"/>
  <c r="E11" i="9"/>
  <c r="Q60" i="1" s="1"/>
  <c r="E25" i="9"/>
  <c r="Q449" i="1" s="1"/>
  <c r="E26" i="9"/>
  <c r="Q225" i="1" s="1"/>
  <c r="E23" i="9"/>
  <c r="Q358" i="1" s="1"/>
  <c r="E20" i="9"/>
  <c r="Q333" i="1" s="1"/>
  <c r="E17" i="9"/>
  <c r="Q223" i="1" s="1"/>
  <c r="E14" i="9"/>
  <c r="Q50" i="1" s="1"/>
  <c r="E18" i="9"/>
  <c r="Q83" i="1" s="1"/>
  <c r="E9" i="9"/>
  <c r="Q142" i="1" s="1"/>
  <c r="F5" i="9"/>
  <c r="E8" i="9"/>
  <c r="Q107" i="1" s="1"/>
  <c r="E21" i="9"/>
  <c r="Q80" i="1" s="1"/>
  <c r="E12" i="9"/>
  <c r="Q134" i="1" s="1"/>
  <c r="E22" i="9"/>
  <c r="Q171" i="1" s="1"/>
  <c r="F5" i="6"/>
  <c r="E8" i="8"/>
  <c r="P16" i="1" s="1"/>
  <c r="F5" i="8"/>
  <c r="E11" i="8"/>
  <c r="P369" i="1" s="1"/>
  <c r="E12" i="8"/>
  <c r="P123" i="1" s="1"/>
  <c r="D16" i="7"/>
  <c r="D8" i="7"/>
  <c r="F5" i="48"/>
  <c r="E11" i="48"/>
  <c r="M369" i="1" s="1"/>
  <c r="E12" i="48"/>
  <c r="M123" i="1" s="1"/>
  <c r="E10" i="48"/>
  <c r="M312" i="1" s="1"/>
  <c r="E17" i="126"/>
  <c r="E13" i="126"/>
  <c r="E9" i="126"/>
  <c r="E18" i="126"/>
  <c r="E14" i="126"/>
  <c r="E16" i="126"/>
  <c r="E12" i="126"/>
  <c r="E8" i="126"/>
  <c r="E15" i="126"/>
  <c r="E11" i="126"/>
  <c r="E10" i="126"/>
  <c r="F5" i="126"/>
  <c r="E12" i="123"/>
  <c r="E21" i="121"/>
  <c r="E17" i="121"/>
  <c r="E13" i="121"/>
  <c r="E9" i="121"/>
  <c r="E20" i="121"/>
  <c r="E16" i="121"/>
  <c r="E12" i="121"/>
  <c r="E8" i="121"/>
  <c r="E19" i="121"/>
  <c r="E15" i="121"/>
  <c r="E11" i="121"/>
  <c r="F5" i="121"/>
  <c r="E18" i="121"/>
  <c r="E14" i="121"/>
  <c r="E10" i="121"/>
  <c r="E20" i="124"/>
  <c r="E16" i="124"/>
  <c r="E23" i="124"/>
  <c r="E18" i="124"/>
  <c r="E12" i="124"/>
  <c r="E17" i="124"/>
  <c r="E20" i="122"/>
  <c r="E13" i="122"/>
  <c r="E18" i="122"/>
  <c r="E11" i="122"/>
  <c r="E15" i="122"/>
  <c r="E20" i="115"/>
  <c r="E11" i="115"/>
  <c r="E18" i="115"/>
  <c r="E17" i="115"/>
  <c r="E24" i="115"/>
  <c r="E9" i="120"/>
  <c r="E10" i="120"/>
  <c r="E12" i="120"/>
  <c r="E8" i="120"/>
  <c r="E11" i="120"/>
  <c r="F5" i="120"/>
  <c r="E28" i="118"/>
  <c r="E24" i="118"/>
  <c r="E20" i="118"/>
  <c r="E16" i="118"/>
  <c r="E12" i="118"/>
  <c r="E8" i="118"/>
  <c r="E22" i="118"/>
  <c r="E10" i="118"/>
  <c r="E25" i="118"/>
  <c r="E21" i="118"/>
  <c r="E17" i="118"/>
  <c r="E13" i="118"/>
  <c r="E9" i="118"/>
  <c r="E27" i="118"/>
  <c r="E23" i="118"/>
  <c r="E19" i="118"/>
  <c r="E15" i="118"/>
  <c r="E11" i="118"/>
  <c r="F5" i="118"/>
  <c r="E26" i="118"/>
  <c r="E18" i="118"/>
  <c r="E14" i="118"/>
  <c r="E26" i="119"/>
  <c r="E13" i="119"/>
  <c r="E27" i="119"/>
  <c r="E24" i="119"/>
  <c r="E21" i="119"/>
  <c r="E19" i="119"/>
  <c r="E16" i="119"/>
  <c r="E10" i="119"/>
  <c r="E18" i="119"/>
  <c r="E22" i="119"/>
  <c r="E25" i="119"/>
  <c r="E23" i="119"/>
  <c r="E20" i="119"/>
  <c r="E17" i="119"/>
  <c r="E15" i="119"/>
  <c r="E14" i="119"/>
  <c r="E12" i="119"/>
  <c r="E11" i="119"/>
  <c r="E25" i="114"/>
  <c r="E23" i="114"/>
  <c r="E29" i="114"/>
  <c r="E33" i="114"/>
  <c r="E21" i="114"/>
  <c r="E20" i="114"/>
  <c r="E32" i="114"/>
  <c r="E26" i="114"/>
  <c r="E22" i="114"/>
  <c r="E30" i="114"/>
  <c r="E28" i="114"/>
  <c r="E16" i="114"/>
  <c r="E9" i="114"/>
  <c r="E31" i="114"/>
  <c r="E24" i="114"/>
  <c r="E8" i="114"/>
  <c r="E27" i="114"/>
  <c r="E35" i="114"/>
  <c r="E17" i="114"/>
  <c r="E26" i="112"/>
  <c r="E23" i="112"/>
  <c r="E25" i="112"/>
  <c r="E15" i="112"/>
  <c r="E22" i="112"/>
  <c r="E21" i="112"/>
  <c r="E27" i="112"/>
  <c r="E17" i="112"/>
  <c r="E12" i="112"/>
  <c r="E28" i="112"/>
  <c r="E24" i="112"/>
  <c r="E19" i="112"/>
  <c r="E13" i="112"/>
  <c r="D19" i="113"/>
  <c r="E9" i="100"/>
  <c r="E8" i="100"/>
  <c r="E10" i="100"/>
  <c r="E11" i="100"/>
  <c r="F5" i="100"/>
  <c r="D21" i="113"/>
  <c r="D15" i="113"/>
  <c r="D25" i="113"/>
  <c r="D11" i="113"/>
  <c r="E11" i="113" s="1"/>
  <c r="D31" i="113"/>
  <c r="E22" i="110"/>
  <c r="E21" i="110"/>
  <c r="E28" i="110"/>
  <c r="F5" i="106"/>
  <c r="E8" i="108"/>
  <c r="F5" i="108"/>
  <c r="E9" i="108"/>
  <c r="E10" i="108"/>
  <c r="E16" i="117"/>
  <c r="E14" i="117"/>
  <c r="E15" i="117"/>
  <c r="E13" i="117"/>
  <c r="E17" i="117"/>
  <c r="E10" i="117"/>
  <c r="E10" i="104"/>
  <c r="E9" i="104"/>
  <c r="E8" i="104"/>
  <c r="F5" i="104"/>
  <c r="F5" i="90"/>
  <c r="E8" i="90"/>
  <c r="E9" i="90"/>
  <c r="E11" i="107"/>
  <c r="F5" i="107"/>
  <c r="E9" i="107"/>
  <c r="E8" i="107"/>
  <c r="E10" i="107"/>
  <c r="D9" i="101"/>
  <c r="E9" i="103"/>
  <c r="CX337" i="1" s="1"/>
  <c r="F5" i="103"/>
  <c r="E10" i="103"/>
  <c r="CX459" i="1" s="1"/>
  <c r="E8" i="103"/>
  <c r="CX57" i="1" s="1"/>
  <c r="E11" i="103"/>
  <c r="CX74" i="1" s="1"/>
  <c r="E12" i="85"/>
  <c r="CT373" i="1" s="1"/>
  <c r="E13" i="85"/>
  <c r="CT135" i="1" s="1"/>
  <c r="E14" i="85"/>
  <c r="CT363" i="1" s="1"/>
  <c r="E17" i="85"/>
  <c r="CT348" i="1" s="1"/>
  <c r="E9" i="85"/>
  <c r="CT341" i="1" s="1"/>
  <c r="E8" i="85"/>
  <c r="CT433" i="1" s="1"/>
  <c r="F5" i="85"/>
  <c r="E16" i="85"/>
  <c r="CT404" i="1" s="1"/>
  <c r="E15" i="85"/>
  <c r="CT144" i="1" s="1"/>
  <c r="E11" i="85"/>
  <c r="CT104" i="1" s="1"/>
  <c r="E10" i="85"/>
  <c r="CT409" i="1" s="1"/>
  <c r="D12" i="32"/>
  <c r="E13" i="81"/>
  <c r="CP369" i="1" s="1"/>
  <c r="F5" i="81"/>
  <c r="E8" i="81"/>
  <c r="CP66" i="1" s="1"/>
  <c r="E9" i="81"/>
  <c r="CP16" i="1" s="1"/>
  <c r="E10" i="81"/>
  <c r="CP123" i="1" s="1"/>
  <c r="E9" i="86"/>
  <c r="CL7" i="1" s="1"/>
  <c r="E10" i="66"/>
  <c r="CJ312" i="1" s="1"/>
  <c r="E9" i="66"/>
  <c r="CJ16" i="1" s="1"/>
  <c r="E8" i="66"/>
  <c r="CJ123" i="1" s="1"/>
  <c r="F5" i="66"/>
  <c r="E23" i="67"/>
  <c r="CO395" i="1" s="1"/>
  <c r="E26" i="67"/>
  <c r="CO331" i="1" s="1"/>
  <c r="E9" i="67"/>
  <c r="CO444" i="1" s="1"/>
  <c r="E18" i="67"/>
  <c r="CO36" i="1" s="1"/>
  <c r="E25" i="67"/>
  <c r="CO354" i="1" s="1"/>
  <c r="E30" i="67"/>
  <c r="CO364" i="1" s="1"/>
  <c r="E24" i="67"/>
  <c r="CO220" i="1" s="1"/>
  <c r="E14" i="67"/>
  <c r="CO337" i="1" s="1"/>
  <c r="E22" i="70"/>
  <c r="CN300" i="1" s="1"/>
  <c r="E21" i="70"/>
  <c r="CN255" i="1" s="1"/>
  <c r="E8" i="86"/>
  <c r="CL428" i="1" s="1"/>
  <c r="F5" i="86"/>
  <c r="E14" i="86"/>
  <c r="CL382" i="1" s="1"/>
  <c r="E19" i="86"/>
  <c r="CL145" i="1" s="1"/>
  <c r="F5" i="64"/>
  <c r="E30" i="64"/>
  <c r="CF284" i="1" s="1"/>
  <c r="E27" i="64"/>
  <c r="CF329" i="1" s="1"/>
  <c r="E23" i="64"/>
  <c r="CF84" i="1" s="1"/>
  <c r="E37" i="64"/>
  <c r="CF40" i="1" s="1"/>
  <c r="E20" i="38"/>
  <c r="CD9" i="1" s="1"/>
  <c r="E19" i="38"/>
  <c r="CD282" i="1" s="1"/>
  <c r="E14" i="38"/>
  <c r="CD238" i="1" s="1"/>
  <c r="E16" i="54"/>
  <c r="CA138" i="1" s="1"/>
  <c r="E20" i="54"/>
  <c r="CA95" i="1" s="1"/>
  <c r="E21" i="54"/>
  <c r="CA145" i="1" s="1"/>
  <c r="E15" i="54"/>
  <c r="CA382" i="1" s="1"/>
  <c r="E11" i="54"/>
  <c r="CA379" i="1" s="1"/>
  <c r="F5" i="54"/>
  <c r="E13" i="54"/>
  <c r="CA202" i="1" s="1"/>
  <c r="E19" i="54"/>
  <c r="CA343" i="1" s="1"/>
  <c r="E9" i="54"/>
  <c r="CA154" i="1" s="1"/>
  <c r="E17" i="54"/>
  <c r="CA297" i="1" s="1"/>
  <c r="E10" i="54"/>
  <c r="CA7" i="1" s="1"/>
  <c r="E18" i="54"/>
  <c r="CA149" i="1" s="1"/>
  <c r="E8" i="54"/>
  <c r="CA428" i="1" s="1"/>
  <c r="E14" i="54"/>
  <c r="CA395" i="1" s="1"/>
  <c r="E12" i="54"/>
  <c r="CA113" i="1" s="1"/>
  <c r="E9" i="58"/>
  <c r="BS317" i="1" s="1"/>
  <c r="E8" i="58"/>
  <c r="BS171" i="1" s="1"/>
  <c r="E10" i="58"/>
  <c r="BS449" i="1" s="1"/>
  <c r="E11" i="58"/>
  <c r="BS370" i="1" s="1"/>
  <c r="F5" i="58"/>
  <c r="E12" i="62"/>
  <c r="BR51" i="1" s="1"/>
  <c r="E13" i="62"/>
  <c r="BR295" i="1" s="1"/>
  <c r="E9" i="62"/>
  <c r="BR187" i="1" s="1"/>
  <c r="E11" i="62"/>
  <c r="BR122" i="1" s="1"/>
  <c r="E16" i="62"/>
  <c r="BR70" i="1" s="1"/>
  <c r="E14" i="62"/>
  <c r="BR450" i="1" s="1"/>
  <c r="E18" i="62"/>
  <c r="BR252" i="1" s="1"/>
  <c r="E11" i="49"/>
  <c r="BP455" i="1" s="1"/>
  <c r="E13" i="49"/>
  <c r="BP230" i="1" s="1"/>
  <c r="E17" i="49"/>
  <c r="BP360" i="1" s="1"/>
  <c r="E9" i="49"/>
  <c r="BP425" i="1" s="1"/>
  <c r="E16" i="49"/>
  <c r="BP120" i="1" s="1"/>
  <c r="E15" i="49"/>
  <c r="BP248" i="1" s="1"/>
  <c r="E8" i="49"/>
  <c r="BP444" i="1" s="1"/>
  <c r="E12" i="49"/>
  <c r="BP150" i="1" s="1"/>
  <c r="E18" i="49"/>
  <c r="BP13" i="1" s="1"/>
  <c r="EK13" i="1" s="1"/>
  <c r="EL13" i="1" s="1"/>
  <c r="E10" i="49"/>
  <c r="BP126" i="1" s="1"/>
  <c r="E22" i="71"/>
  <c r="BO414" i="1" s="1"/>
  <c r="E24" i="71"/>
  <c r="BO332" i="1" s="1"/>
  <c r="E8" i="71"/>
  <c r="BO253" i="1" s="1"/>
  <c r="E18" i="71"/>
  <c r="BO163" i="1" s="1"/>
  <c r="E19" i="71"/>
  <c r="BO315" i="1" s="1"/>
  <c r="E14" i="71"/>
  <c r="BO413" i="1" s="1"/>
  <c r="E9" i="71"/>
  <c r="BO180" i="1" s="1"/>
  <c r="E17" i="71"/>
  <c r="BO247" i="1" s="1"/>
  <c r="E21" i="71"/>
  <c r="BO426" i="1" s="1"/>
  <c r="E20" i="71"/>
  <c r="BO423" i="1" s="1"/>
  <c r="E12" i="71"/>
  <c r="BO179" i="1" s="1"/>
  <c r="E10" i="71"/>
  <c r="BO47" i="1" s="1"/>
  <c r="E23" i="71"/>
  <c r="BO400" i="1" s="1"/>
  <c r="E16" i="71"/>
  <c r="BO9" i="1" s="1"/>
  <c r="E13" i="71"/>
  <c r="BO322" i="1" s="1"/>
  <c r="E11" i="71"/>
  <c r="BO237" i="1" s="1"/>
  <c r="E16" i="72"/>
  <c r="BN362" i="1" s="1"/>
  <c r="F5" i="72"/>
  <c r="E10" i="72"/>
  <c r="BN251" i="1" s="1"/>
  <c r="E11" i="72"/>
  <c r="BN86" i="1" s="1"/>
  <c r="E8" i="72"/>
  <c r="BN261" i="1" s="1"/>
  <c r="F5" i="71"/>
  <c r="E8" i="65"/>
  <c r="BM50" i="1" s="1"/>
  <c r="E12" i="65"/>
  <c r="BM36" i="1" s="1"/>
  <c r="F5" i="65"/>
  <c r="E11" i="65"/>
  <c r="BM127" i="1" s="1"/>
  <c r="E9" i="65"/>
  <c r="BM131" i="1" s="1"/>
  <c r="E10" i="60"/>
  <c r="BK152" i="1" s="1"/>
  <c r="E9" i="60"/>
  <c r="BK261" i="1" s="1"/>
  <c r="F5" i="91"/>
  <c r="E15" i="37"/>
  <c r="AY51" i="1" s="1"/>
  <c r="E11" i="37"/>
  <c r="AY429" i="1" s="1"/>
  <c r="E8" i="37"/>
  <c r="AY185" i="1" s="1"/>
  <c r="E17" i="37"/>
  <c r="AY70" i="1" s="1"/>
  <c r="E10" i="37"/>
  <c r="AY36" i="1" s="1"/>
  <c r="E9" i="37"/>
  <c r="AY127" i="1" s="1"/>
  <c r="E14" i="37"/>
  <c r="AY376" i="1" s="1"/>
  <c r="F5" i="37"/>
  <c r="E28" i="37"/>
  <c r="AY252" i="1" s="1"/>
  <c r="E27" i="37"/>
  <c r="AY352" i="1" s="1"/>
  <c r="E12" i="36"/>
  <c r="AX127" i="1" s="1"/>
  <c r="D11" i="32"/>
  <c r="D22" i="32"/>
  <c r="D8" i="32"/>
  <c r="E19" i="29"/>
  <c r="AS14" i="1" s="1"/>
  <c r="EK14" i="1" s="1"/>
  <c r="EL14" i="1" s="1"/>
  <c r="E15" i="29"/>
  <c r="AS152" i="1" s="1"/>
  <c r="E16" i="29"/>
  <c r="AS251" i="1" s="1"/>
  <c r="E18" i="29"/>
  <c r="AS147" i="1" s="1"/>
  <c r="F5" i="29"/>
  <c r="E17" i="29"/>
  <c r="AS274" i="1" s="1"/>
  <c r="D13" i="32"/>
  <c r="D10" i="32"/>
  <c r="D9" i="32"/>
  <c r="D14" i="32"/>
  <c r="D12" i="43"/>
  <c r="D8" i="43"/>
  <c r="E14" i="34"/>
  <c r="AV276" i="1" s="1"/>
  <c r="E19" i="34"/>
  <c r="AV218" i="1" s="1"/>
  <c r="E16" i="34"/>
  <c r="AV357" i="1" s="1"/>
  <c r="E10" i="34"/>
  <c r="AV51" i="1" s="1"/>
  <c r="E9" i="34"/>
  <c r="AV122" i="1" s="1"/>
  <c r="E8" i="34"/>
  <c r="AV295" i="1" s="1"/>
  <c r="E17" i="34"/>
  <c r="AV421" i="1" s="1"/>
  <c r="E15" i="34"/>
  <c r="AV388" i="1" s="1"/>
  <c r="E13" i="34"/>
  <c r="AV178" i="1" s="1"/>
  <c r="D10" i="12"/>
  <c r="D9" i="92"/>
  <c r="D10" i="92"/>
  <c r="D8" i="92"/>
  <c r="D11" i="12"/>
  <c r="D12" i="12"/>
  <c r="D8" i="12"/>
  <c r="D13" i="12"/>
  <c r="D9" i="12"/>
  <c r="E9" i="8"/>
  <c r="P66" i="1" s="1"/>
  <c r="E10" i="8"/>
  <c r="P312" i="1" s="1"/>
  <c r="D9" i="75"/>
  <c r="D8" i="75"/>
  <c r="D9" i="7"/>
  <c r="D10" i="7"/>
  <c r="D13" i="7"/>
  <c r="D12" i="7"/>
  <c r="D11" i="7"/>
  <c r="E9" i="6"/>
  <c r="N16" i="1" s="1"/>
  <c r="E8" i="48"/>
  <c r="M16" i="1" s="1"/>
  <c r="E9" i="48"/>
  <c r="M66" i="1" s="1"/>
  <c r="E12" i="10"/>
  <c r="J123" i="1" s="1"/>
  <c r="E16" i="112"/>
  <c r="F5" i="112"/>
  <c r="E10" i="112"/>
  <c r="E11" i="112"/>
  <c r="E20" i="112"/>
  <c r="E18" i="112"/>
  <c r="E9" i="112"/>
  <c r="E8" i="112"/>
  <c r="E14" i="112"/>
  <c r="D8" i="109"/>
  <c r="E16" i="110"/>
  <c r="E10" i="110"/>
  <c r="E17" i="110"/>
  <c r="E19" i="110"/>
  <c r="E14" i="110"/>
  <c r="E25" i="110"/>
  <c r="E24" i="110"/>
  <c r="E11" i="110"/>
  <c r="F5" i="110"/>
  <c r="E18" i="110"/>
  <c r="E15" i="110"/>
  <c r="E26" i="110"/>
  <c r="E13" i="110"/>
  <c r="E8" i="110"/>
  <c r="E12" i="110"/>
  <c r="E9" i="110"/>
  <c r="E23" i="110"/>
  <c r="E20" i="110"/>
  <c r="E27" i="110"/>
  <c r="D9" i="109"/>
  <c r="E9" i="116"/>
  <c r="F5" i="116"/>
  <c r="E8" i="116"/>
  <c r="F5" i="105"/>
  <c r="E9" i="105"/>
  <c r="E8" i="105"/>
  <c r="F5" i="117"/>
  <c r="E8" i="88"/>
  <c r="CU433" i="1" s="1"/>
  <c r="E14" i="88"/>
  <c r="CU144" i="1" s="1"/>
  <c r="E9" i="88"/>
  <c r="CU341" i="1" s="1"/>
  <c r="E13" i="88"/>
  <c r="CU135" i="1" s="1"/>
  <c r="E10" i="88"/>
  <c r="CU409" i="1" s="1"/>
  <c r="E12" i="88"/>
  <c r="CU373" i="1" s="1"/>
  <c r="E11" i="88"/>
  <c r="CU104" i="1" s="1"/>
  <c r="F5" i="88"/>
  <c r="E15" i="88"/>
  <c r="CU348" i="1" s="1"/>
  <c r="F5" i="79"/>
  <c r="E8" i="56"/>
  <c r="BB93" i="1" s="1"/>
  <c r="E8" i="31"/>
  <c r="AN428" i="1" s="1"/>
  <c r="E13" i="36"/>
  <c r="AX109" i="1" s="1"/>
  <c r="E15" i="38"/>
  <c r="F5" i="56"/>
  <c r="E19" i="115"/>
  <c r="F5" i="115"/>
  <c r="F5" i="38"/>
  <c r="E15" i="36"/>
  <c r="AX255" i="1" s="1"/>
  <c r="E8" i="115"/>
  <c r="E8" i="38"/>
  <c r="CD100" i="1" s="1"/>
  <c r="E11" i="36"/>
  <c r="AX308" i="1" s="1"/>
  <c r="E16" i="106"/>
  <c r="E9" i="115"/>
  <c r="F5" i="125"/>
  <c r="E8" i="60"/>
  <c r="BK93" i="1" s="1"/>
  <c r="E11" i="60"/>
  <c r="BK251" i="1" s="1"/>
  <c r="E21" i="115"/>
  <c r="E12" i="115"/>
  <c r="E15" i="115"/>
  <c r="E9" i="38"/>
  <c r="CD89" i="1" s="1"/>
  <c r="E16" i="115"/>
  <c r="E9" i="57"/>
  <c r="CC310" i="1" s="1"/>
  <c r="E14" i="115"/>
  <c r="E16" i="38"/>
  <c r="CD325" i="1" s="1"/>
  <c r="E10" i="57"/>
  <c r="CC31" i="1" s="1"/>
  <c r="F5" i="119"/>
  <c r="E9" i="93"/>
  <c r="V142" i="1" s="1"/>
  <c r="F5" i="10"/>
  <c r="E11" i="10"/>
  <c r="J369" i="1" s="1"/>
  <c r="E14" i="114"/>
  <c r="E12" i="114"/>
  <c r="E13" i="123"/>
  <c r="E8" i="123"/>
  <c r="E11" i="123"/>
  <c r="E11" i="31"/>
  <c r="AN113" i="1" s="1"/>
  <c r="F5" i="31"/>
  <c r="E10" i="31"/>
  <c r="AN7" i="1" s="1"/>
  <c r="E8" i="10"/>
  <c r="J16" i="1" s="1"/>
  <c r="E18" i="123"/>
  <c r="E9" i="10"/>
  <c r="J66" i="1" s="1"/>
  <c r="E15" i="71"/>
  <c r="BO173" i="1" s="1"/>
  <c r="F5" i="34"/>
  <c r="E14" i="106"/>
  <c r="E8" i="57"/>
  <c r="CC83" i="1" s="1"/>
  <c r="F5" i="57"/>
  <c r="E9" i="124"/>
  <c r="E8" i="122"/>
  <c r="E13" i="38"/>
  <c r="CD253" i="1" s="1"/>
  <c r="E12" i="38"/>
  <c r="CD81" i="1" s="1"/>
  <c r="E8" i="93"/>
  <c r="V107" i="1" s="1"/>
  <c r="E10" i="10"/>
  <c r="J312" i="1" s="1"/>
  <c r="E12" i="60"/>
  <c r="BK86" i="1" s="1"/>
  <c r="F5" i="123"/>
  <c r="E15" i="114"/>
  <c r="E9" i="61"/>
  <c r="BJ50" i="1" s="1"/>
  <c r="F5" i="4"/>
  <c r="E11" i="91"/>
  <c r="AZ444" i="1" s="1"/>
  <c r="E10" i="91"/>
  <c r="AZ308" i="1" s="1"/>
  <c r="E9" i="91"/>
  <c r="AZ93" i="1" s="1"/>
  <c r="E8" i="91"/>
  <c r="AZ352" i="1" s="1"/>
  <c r="E11" i="124"/>
  <c r="E10" i="3"/>
  <c r="E12" i="3"/>
  <c r="F5" i="3"/>
  <c r="E8" i="3"/>
  <c r="E15" i="3"/>
  <c r="E9" i="3"/>
  <c r="E14" i="3"/>
  <c r="E13" i="3"/>
  <c r="E21" i="122"/>
  <c r="F5" i="122"/>
  <c r="E9" i="122"/>
  <c r="E10" i="122"/>
  <c r="E19" i="122"/>
  <c r="E16" i="122"/>
  <c r="E17" i="122"/>
  <c r="E12" i="122"/>
  <c r="E14" i="122"/>
  <c r="E8" i="106"/>
  <c r="E9" i="106"/>
  <c r="E10" i="106"/>
  <c r="E15" i="106"/>
  <c r="E11" i="106"/>
  <c r="E12" i="106"/>
  <c r="E11" i="117"/>
  <c r="E8" i="124"/>
  <c r="E13" i="106"/>
  <c r="E11" i="125"/>
  <c r="E8" i="125"/>
  <c r="E12" i="125"/>
  <c r="E9" i="125"/>
  <c r="E10" i="125"/>
  <c r="E20" i="123"/>
  <c r="E21" i="67"/>
  <c r="CO433" i="1" s="1"/>
  <c r="E20" i="67"/>
  <c r="CO113" i="1" s="1"/>
  <c r="E22" i="67"/>
  <c r="CO57" i="1" s="1"/>
  <c r="E11" i="67"/>
  <c r="CO428" i="1" s="1"/>
  <c r="E31" i="67"/>
  <c r="CO165" i="1" s="1"/>
  <c r="E17" i="67"/>
  <c r="CO92" i="1" s="1"/>
  <c r="F5" i="67"/>
  <c r="E16" i="67"/>
  <c r="CO48" i="1" s="1"/>
  <c r="E29" i="67"/>
  <c r="CO221" i="1" s="1"/>
  <c r="E27" i="67"/>
  <c r="CO236" i="1" s="1"/>
  <c r="E28" i="67"/>
  <c r="CO440" i="1" s="1"/>
  <c r="E13" i="114"/>
  <c r="E19" i="114"/>
  <c r="F5" i="114"/>
  <c r="E10" i="114"/>
  <c r="E18" i="114"/>
  <c r="E34" i="114"/>
  <c r="E11" i="114"/>
  <c r="E14" i="124"/>
  <c r="E22" i="124"/>
  <c r="F5" i="124"/>
  <c r="E10" i="124"/>
  <c r="E15" i="124"/>
  <c r="E21" i="124"/>
  <c r="E8" i="61"/>
  <c r="BJ131" i="1" s="1"/>
  <c r="E8" i="117"/>
  <c r="E12" i="117"/>
  <c r="E9" i="117"/>
  <c r="E19" i="124"/>
  <c r="E13" i="124"/>
  <c r="E19" i="123"/>
  <c r="E10" i="123"/>
  <c r="E14" i="123"/>
  <c r="E21" i="123"/>
  <c r="E15" i="123"/>
  <c r="E16" i="123"/>
  <c r="E9" i="123"/>
  <c r="E17" i="123"/>
  <c r="E8" i="5"/>
  <c r="L16" i="1" s="1"/>
  <c r="E9" i="5"/>
  <c r="L66" i="1" s="1"/>
  <c r="E8" i="119"/>
  <c r="E9" i="119"/>
  <c r="E22" i="115"/>
  <c r="E13" i="115"/>
  <c r="E23" i="115"/>
  <c r="E10" i="115"/>
  <c r="E9" i="74"/>
  <c r="BE444" i="1" s="1"/>
  <c r="E10" i="74"/>
  <c r="BE429" i="1" s="1"/>
  <c r="E14" i="49"/>
  <c r="BP197" i="1" s="1"/>
  <c r="E12" i="34"/>
  <c r="AV70" i="1" s="1"/>
  <c r="E11" i="34"/>
  <c r="AV455" i="1" s="1"/>
  <c r="E16" i="91"/>
  <c r="AZ425" i="1" s="1"/>
  <c r="E13" i="91"/>
  <c r="AZ43" i="1" s="1"/>
  <c r="E11" i="38"/>
  <c r="CD244" i="1" s="1"/>
  <c r="E17" i="38"/>
  <c r="CD237" i="1" s="1"/>
  <c r="E28" i="38"/>
  <c r="CD290" i="1" s="1"/>
  <c r="E21" i="38"/>
  <c r="CD247" i="1" s="1"/>
  <c r="E10" i="38"/>
  <c r="CD141" i="1" s="1"/>
  <c r="F5" i="70"/>
  <c r="E11" i="70"/>
  <c r="CN312" i="1" s="1"/>
  <c r="E20" i="70"/>
  <c r="CN358" i="1" s="1"/>
  <c r="E17" i="70"/>
  <c r="CN131" i="1" s="1"/>
  <c r="E18" i="70"/>
  <c r="CN223" i="1" s="1"/>
  <c r="E14" i="70"/>
  <c r="CN204" i="1" s="1"/>
  <c r="E15" i="70"/>
  <c r="CN60" i="1" s="1"/>
  <c r="E10" i="70"/>
  <c r="CN123" i="1" s="1"/>
  <c r="E9" i="70"/>
  <c r="CN16" i="1" s="1"/>
  <c r="E16" i="70"/>
  <c r="CN100" i="1" s="1"/>
  <c r="E19" i="70"/>
  <c r="CN308" i="1" s="1"/>
  <c r="E13" i="70"/>
  <c r="CN369" i="1" s="1"/>
  <c r="E12" i="70"/>
  <c r="CN107" i="1" s="1"/>
  <c r="E8" i="70"/>
  <c r="CN66" i="1" s="1"/>
  <c r="E14" i="36"/>
  <c r="AX358" i="1" s="1"/>
  <c r="E8" i="36"/>
  <c r="AX100" i="1" s="1"/>
  <c r="E20" i="64"/>
  <c r="CF63" i="1" s="1"/>
  <c r="E18" i="64"/>
  <c r="CF249" i="1" s="1"/>
  <c r="E12" i="64"/>
  <c r="CF358" i="1" s="1"/>
  <c r="E33" i="64"/>
  <c r="CF330" i="1" s="1"/>
  <c r="E11" i="64"/>
  <c r="CF465" i="1" s="1"/>
  <c r="E26" i="64"/>
  <c r="CF116" i="1" s="1"/>
  <c r="E8" i="64"/>
  <c r="CF100" i="1" s="1"/>
  <c r="E29" i="64"/>
  <c r="CF309" i="1" s="1"/>
  <c r="E63" i="64"/>
  <c r="E14" i="64"/>
  <c r="CF407" i="1" s="1"/>
  <c r="E49" i="64"/>
  <c r="CF28" i="1" s="1"/>
  <c r="E64" i="64"/>
  <c r="E34" i="64"/>
  <c r="CF355" i="1" s="1"/>
  <c r="E10" i="64"/>
  <c r="CF308" i="1" s="1"/>
  <c r="E13" i="64"/>
  <c r="CF109" i="1" s="1"/>
  <c r="E62" i="64"/>
  <c r="CF255" i="1" s="1"/>
  <c r="E9" i="96"/>
  <c r="CI16" i="1" s="1"/>
  <c r="E11" i="96"/>
  <c r="CI66" i="1" s="1"/>
  <c r="E8" i="96"/>
  <c r="CI123" i="1" s="1"/>
  <c r="E12" i="96"/>
  <c r="CI204" i="1" s="1"/>
  <c r="E10" i="96"/>
  <c r="CI312" i="1" s="1"/>
  <c r="G433" i="1" l="1"/>
  <c r="EB433" i="1" s="1"/>
  <c r="DZ433" i="1" s="1"/>
  <c r="EK433" i="1"/>
  <c r="EL433" i="1" s="1"/>
  <c r="ED433" i="1" s="1"/>
  <c r="EG433" i="1"/>
  <c r="CF269" i="1"/>
  <c r="CF270" i="1"/>
  <c r="EK236" i="1"/>
  <c r="EL236" i="1" s="1"/>
  <c r="ED236" i="1" s="1"/>
  <c r="G236" i="1"/>
  <c r="EB236" i="1" s="1"/>
  <c r="DZ236" i="1" s="1"/>
  <c r="EG236" i="1"/>
  <c r="EI312" i="1"/>
  <c r="EE312" i="1"/>
  <c r="EJ312" i="1"/>
  <c r="EG312" i="1"/>
  <c r="G312" i="1"/>
  <c r="EB312" i="1" s="1"/>
  <c r="DZ312" i="1" s="1"/>
  <c r="EF312" i="1"/>
  <c r="EK312" i="1"/>
  <c r="EL312" i="1" s="1"/>
  <c r="ED312" i="1" s="1"/>
  <c r="EG274" i="1"/>
  <c r="EK274" i="1"/>
  <c r="EL274" i="1" s="1"/>
  <c r="ED274" i="1" s="1"/>
  <c r="G274" i="1"/>
  <c r="EB274" i="1" s="1"/>
  <c r="DZ274" i="1" s="1"/>
  <c r="EI274" i="1" s="1"/>
  <c r="EJ274" i="1"/>
  <c r="EF274" i="1"/>
  <c r="EK152" i="1"/>
  <c r="EL152" i="1" s="1"/>
  <c r="ED152" i="1" s="1"/>
  <c r="EG152" i="1"/>
  <c r="EF152" i="1"/>
  <c r="G152" i="1"/>
  <c r="EB152" i="1" s="1"/>
  <c r="DZ152" i="1" s="1"/>
  <c r="EI152" i="1" s="1"/>
  <c r="EJ152" i="1"/>
  <c r="EF332" i="1"/>
  <c r="G332" i="1"/>
  <c r="EB332" i="1" s="1"/>
  <c r="DZ332" i="1" s="1"/>
  <c r="EK332" i="1"/>
  <c r="EL332" i="1" s="1"/>
  <c r="ED332" i="1" s="1"/>
  <c r="EG332" i="1"/>
  <c r="G145" i="1"/>
  <c r="EB145" i="1" s="1"/>
  <c r="DZ145" i="1" s="1"/>
  <c r="EK145" i="1"/>
  <c r="EL145" i="1" s="1"/>
  <c r="ED145" i="1" s="1"/>
  <c r="EG145" i="1"/>
  <c r="EG282" i="1"/>
  <c r="G282" i="1"/>
  <c r="EB282" i="1" s="1"/>
  <c r="DZ282" i="1" s="1"/>
  <c r="G329" i="1"/>
  <c r="EB329" i="1" s="1"/>
  <c r="DZ329" i="1" s="1"/>
  <c r="EG329" i="1"/>
  <c r="EK329" i="1"/>
  <c r="EL329" i="1" s="1"/>
  <c r="ED329" i="1" s="1"/>
  <c r="EG300" i="1"/>
  <c r="EK300" i="1"/>
  <c r="EL300" i="1" s="1"/>
  <c r="ED300" i="1" s="1"/>
  <c r="G300" i="1"/>
  <c r="EB300" i="1" s="1"/>
  <c r="DZ300" i="1" s="1"/>
  <c r="G363" i="1"/>
  <c r="EB363" i="1" s="1"/>
  <c r="DZ363" i="1" s="1"/>
  <c r="EK363" i="1"/>
  <c r="EL363" i="1" s="1"/>
  <c r="ED363" i="1" s="1"/>
  <c r="EG363" i="1"/>
  <c r="EE171" i="1"/>
  <c r="G171" i="1"/>
  <c r="EB171" i="1" s="1"/>
  <c r="DZ171" i="1" s="1"/>
  <c r="EJ171" i="1" s="1"/>
  <c r="EK171" i="1"/>
  <c r="EL171" i="1" s="1"/>
  <c r="ED171" i="1" s="1"/>
  <c r="EG171" i="1"/>
  <c r="EF171" i="1"/>
  <c r="G223" i="1"/>
  <c r="EB223" i="1" s="1"/>
  <c r="DZ223" i="1" s="1"/>
  <c r="EK223" i="1"/>
  <c r="EL223" i="1" s="1"/>
  <c r="ED223" i="1" s="1"/>
  <c r="EG223" i="1"/>
  <c r="EF223" i="1"/>
  <c r="EJ223" i="1"/>
  <c r="EE223" i="1"/>
  <c r="EI223" i="1"/>
  <c r="EK449" i="1"/>
  <c r="EL449" i="1" s="1"/>
  <c r="ED449" i="1" s="1"/>
  <c r="EG449" i="1"/>
  <c r="G449" i="1"/>
  <c r="EB449" i="1" s="1"/>
  <c r="DZ449" i="1" s="1"/>
  <c r="EJ449" i="1"/>
  <c r="EF449" i="1"/>
  <c r="EI449" i="1"/>
  <c r="EE449" i="1"/>
  <c r="EI346" i="1"/>
  <c r="EE346" i="1"/>
  <c r="G346" i="1"/>
  <c r="EB346" i="1" s="1"/>
  <c r="DZ346" i="1" s="1"/>
  <c r="EG346" i="1"/>
  <c r="EK346" i="1"/>
  <c r="EL346" i="1" s="1"/>
  <c r="ED346" i="1" s="1"/>
  <c r="EF346" i="1"/>
  <c r="EJ346" i="1"/>
  <c r="EK292" i="1"/>
  <c r="EL292" i="1" s="1"/>
  <c r="ED292" i="1" s="1"/>
  <c r="EG292" i="1"/>
  <c r="EE292" i="1"/>
  <c r="G292" i="1"/>
  <c r="EB292" i="1" s="1"/>
  <c r="DZ292" i="1" s="1"/>
  <c r="EI292" i="1" s="1"/>
  <c r="EF292" i="1"/>
  <c r="EE261" i="1"/>
  <c r="EG261" i="1"/>
  <c r="EF261" i="1"/>
  <c r="EK261" i="1"/>
  <c r="EL261" i="1" s="1"/>
  <c r="ED261" i="1" s="1"/>
  <c r="G261" i="1"/>
  <c r="EB261" i="1" s="1"/>
  <c r="DZ261" i="1" s="1"/>
  <c r="EI261" i="1" s="1"/>
  <c r="EE367" i="1"/>
  <c r="EE205" i="1"/>
  <c r="EE446" i="1"/>
  <c r="G446" i="1"/>
  <c r="EB446" i="1" s="1"/>
  <c r="DZ446" i="1" s="1"/>
  <c r="EI446" i="1" s="1"/>
  <c r="EK446" i="1"/>
  <c r="EL446" i="1" s="1"/>
  <c r="ED446" i="1" s="1"/>
  <c r="EG446" i="1"/>
  <c r="EF446" i="1"/>
  <c r="EJ446" i="1"/>
  <c r="EJ241" i="1"/>
  <c r="EF241" i="1"/>
  <c r="G241" i="1"/>
  <c r="EB241" i="1" s="1"/>
  <c r="DZ241" i="1" s="1"/>
  <c r="EI241" i="1" s="1"/>
  <c r="EK241" i="1"/>
  <c r="EL241" i="1" s="1"/>
  <c r="ED241" i="1" s="1"/>
  <c r="EG241" i="1"/>
  <c r="G187" i="1"/>
  <c r="EB187" i="1" s="1"/>
  <c r="DZ187" i="1" s="1"/>
  <c r="EK187" i="1"/>
  <c r="EL187" i="1" s="1"/>
  <c r="ED187" i="1" s="1"/>
  <c r="EG187" i="1"/>
  <c r="EF187" i="1"/>
  <c r="G398" i="1"/>
  <c r="EB398" i="1" s="1"/>
  <c r="DZ398" i="1" s="1"/>
  <c r="EI398" i="1" s="1"/>
  <c r="EG398" i="1"/>
  <c r="EJ398" i="1"/>
  <c r="EK398" i="1"/>
  <c r="EL398" i="1" s="1"/>
  <c r="ED398" i="1" s="1"/>
  <c r="EF398" i="1"/>
  <c r="G351" i="1"/>
  <c r="EB351" i="1" s="1"/>
  <c r="DZ351" i="1" s="1"/>
  <c r="EI351" i="1" s="1"/>
  <c r="EK351" i="1"/>
  <c r="EL351" i="1" s="1"/>
  <c r="ED351" i="1" s="1"/>
  <c r="EJ351" i="1"/>
  <c r="EF351" i="1"/>
  <c r="EG351" i="1"/>
  <c r="EK288" i="1"/>
  <c r="EL288" i="1" s="1"/>
  <c r="ED288" i="1" s="1"/>
  <c r="EF288" i="1"/>
  <c r="G288" i="1"/>
  <c r="EB288" i="1" s="1"/>
  <c r="DZ288" i="1" s="1"/>
  <c r="EI288" i="1" s="1"/>
  <c r="EJ288" i="1"/>
  <c r="EG288" i="1"/>
  <c r="EK453" i="1"/>
  <c r="EL453" i="1" s="1"/>
  <c r="ED453" i="1" s="1"/>
  <c r="EF453" i="1"/>
  <c r="G453" i="1"/>
  <c r="EB453" i="1" s="1"/>
  <c r="DZ453" i="1" s="1"/>
  <c r="EI453" i="1" s="1"/>
  <c r="EG453" i="1"/>
  <c r="EJ453" i="1"/>
  <c r="EG115" i="1"/>
  <c r="EK115" i="1" s="1"/>
  <c r="EL115" i="1" s="1"/>
  <c r="ED115" i="1" s="1"/>
  <c r="EF115" i="1"/>
  <c r="G115" i="1"/>
  <c r="EB115" i="1" s="1"/>
  <c r="DZ115" i="1" s="1"/>
  <c r="EI115" i="1" s="1"/>
  <c r="G401" i="1"/>
  <c r="EB401" i="1" s="1"/>
  <c r="DZ401" i="1" s="1"/>
  <c r="EI401" i="1" s="1"/>
  <c r="EJ401" i="1"/>
  <c r="EG401" i="1"/>
  <c r="EF401" i="1"/>
  <c r="EK401" i="1"/>
  <c r="EL401" i="1" s="1"/>
  <c r="ED401" i="1" s="1"/>
  <c r="G116" i="1"/>
  <c r="EB116" i="1" s="1"/>
  <c r="DZ116" i="1" s="1"/>
  <c r="EI116" i="1" s="1"/>
  <c r="EF116" i="1"/>
  <c r="EK116" i="1"/>
  <c r="EL116" i="1" s="1"/>
  <c r="ED116" i="1" s="1"/>
  <c r="EG116" i="1"/>
  <c r="EF460" i="1"/>
  <c r="EG460" i="1"/>
  <c r="G460" i="1"/>
  <c r="EB460" i="1" s="1"/>
  <c r="DZ460" i="1" s="1"/>
  <c r="EI460" i="1" s="1"/>
  <c r="EK460" i="1"/>
  <c r="EL460" i="1" s="1"/>
  <c r="ED460" i="1" s="1"/>
  <c r="EF257" i="1"/>
  <c r="G257" i="1"/>
  <c r="EB257" i="1" s="1"/>
  <c r="DZ257" i="1" s="1"/>
  <c r="EI257" i="1" s="1"/>
  <c r="EG257" i="1"/>
  <c r="EK257" i="1" s="1"/>
  <c r="EL257" i="1" s="1"/>
  <c r="ED257" i="1" s="1"/>
  <c r="EJ257" i="1"/>
  <c r="EF437" i="1"/>
  <c r="G437" i="1"/>
  <c r="EB437" i="1" s="1"/>
  <c r="DZ437" i="1" s="1"/>
  <c r="EI437" i="1" s="1"/>
  <c r="EJ437" i="1"/>
  <c r="EG437" i="1"/>
  <c r="EK437" i="1" s="1"/>
  <c r="EL437" i="1" s="1"/>
  <c r="ED437" i="1" s="1"/>
  <c r="EK326" i="1"/>
  <c r="EL326" i="1" s="1"/>
  <c r="ED326" i="1" s="1"/>
  <c r="EG326" i="1"/>
  <c r="EF326" i="1"/>
  <c r="G326" i="1"/>
  <c r="EB326" i="1" s="1"/>
  <c r="DZ326" i="1" s="1"/>
  <c r="EI326" i="1" s="1"/>
  <c r="EF465" i="1"/>
  <c r="EK465" i="1"/>
  <c r="EL465" i="1" s="1"/>
  <c r="ED465" i="1" s="1"/>
  <c r="G465" i="1"/>
  <c r="EB465" i="1" s="1"/>
  <c r="DZ465" i="1" s="1"/>
  <c r="EI465" i="1" s="1"/>
  <c r="EG465" i="1"/>
  <c r="G246" i="1"/>
  <c r="EB246" i="1" s="1"/>
  <c r="DZ246" i="1" s="1"/>
  <c r="EI246" i="1" s="1"/>
  <c r="EG246" i="1"/>
  <c r="EK246" i="1" s="1"/>
  <c r="EL246" i="1" s="1"/>
  <c r="ED246" i="1" s="1"/>
  <c r="EJ246" i="1"/>
  <c r="EF246" i="1"/>
  <c r="EG417" i="1"/>
  <c r="EJ417" i="1"/>
  <c r="EF417" i="1"/>
  <c r="G417" i="1"/>
  <c r="EB417" i="1" s="1"/>
  <c r="DZ417" i="1" s="1"/>
  <c r="EI417" i="1" s="1"/>
  <c r="EK417" i="1"/>
  <c r="EL417" i="1" s="1"/>
  <c r="ED417" i="1" s="1"/>
  <c r="G119" i="1"/>
  <c r="EB119" i="1" s="1"/>
  <c r="DZ119" i="1" s="1"/>
  <c r="EI119" i="1" s="1"/>
  <c r="EJ119" i="1"/>
  <c r="EK119" i="1"/>
  <c r="EL119" i="1" s="1"/>
  <c r="ED119" i="1" s="1"/>
  <c r="EF119" i="1"/>
  <c r="EG119" i="1"/>
  <c r="EK128" i="1"/>
  <c r="EL128" i="1" s="1"/>
  <c r="ED128" i="1" s="1"/>
  <c r="EF128" i="1"/>
  <c r="EG128" i="1"/>
  <c r="G128" i="1"/>
  <c r="EB128" i="1" s="1"/>
  <c r="DZ128" i="1" s="1"/>
  <c r="EK392" i="1"/>
  <c r="EL392" i="1" s="1"/>
  <c r="ED392" i="1" s="1"/>
  <c r="EG392" i="1"/>
  <c r="EF392" i="1"/>
  <c r="G392" i="1"/>
  <c r="EB392" i="1" s="1"/>
  <c r="DZ392" i="1" s="1"/>
  <c r="EF143" i="1"/>
  <c r="G143" i="1"/>
  <c r="EB143" i="1" s="1"/>
  <c r="DZ143" i="1" s="1"/>
  <c r="EG143" i="1"/>
  <c r="EK143" i="1" s="1"/>
  <c r="EL143" i="1" s="1"/>
  <c r="ED143" i="1" s="1"/>
  <c r="EF174" i="1"/>
  <c r="G174" i="1"/>
  <c r="EB174" i="1" s="1"/>
  <c r="DZ174" i="1" s="1"/>
  <c r="EG174" i="1"/>
  <c r="EK174" i="1"/>
  <c r="EL174" i="1" s="1"/>
  <c r="ED174" i="1" s="1"/>
  <c r="EK262" i="1"/>
  <c r="EL262" i="1" s="1"/>
  <c r="ED262" i="1" s="1"/>
  <c r="G262" i="1"/>
  <c r="EB262" i="1" s="1"/>
  <c r="DZ262" i="1" s="1"/>
  <c r="EG262" i="1"/>
  <c r="EK260" i="1"/>
  <c r="EL260" i="1" s="1"/>
  <c r="ED260" i="1" s="1"/>
  <c r="EG260" i="1"/>
  <c r="G260" i="1"/>
  <c r="EB260" i="1" s="1"/>
  <c r="DZ260" i="1" s="1"/>
  <c r="EK221" i="1"/>
  <c r="EL221" i="1" s="1"/>
  <c r="ED221" i="1" s="1"/>
  <c r="EG221" i="1"/>
  <c r="G221" i="1"/>
  <c r="EB221" i="1" s="1"/>
  <c r="DZ221" i="1" s="1"/>
  <c r="EK127" i="1"/>
  <c r="EL127" i="1" s="1"/>
  <c r="ED127" i="1" s="1"/>
  <c r="EG127" i="1"/>
  <c r="EF127" i="1"/>
  <c r="G127" i="1"/>
  <c r="EB127" i="1" s="1"/>
  <c r="DZ127" i="1" s="1"/>
  <c r="EI127" i="1" s="1"/>
  <c r="G185" i="1"/>
  <c r="EB185" i="1" s="1"/>
  <c r="DZ185" i="1" s="1"/>
  <c r="EK185" i="1"/>
  <c r="EL185" i="1" s="1"/>
  <c r="ED185" i="1" s="1"/>
  <c r="EG185" i="1"/>
  <c r="EF185" i="1"/>
  <c r="EF362" i="1"/>
  <c r="G362" i="1"/>
  <c r="EB362" i="1" s="1"/>
  <c r="DZ362" i="1" s="1"/>
  <c r="EG362" i="1"/>
  <c r="EK362" i="1"/>
  <c r="EL362" i="1" s="1"/>
  <c r="ED362" i="1" s="1"/>
  <c r="EF400" i="1"/>
  <c r="G400" i="1"/>
  <c r="EB400" i="1" s="1"/>
  <c r="DZ400" i="1" s="1"/>
  <c r="EK400" i="1"/>
  <c r="EL400" i="1" s="1"/>
  <c r="ED400" i="1" s="1"/>
  <c r="EG400" i="1"/>
  <c r="EK414" i="1"/>
  <c r="EL414" i="1" s="1"/>
  <c r="ED414" i="1" s="1"/>
  <c r="EG414" i="1"/>
  <c r="EF414" i="1"/>
  <c r="G414" i="1"/>
  <c r="EB414" i="1" s="1"/>
  <c r="DZ414" i="1" s="1"/>
  <c r="EK337" i="1"/>
  <c r="EL337" i="1" s="1"/>
  <c r="ED337" i="1" s="1"/>
  <c r="EG337" i="1"/>
  <c r="G337" i="1"/>
  <c r="EB337" i="1" s="1"/>
  <c r="DZ337" i="1" s="1"/>
  <c r="G135" i="1"/>
  <c r="EB135" i="1" s="1"/>
  <c r="DZ135" i="1" s="1"/>
  <c r="EG135" i="1"/>
  <c r="EK135" i="1"/>
  <c r="EL135" i="1" s="1"/>
  <c r="ED135" i="1" s="1"/>
  <c r="EG459" i="1"/>
  <c r="EK459" i="1"/>
  <c r="EL459" i="1" s="1"/>
  <c r="ED459" i="1" s="1"/>
  <c r="G459" i="1"/>
  <c r="EB459" i="1" s="1"/>
  <c r="DZ459" i="1" s="1"/>
  <c r="EE436" i="1"/>
  <c r="EK436" i="1"/>
  <c r="EL436" i="1" s="1"/>
  <c r="ED436" i="1" s="1"/>
  <c r="EG436" i="1"/>
  <c r="G436" i="1"/>
  <c r="EB436" i="1" s="1"/>
  <c r="DZ436" i="1" s="1"/>
  <c r="EI436" i="1" s="1"/>
  <c r="EF436" i="1"/>
  <c r="EE233" i="1"/>
  <c r="EE317" i="1"/>
  <c r="EK338" i="1"/>
  <c r="EL338" i="1" s="1"/>
  <c r="ED338" i="1" s="1"/>
  <c r="EG338" i="1"/>
  <c r="EF338" i="1"/>
  <c r="EE338" i="1"/>
  <c r="G338" i="1"/>
  <c r="EB338" i="1" s="1"/>
  <c r="DZ338" i="1" s="1"/>
  <c r="EI338" i="1" s="1"/>
  <c r="EE199" i="1"/>
  <c r="EK387" i="1"/>
  <c r="EL387" i="1" s="1"/>
  <c r="ED387" i="1" s="1"/>
  <c r="EG387" i="1"/>
  <c r="EF387" i="1"/>
  <c r="G387" i="1"/>
  <c r="EB387" i="1" s="1"/>
  <c r="DZ387" i="1" s="1"/>
  <c r="EI387" i="1" s="1"/>
  <c r="EE387" i="1"/>
  <c r="G198" i="1"/>
  <c r="EB198" i="1" s="1"/>
  <c r="DZ198" i="1" s="1"/>
  <c r="EI198" i="1" s="1"/>
  <c r="EG198" i="1"/>
  <c r="EF198" i="1"/>
  <c r="EK198" i="1"/>
  <c r="EL198" i="1" s="1"/>
  <c r="ED198" i="1" s="1"/>
  <c r="EF151" i="1"/>
  <c r="EG151" i="1"/>
  <c r="G151" i="1"/>
  <c r="EB151" i="1" s="1"/>
  <c r="DZ151" i="1" s="1"/>
  <c r="EI151" i="1" s="1"/>
  <c r="EJ151" i="1"/>
  <c r="EK151" i="1"/>
  <c r="EL151" i="1" s="1"/>
  <c r="ED151" i="1" s="1"/>
  <c r="EK305" i="1"/>
  <c r="EL305" i="1" s="1"/>
  <c r="ED305" i="1" s="1"/>
  <c r="EF305" i="1"/>
  <c r="EG305" i="1"/>
  <c r="G305" i="1"/>
  <c r="EB305" i="1" s="1"/>
  <c r="DZ305" i="1" s="1"/>
  <c r="EI305" i="1" s="1"/>
  <c r="EF352" i="1"/>
  <c r="EK352" i="1"/>
  <c r="EL352" i="1" s="1"/>
  <c r="ED352" i="1" s="1"/>
  <c r="G352" i="1"/>
  <c r="EB352" i="1" s="1"/>
  <c r="DZ352" i="1" s="1"/>
  <c r="EI352" i="1" s="1"/>
  <c r="EG352" i="1"/>
  <c r="EK415" i="1"/>
  <c r="EL415" i="1" s="1"/>
  <c r="ED415" i="1" s="1"/>
  <c r="EG415" i="1"/>
  <c r="G415" i="1"/>
  <c r="EB415" i="1" s="1"/>
  <c r="DZ415" i="1" s="1"/>
  <c r="EI415" i="1" s="1"/>
  <c r="EF415" i="1"/>
  <c r="EJ286" i="1"/>
  <c r="G286" i="1"/>
  <c r="EB286" i="1" s="1"/>
  <c r="DZ286" i="1" s="1"/>
  <c r="EI286" i="1" s="1"/>
  <c r="EF286" i="1"/>
  <c r="EG286" i="1"/>
  <c r="EK286" i="1"/>
  <c r="EL286" i="1" s="1"/>
  <c r="ED286" i="1" s="1"/>
  <c r="EF249" i="1"/>
  <c r="EG249" i="1"/>
  <c r="EK249" i="1" s="1"/>
  <c r="EL249" i="1" s="1"/>
  <c r="ED249" i="1" s="1"/>
  <c r="G249" i="1"/>
  <c r="EB249" i="1" s="1"/>
  <c r="DZ249" i="1" s="1"/>
  <c r="EI249" i="1" s="1"/>
  <c r="EF378" i="1"/>
  <c r="EK378" i="1"/>
  <c r="EL378" i="1" s="1"/>
  <c r="ED378" i="1" s="1"/>
  <c r="G378" i="1"/>
  <c r="EB378" i="1" s="1"/>
  <c r="DZ378" i="1" s="1"/>
  <c r="EI378" i="1" s="1"/>
  <c r="EG378" i="1"/>
  <c r="EF283" i="1"/>
  <c r="G283" i="1"/>
  <c r="EB283" i="1" s="1"/>
  <c r="DZ283" i="1" s="1"/>
  <c r="EI283" i="1" s="1"/>
  <c r="EK283" i="1"/>
  <c r="EL283" i="1" s="1"/>
  <c r="ED283" i="1" s="1"/>
  <c r="EG283" i="1"/>
  <c r="EJ196" i="1"/>
  <c r="EK196" i="1"/>
  <c r="EL196" i="1" s="1"/>
  <c r="ED196" i="1" s="1"/>
  <c r="EF196" i="1"/>
  <c r="G196" i="1"/>
  <c r="EB196" i="1" s="1"/>
  <c r="DZ196" i="1" s="1"/>
  <c r="EI196" i="1" s="1"/>
  <c r="EG196" i="1"/>
  <c r="EG375" i="1"/>
  <c r="G375" i="1"/>
  <c r="EB375" i="1" s="1"/>
  <c r="DZ375" i="1" s="1"/>
  <c r="EI375" i="1" s="1"/>
  <c r="EJ375" i="1"/>
  <c r="EK375" i="1"/>
  <c r="EL375" i="1" s="1"/>
  <c r="ED375" i="1" s="1"/>
  <c r="EF375" i="1"/>
  <c r="EF402" i="1"/>
  <c r="EK402" i="1"/>
  <c r="EL402" i="1" s="1"/>
  <c r="ED402" i="1" s="1"/>
  <c r="G402" i="1"/>
  <c r="EB402" i="1" s="1"/>
  <c r="DZ402" i="1" s="1"/>
  <c r="EI402" i="1" s="1"/>
  <c r="EG402" i="1"/>
  <c r="G160" i="1"/>
  <c r="EB160" i="1" s="1"/>
  <c r="DZ160" i="1" s="1"/>
  <c r="EI160" i="1" s="1"/>
  <c r="EK160" i="1"/>
  <c r="EL160" i="1" s="1"/>
  <c r="ED160" i="1" s="1"/>
  <c r="EF160" i="1"/>
  <c r="EG160" i="1"/>
  <c r="EJ160" i="1"/>
  <c r="G156" i="1"/>
  <c r="EB156" i="1" s="1"/>
  <c r="DZ156" i="1" s="1"/>
  <c r="EI156" i="1" s="1"/>
  <c r="EK156" i="1"/>
  <c r="EL156" i="1" s="1"/>
  <c r="ED156" i="1" s="1"/>
  <c r="EF156" i="1"/>
  <c r="EG156" i="1"/>
  <c r="EJ156" i="1"/>
  <c r="G360" i="1"/>
  <c r="EB360" i="1" s="1"/>
  <c r="DZ360" i="1" s="1"/>
  <c r="EK360" i="1"/>
  <c r="EL360" i="1" s="1"/>
  <c r="ED360" i="1" s="1"/>
  <c r="EG360" i="1"/>
  <c r="EF360" i="1"/>
  <c r="EK426" i="1"/>
  <c r="EL426" i="1" s="1"/>
  <c r="ED426" i="1" s="1"/>
  <c r="EG426" i="1"/>
  <c r="EF426" i="1"/>
  <c r="G426" i="1"/>
  <c r="EB426" i="1" s="1"/>
  <c r="DZ426" i="1" s="1"/>
  <c r="EG371" i="1"/>
  <c r="G371" i="1"/>
  <c r="EB371" i="1" s="1"/>
  <c r="DZ371" i="1" s="1"/>
  <c r="EK371" i="1"/>
  <c r="EL371" i="1" s="1"/>
  <c r="ED371" i="1" s="1"/>
  <c r="G458" i="1"/>
  <c r="EB458" i="1" s="1"/>
  <c r="DZ458" i="1" s="1"/>
  <c r="EG458" i="1"/>
  <c r="EK458" i="1"/>
  <c r="EL458" i="1" s="1"/>
  <c r="ED458" i="1" s="1"/>
  <c r="EG157" i="1"/>
  <c r="G157" i="1"/>
  <c r="EB157" i="1" s="1"/>
  <c r="DZ157" i="1" s="1"/>
  <c r="EK157" i="1"/>
  <c r="EL157" i="1" s="1"/>
  <c r="ED157" i="1" s="1"/>
  <c r="G229" i="1"/>
  <c r="EB229" i="1" s="1"/>
  <c r="DZ229" i="1" s="1"/>
  <c r="EK229" i="1"/>
  <c r="EL229" i="1" s="1"/>
  <c r="ED229" i="1" s="1"/>
  <c r="EG229" i="1"/>
  <c r="EK207" i="1"/>
  <c r="EL207" i="1" s="1"/>
  <c r="ED207" i="1" s="1"/>
  <c r="EG207" i="1"/>
  <c r="G207" i="1"/>
  <c r="EB207" i="1" s="1"/>
  <c r="DZ207" i="1" s="1"/>
  <c r="EK409" i="1"/>
  <c r="EL409" i="1" s="1"/>
  <c r="ED409" i="1" s="1"/>
  <c r="EG409" i="1"/>
  <c r="G409" i="1"/>
  <c r="EB409" i="1" s="1"/>
  <c r="DZ409" i="1" s="1"/>
  <c r="G131" i="1"/>
  <c r="EB131" i="1" s="1"/>
  <c r="DZ131" i="1" s="1"/>
  <c r="EK131" i="1"/>
  <c r="EL131" i="1" s="1"/>
  <c r="ED131" i="1" s="1"/>
  <c r="EG131" i="1"/>
  <c r="EF131" i="1"/>
  <c r="EK407" i="1"/>
  <c r="EL407" i="1" s="1"/>
  <c r="ED407" i="1" s="1"/>
  <c r="G407" i="1"/>
  <c r="EB407" i="1" s="1"/>
  <c r="DZ407" i="1" s="1"/>
  <c r="EG407" i="1"/>
  <c r="G290" i="1"/>
  <c r="EB290" i="1" s="1"/>
  <c r="DZ290" i="1" s="1"/>
  <c r="EK290" i="1"/>
  <c r="EL290" i="1" s="1"/>
  <c r="ED290" i="1" s="1"/>
  <c r="EG290" i="1"/>
  <c r="EE369" i="1"/>
  <c r="EK154" i="1"/>
  <c r="EL154" i="1" s="1"/>
  <c r="ED154" i="1" s="1"/>
  <c r="EG154" i="1"/>
  <c r="G154" i="1"/>
  <c r="EB154" i="1" s="1"/>
  <c r="DZ154" i="1" s="1"/>
  <c r="G341" i="1"/>
  <c r="EB341" i="1" s="1"/>
  <c r="DZ341" i="1" s="1"/>
  <c r="EG341" i="1"/>
  <c r="EK341" i="1"/>
  <c r="EL341" i="1" s="1"/>
  <c r="ED341" i="1" s="1"/>
  <c r="EI462" i="1"/>
  <c r="EE462" i="1"/>
  <c r="G462" i="1"/>
  <c r="EB462" i="1" s="1"/>
  <c r="DZ462" i="1" s="1"/>
  <c r="EK462" i="1"/>
  <c r="EL462" i="1" s="1"/>
  <c r="ED462" i="1" s="1"/>
  <c r="EG462" i="1"/>
  <c r="EJ462" i="1"/>
  <c r="EF462" i="1"/>
  <c r="EF164" i="1"/>
  <c r="EE164" i="1"/>
  <c r="EK164" i="1"/>
  <c r="EL164" i="1" s="1"/>
  <c r="ED164" i="1" s="1"/>
  <c r="G164" i="1"/>
  <c r="EB164" i="1" s="1"/>
  <c r="DZ164" i="1" s="1"/>
  <c r="EJ164" i="1" s="1"/>
  <c r="EG164" i="1"/>
  <c r="EK201" i="1"/>
  <c r="EL201" i="1" s="1"/>
  <c r="ED201" i="1" s="1"/>
  <c r="EG201" i="1"/>
  <c r="EJ201" i="1"/>
  <c r="EF201" i="1"/>
  <c r="EE201" i="1"/>
  <c r="G201" i="1"/>
  <c r="EB201" i="1" s="1"/>
  <c r="DZ201" i="1" s="1"/>
  <c r="EI201" i="1"/>
  <c r="EK310" i="1"/>
  <c r="EL310" i="1" s="1"/>
  <c r="ED310" i="1" s="1"/>
  <c r="EG310" i="1"/>
  <c r="G310" i="1"/>
  <c r="EB310" i="1" s="1"/>
  <c r="DZ310" i="1" s="1"/>
  <c r="EJ310" i="1"/>
  <c r="EE310" i="1"/>
  <c r="EF310" i="1"/>
  <c r="EI310" i="1"/>
  <c r="EI159" i="1"/>
  <c r="EE159" i="1"/>
  <c r="EG159" i="1"/>
  <c r="EK159" i="1"/>
  <c r="EL159" i="1" s="1"/>
  <c r="ED159" i="1" s="1"/>
  <c r="EF159" i="1"/>
  <c r="EJ159" i="1"/>
  <c r="G159" i="1"/>
  <c r="EB159" i="1" s="1"/>
  <c r="DZ159" i="1" s="1"/>
  <c r="EE267" i="1"/>
  <c r="EE184" i="1"/>
  <c r="EE347" i="1"/>
  <c r="EJ439" i="1"/>
  <c r="EF439" i="1"/>
  <c r="G439" i="1"/>
  <c r="EB439" i="1" s="1"/>
  <c r="DZ439" i="1" s="1"/>
  <c r="EI439" i="1" s="1"/>
  <c r="EG439" i="1"/>
  <c r="EK439" i="1"/>
  <c r="EL439" i="1" s="1"/>
  <c r="ED439" i="1" s="1"/>
  <c r="EE439" i="1"/>
  <c r="EE422" i="1"/>
  <c r="EK380" i="1"/>
  <c r="EL380" i="1" s="1"/>
  <c r="ED380" i="1" s="1"/>
  <c r="EG380" i="1"/>
  <c r="EF380" i="1"/>
  <c r="G380" i="1"/>
  <c r="EB380" i="1" s="1"/>
  <c r="DZ380" i="1" s="1"/>
  <c r="EI380" i="1" s="1"/>
  <c r="EK406" i="1"/>
  <c r="EL406" i="1" s="1"/>
  <c r="ED406" i="1" s="1"/>
  <c r="EG406" i="1"/>
  <c r="EJ406" i="1"/>
  <c r="EF406" i="1"/>
  <c r="G406" i="1"/>
  <c r="EB406" i="1" s="1"/>
  <c r="DZ406" i="1" s="1"/>
  <c r="EI406" i="1" s="1"/>
  <c r="EK379" i="1"/>
  <c r="EL379" i="1" s="1"/>
  <c r="ED379" i="1" s="1"/>
  <c r="EG379" i="1"/>
  <c r="G379" i="1"/>
  <c r="EB379" i="1" s="1"/>
  <c r="DZ379" i="1" s="1"/>
  <c r="EI379" i="1" s="1"/>
  <c r="EF379" i="1"/>
  <c r="EF269" i="1"/>
  <c r="EK269" i="1"/>
  <c r="EL269" i="1" s="1"/>
  <c r="ED269" i="1" s="1"/>
  <c r="EG269" i="1"/>
  <c r="G269" i="1"/>
  <c r="EB269" i="1" s="1"/>
  <c r="DZ269" i="1" s="1"/>
  <c r="EI269" i="1" s="1"/>
  <c r="EJ306" i="1"/>
  <c r="G306" i="1"/>
  <c r="EB306" i="1" s="1"/>
  <c r="DZ306" i="1" s="1"/>
  <c r="EI306" i="1" s="1"/>
  <c r="EG306" i="1"/>
  <c r="EK306" i="1"/>
  <c r="EL306" i="1" s="1"/>
  <c r="ED306" i="1" s="1"/>
  <c r="EF306" i="1"/>
  <c r="EF228" i="1"/>
  <c r="EG228" i="1"/>
  <c r="G228" i="1"/>
  <c r="EB228" i="1" s="1"/>
  <c r="DZ228" i="1" s="1"/>
  <c r="EI228" i="1" s="1"/>
  <c r="EK228" i="1"/>
  <c r="EL228" i="1" s="1"/>
  <c r="ED228" i="1" s="1"/>
  <c r="EF372" i="1"/>
  <c r="G372" i="1"/>
  <c r="EB372" i="1" s="1"/>
  <c r="DZ372" i="1" s="1"/>
  <c r="EI372" i="1" s="1"/>
  <c r="EK372" i="1"/>
  <c r="EL372" i="1" s="1"/>
  <c r="ED372" i="1" s="1"/>
  <c r="EG372" i="1"/>
  <c r="EK430" i="1"/>
  <c r="EL430" i="1" s="1"/>
  <c r="ED430" i="1" s="1"/>
  <c r="G430" i="1"/>
  <c r="EB430" i="1" s="1"/>
  <c r="DZ430" i="1" s="1"/>
  <c r="EI430" i="1" s="1"/>
  <c r="EG430" i="1"/>
  <c r="EF430" i="1"/>
  <c r="EG284" i="1"/>
  <c r="EF284" i="1"/>
  <c r="EK284" i="1"/>
  <c r="EL284" i="1" s="1"/>
  <c r="ED284" i="1" s="1"/>
  <c r="G284" i="1"/>
  <c r="EB284" i="1" s="1"/>
  <c r="DZ284" i="1" s="1"/>
  <c r="EI284" i="1" s="1"/>
  <c r="EG245" i="1"/>
  <c r="EF245" i="1"/>
  <c r="EK245" i="1"/>
  <c r="EL245" i="1" s="1"/>
  <c r="ED245" i="1" s="1"/>
  <c r="G245" i="1"/>
  <c r="EB245" i="1" s="1"/>
  <c r="DZ245" i="1" s="1"/>
  <c r="EI245" i="1" s="1"/>
  <c r="EK234" i="1"/>
  <c r="EL234" i="1" s="1"/>
  <c r="ED234" i="1" s="1"/>
  <c r="EJ234" i="1"/>
  <c r="EG234" i="1"/>
  <c r="EF234" i="1"/>
  <c r="G234" i="1"/>
  <c r="EB234" i="1" s="1"/>
  <c r="DZ234" i="1" s="1"/>
  <c r="EI234" i="1" s="1"/>
  <c r="EF278" i="1"/>
  <c r="G278" i="1"/>
  <c r="EB278" i="1" s="1"/>
  <c r="DZ278" i="1" s="1"/>
  <c r="EI278" i="1" s="1"/>
  <c r="EK278" i="1"/>
  <c r="EL278" i="1" s="1"/>
  <c r="ED278" i="1" s="1"/>
  <c r="EG278" i="1"/>
  <c r="EF168" i="1"/>
  <c r="EK168" i="1"/>
  <c r="EL168" i="1" s="1"/>
  <c r="ED168" i="1" s="1"/>
  <c r="EG168" i="1"/>
  <c r="G168" i="1"/>
  <c r="EB168" i="1" s="1"/>
  <c r="DZ168" i="1" s="1"/>
  <c r="EI168" i="1" s="1"/>
  <c r="EG309" i="1"/>
  <c r="G309" i="1"/>
  <c r="EB309" i="1" s="1"/>
  <c r="DZ309" i="1" s="1"/>
  <c r="EI309" i="1" s="1"/>
  <c r="EJ309" i="1"/>
  <c r="EK309" i="1"/>
  <c r="EL309" i="1" s="1"/>
  <c r="ED309" i="1" s="1"/>
  <c r="EF309" i="1"/>
  <c r="EK390" i="1"/>
  <c r="EL390" i="1" s="1"/>
  <c r="ED390" i="1" s="1"/>
  <c r="EF390" i="1"/>
  <c r="EG390" i="1"/>
  <c r="G390" i="1"/>
  <c r="EB390" i="1" s="1"/>
  <c r="DZ390" i="1" s="1"/>
  <c r="EI390" i="1" s="1"/>
  <c r="EK384" i="1"/>
  <c r="EL384" i="1" s="1"/>
  <c r="ED384" i="1" s="1"/>
  <c r="EJ384" i="1"/>
  <c r="EG384" i="1"/>
  <c r="G384" i="1"/>
  <c r="EB384" i="1" s="1"/>
  <c r="DZ384" i="1" s="1"/>
  <c r="EI384" i="1" s="1"/>
  <c r="EF384" i="1"/>
  <c r="G111" i="1"/>
  <c r="EB111" i="1" s="1"/>
  <c r="DZ111" i="1" s="1"/>
  <c r="EI111" i="1" s="1"/>
  <c r="EF111" i="1"/>
  <c r="EK111" i="1"/>
  <c r="EL111" i="1" s="1"/>
  <c r="ED111" i="1" s="1"/>
  <c r="EG111" i="1"/>
  <c r="G303" i="1"/>
  <c r="EB303" i="1" s="1"/>
  <c r="DZ303" i="1" s="1"/>
  <c r="EG303" i="1"/>
  <c r="EK303" i="1"/>
  <c r="EL303" i="1" s="1"/>
  <c r="ED303" i="1" s="1"/>
  <c r="G213" i="1"/>
  <c r="EB213" i="1" s="1"/>
  <c r="DZ213" i="1" s="1"/>
  <c r="EK213" i="1"/>
  <c r="EL213" i="1" s="1"/>
  <c r="ED213" i="1" s="1"/>
  <c r="EG213" i="1"/>
  <c r="EK301" i="1"/>
  <c r="EL301" i="1" s="1"/>
  <c r="ED301" i="1" s="1"/>
  <c r="EG301" i="1"/>
  <c r="G301" i="1"/>
  <c r="EB301" i="1" s="1"/>
  <c r="DZ301" i="1" s="1"/>
  <c r="EK368" i="1"/>
  <c r="EL368" i="1" s="1"/>
  <c r="ED368" i="1" s="1"/>
  <c r="EG368" i="1"/>
  <c r="G368" i="1"/>
  <c r="EB368" i="1" s="1"/>
  <c r="DZ368" i="1" s="1"/>
  <c r="EK285" i="1"/>
  <c r="EL285" i="1" s="1"/>
  <c r="ED285" i="1" s="1"/>
  <c r="G285" i="1"/>
  <c r="EB285" i="1" s="1"/>
  <c r="DZ285" i="1" s="1"/>
  <c r="EG285" i="1"/>
  <c r="G144" i="1"/>
  <c r="EB144" i="1" s="1"/>
  <c r="DZ144" i="1" s="1"/>
  <c r="EK144" i="1"/>
  <c r="EL144" i="1" s="1"/>
  <c r="ED144" i="1" s="1"/>
  <c r="EG144" i="1"/>
  <c r="EK280" i="1"/>
  <c r="EL280" i="1" s="1"/>
  <c r="ED280" i="1" s="1"/>
  <c r="EG280" i="1"/>
  <c r="G280" i="1"/>
  <c r="EB280" i="1" s="1"/>
  <c r="DZ280" i="1" s="1"/>
  <c r="G440" i="1"/>
  <c r="EB440" i="1" s="1"/>
  <c r="DZ440" i="1" s="1"/>
  <c r="EK440" i="1"/>
  <c r="EL440" i="1" s="1"/>
  <c r="ED440" i="1" s="1"/>
  <c r="EG440" i="1"/>
  <c r="EJ357" i="1"/>
  <c r="EF357" i="1"/>
  <c r="G357" i="1"/>
  <c r="EB357" i="1" s="1"/>
  <c r="DZ357" i="1" s="1"/>
  <c r="EI357" i="1" s="1"/>
  <c r="EG357" i="1"/>
  <c r="EK357" i="1"/>
  <c r="EL357" i="1" s="1"/>
  <c r="ED357" i="1" s="1"/>
  <c r="EF251" i="1"/>
  <c r="EG251" i="1"/>
  <c r="G251" i="1"/>
  <c r="EB251" i="1" s="1"/>
  <c r="DZ251" i="1" s="1"/>
  <c r="EI251" i="1" s="1"/>
  <c r="EK251" i="1"/>
  <c r="EL251" i="1" s="1"/>
  <c r="ED251" i="1" s="1"/>
  <c r="G252" i="1"/>
  <c r="EB252" i="1" s="1"/>
  <c r="DZ252" i="1" s="1"/>
  <c r="EK252" i="1"/>
  <c r="EL252" i="1" s="1"/>
  <c r="ED252" i="1" s="1"/>
  <c r="EG252" i="1"/>
  <c r="EF252" i="1"/>
  <c r="G149" i="1"/>
  <c r="EB149" i="1" s="1"/>
  <c r="DZ149" i="1" s="1"/>
  <c r="EG149" i="1"/>
  <c r="EK149" i="1"/>
  <c r="EL149" i="1" s="1"/>
  <c r="ED149" i="1" s="1"/>
  <c r="G331" i="1"/>
  <c r="EB331" i="1" s="1"/>
  <c r="DZ331" i="1" s="1"/>
  <c r="EG331" i="1"/>
  <c r="EK331" i="1"/>
  <c r="EL331" i="1" s="1"/>
  <c r="ED331" i="1" s="1"/>
  <c r="EK404" i="1"/>
  <c r="EL404" i="1" s="1"/>
  <c r="ED404" i="1" s="1"/>
  <c r="EG404" i="1"/>
  <c r="G404" i="1"/>
  <c r="EB404" i="1" s="1"/>
  <c r="DZ404" i="1" s="1"/>
  <c r="G348" i="1"/>
  <c r="EB348" i="1" s="1"/>
  <c r="DZ348" i="1" s="1"/>
  <c r="EK348" i="1"/>
  <c r="EL348" i="1" s="1"/>
  <c r="ED348" i="1" s="1"/>
  <c r="EG348" i="1"/>
  <c r="EK313" i="1"/>
  <c r="EL313" i="1" s="1"/>
  <c r="ED313" i="1" s="1"/>
  <c r="EG313" i="1"/>
  <c r="EE313" i="1"/>
  <c r="EF313" i="1"/>
  <c r="G313" i="1"/>
  <c r="EB313" i="1" s="1"/>
  <c r="DZ313" i="1" s="1"/>
  <c r="EJ313" i="1" s="1"/>
  <c r="EE444" i="1"/>
  <c r="EG167" i="1"/>
  <c r="EK167" i="1" s="1"/>
  <c r="EL167" i="1" s="1"/>
  <c r="ED167" i="1" s="1"/>
  <c r="G167" i="1"/>
  <c r="EB167" i="1" s="1"/>
  <c r="DZ167" i="1" s="1"/>
  <c r="EI167" i="1" s="1"/>
  <c r="EJ167" i="1"/>
  <c r="EE167" i="1"/>
  <c r="EF167" i="1"/>
  <c r="EK420" i="1"/>
  <c r="EL420" i="1" s="1"/>
  <c r="ED420" i="1" s="1"/>
  <c r="EG420" i="1"/>
  <c r="EF420" i="1"/>
  <c r="G420" i="1"/>
  <c r="EB420" i="1" s="1"/>
  <c r="DZ420" i="1" s="1"/>
  <c r="EJ420" i="1" s="1"/>
  <c r="EE420" i="1"/>
  <c r="EE189" i="1"/>
  <c r="EK130" i="1"/>
  <c r="EL130" i="1" s="1"/>
  <c r="ED130" i="1" s="1"/>
  <c r="EG130" i="1"/>
  <c r="EF130" i="1"/>
  <c r="G130" i="1"/>
  <c r="EB130" i="1" s="1"/>
  <c r="DZ130" i="1" s="1"/>
  <c r="EI130" i="1" s="1"/>
  <c r="EE130" i="1"/>
  <c r="EE235" i="1"/>
  <c r="EK393" i="1"/>
  <c r="EL393" i="1" s="1"/>
  <c r="ED393" i="1" s="1"/>
  <c r="EG393" i="1"/>
  <c r="EF393" i="1"/>
  <c r="G393" i="1"/>
  <c r="EB393" i="1" s="1"/>
  <c r="DZ393" i="1" s="1"/>
  <c r="EI393" i="1" s="1"/>
  <c r="EE393" i="1"/>
  <c r="EF118" i="1"/>
  <c r="G118" i="1"/>
  <c r="EB118" i="1" s="1"/>
  <c r="DZ118" i="1" s="1"/>
  <c r="EI118" i="1" s="1"/>
  <c r="EK118" i="1"/>
  <c r="EL118" i="1" s="1"/>
  <c r="ED118" i="1" s="1"/>
  <c r="EG118" i="1"/>
  <c r="EE118" i="1"/>
  <c r="EK188" i="1"/>
  <c r="EL188" i="1" s="1"/>
  <c r="ED188" i="1" s="1"/>
  <c r="EG188" i="1"/>
  <c r="EF188" i="1"/>
  <c r="G188" i="1"/>
  <c r="EB188" i="1" s="1"/>
  <c r="DZ188" i="1" s="1"/>
  <c r="EI188" i="1" s="1"/>
  <c r="EK227" i="1"/>
  <c r="EL227" i="1" s="1"/>
  <c r="ED227" i="1" s="1"/>
  <c r="EG227" i="1"/>
  <c r="G227" i="1"/>
  <c r="EB227" i="1" s="1"/>
  <c r="DZ227" i="1" s="1"/>
  <c r="EI227" i="1" s="1"/>
  <c r="EF227" i="1"/>
  <c r="EJ227" i="1"/>
  <c r="EK355" i="1"/>
  <c r="EL355" i="1" s="1"/>
  <c r="ED355" i="1" s="1"/>
  <c r="EG355" i="1"/>
  <c r="EF355" i="1"/>
  <c r="G355" i="1"/>
  <c r="EB355" i="1" s="1"/>
  <c r="DZ355" i="1" s="1"/>
  <c r="EI355" i="1" s="1"/>
  <c r="EF215" i="1"/>
  <c r="EK215" i="1"/>
  <c r="EL215" i="1" s="1"/>
  <c r="ED215" i="1" s="1"/>
  <c r="G215" i="1"/>
  <c r="EB215" i="1" s="1"/>
  <c r="DZ215" i="1" s="1"/>
  <c r="EI215" i="1" s="1"/>
  <c r="EG215" i="1"/>
  <c r="EK365" i="1"/>
  <c r="EL365" i="1" s="1"/>
  <c r="ED365" i="1" s="1"/>
  <c r="G365" i="1"/>
  <c r="EB365" i="1" s="1"/>
  <c r="DZ365" i="1" s="1"/>
  <c r="EI365" i="1" s="1"/>
  <c r="EG365" i="1"/>
  <c r="EF365" i="1"/>
  <c r="EF148" i="1"/>
  <c r="G148" i="1"/>
  <c r="EB148" i="1" s="1"/>
  <c r="DZ148" i="1" s="1"/>
  <c r="EI148" i="1" s="1"/>
  <c r="EG148" i="1"/>
  <c r="EJ148" i="1"/>
  <c r="EK148" i="1"/>
  <c r="EL148" i="1" s="1"/>
  <c r="ED148" i="1" s="1"/>
  <c r="EF344" i="1"/>
  <c r="EG344" i="1"/>
  <c r="G344" i="1"/>
  <c r="EB344" i="1" s="1"/>
  <c r="DZ344" i="1" s="1"/>
  <c r="EI344" i="1" s="1"/>
  <c r="EJ344" i="1"/>
  <c r="EK344" i="1"/>
  <c r="EL344" i="1" s="1"/>
  <c r="ED344" i="1" s="1"/>
  <c r="EK335" i="1"/>
  <c r="EL335" i="1" s="1"/>
  <c r="ED335" i="1" s="1"/>
  <c r="EJ335" i="1"/>
  <c r="EG335" i="1"/>
  <c r="G335" i="1"/>
  <c r="EB335" i="1" s="1"/>
  <c r="DZ335" i="1" s="1"/>
  <c r="EI335" i="1" s="1"/>
  <c r="EF335" i="1"/>
  <c r="EJ190" i="1"/>
  <c r="EF190" i="1"/>
  <c r="EK190" i="1"/>
  <c r="EL190" i="1" s="1"/>
  <c r="ED190" i="1" s="1"/>
  <c r="G190" i="1"/>
  <c r="EB190" i="1" s="1"/>
  <c r="DZ190" i="1" s="1"/>
  <c r="EI190" i="1" s="1"/>
  <c r="EG190" i="1"/>
  <c r="EF304" i="1"/>
  <c r="EG304" i="1"/>
  <c r="G304" i="1"/>
  <c r="EB304" i="1" s="1"/>
  <c r="DZ304" i="1" s="1"/>
  <c r="EI304" i="1" s="1"/>
  <c r="EJ304" i="1"/>
  <c r="EK304" i="1"/>
  <c r="EL304" i="1" s="1"/>
  <c r="ED304" i="1" s="1"/>
  <c r="EG181" i="1"/>
  <c r="EF181" i="1"/>
  <c r="G181" i="1"/>
  <c r="EB181" i="1" s="1"/>
  <c r="DZ181" i="1" s="1"/>
  <c r="EI181" i="1" s="1"/>
  <c r="EJ181" i="1"/>
  <c r="EK181" i="1"/>
  <c r="EL181" i="1" s="1"/>
  <c r="ED181" i="1" s="1"/>
  <c r="G445" i="1"/>
  <c r="EB445" i="1" s="1"/>
  <c r="DZ445" i="1" s="1"/>
  <c r="EI445" i="1" s="1"/>
  <c r="EJ445" i="1"/>
  <c r="EK445" i="1"/>
  <c r="EL445" i="1" s="1"/>
  <c r="ED445" i="1" s="1"/>
  <c r="EF445" i="1"/>
  <c r="EG445" i="1"/>
  <c r="EF432" i="1"/>
  <c r="EK432" i="1"/>
  <c r="EL432" i="1" s="1"/>
  <c r="ED432" i="1" s="1"/>
  <c r="G432" i="1"/>
  <c r="EB432" i="1" s="1"/>
  <c r="DZ432" i="1" s="1"/>
  <c r="EI432" i="1" s="1"/>
  <c r="EG432" i="1"/>
  <c r="EJ432" i="1"/>
  <c r="EG287" i="1"/>
  <c r="EF287" i="1"/>
  <c r="G287" i="1"/>
  <c r="EB287" i="1" s="1"/>
  <c r="DZ287" i="1" s="1"/>
  <c r="EI287" i="1" s="1"/>
  <c r="EJ287" i="1"/>
  <c r="EK287" i="1"/>
  <c r="EL287" i="1" s="1"/>
  <c r="ED287" i="1" s="1"/>
  <c r="EG330" i="1"/>
  <c r="EF330" i="1"/>
  <c r="EK330" i="1"/>
  <c r="EL330" i="1" s="1"/>
  <c r="ED330" i="1" s="1"/>
  <c r="G330" i="1"/>
  <c r="EB330" i="1" s="1"/>
  <c r="DZ330" i="1" s="1"/>
  <c r="EI330" i="1" s="1"/>
  <c r="EK277" i="1"/>
  <c r="EL277" i="1" s="1"/>
  <c r="ED277" i="1" s="1"/>
  <c r="EF277" i="1"/>
  <c r="G277" i="1"/>
  <c r="EB277" i="1" s="1"/>
  <c r="DZ277" i="1" s="1"/>
  <c r="EI277" i="1" s="1"/>
  <c r="EG277" i="1"/>
  <c r="EF124" i="1"/>
  <c r="EK124" i="1"/>
  <c r="EL124" i="1" s="1"/>
  <c r="ED124" i="1" s="1"/>
  <c r="G124" i="1"/>
  <c r="EB124" i="1" s="1"/>
  <c r="DZ124" i="1" s="1"/>
  <c r="EI124" i="1" s="1"/>
  <c r="EG124" i="1"/>
  <c r="EJ200" i="1"/>
  <c r="EF200" i="1"/>
  <c r="EK200" i="1"/>
  <c r="EL200" i="1" s="1"/>
  <c r="ED200" i="1" s="1"/>
  <c r="G200" i="1"/>
  <c r="EB200" i="1" s="1"/>
  <c r="DZ200" i="1" s="1"/>
  <c r="EI200" i="1" s="1"/>
  <c r="EG200" i="1"/>
  <c r="EG210" i="1"/>
  <c r="EF210" i="1"/>
  <c r="EK210" i="1"/>
  <c r="EL210" i="1" s="1"/>
  <c r="ED210" i="1" s="1"/>
  <c r="G210" i="1"/>
  <c r="EB210" i="1" s="1"/>
  <c r="DZ210" i="1" s="1"/>
  <c r="EG265" i="1"/>
  <c r="EK265" i="1" s="1"/>
  <c r="EL265" i="1" s="1"/>
  <c r="ED265" i="1" s="1"/>
  <c r="EF265" i="1"/>
  <c r="G265" i="1"/>
  <c r="EB265" i="1" s="1"/>
  <c r="DZ265" i="1" s="1"/>
  <c r="EK397" i="1"/>
  <c r="EL397" i="1" s="1"/>
  <c r="ED397" i="1" s="1"/>
  <c r="EG397" i="1"/>
  <c r="G397" i="1"/>
  <c r="EB397" i="1" s="1"/>
  <c r="DZ397" i="1" s="1"/>
  <c r="G461" i="1"/>
  <c r="EB461" i="1" s="1"/>
  <c r="DZ461" i="1" s="1"/>
  <c r="EK461" i="1"/>
  <c r="EL461" i="1" s="1"/>
  <c r="ED461" i="1" s="1"/>
  <c r="EG461" i="1"/>
  <c r="EK373" i="1"/>
  <c r="EL373" i="1" s="1"/>
  <c r="ED373" i="1" s="1"/>
  <c r="EG373" i="1"/>
  <c r="G373" i="1"/>
  <c r="EB373" i="1" s="1"/>
  <c r="DZ373" i="1" s="1"/>
  <c r="EG441" i="1"/>
  <c r="G441" i="1"/>
  <c r="EB441" i="1" s="1"/>
  <c r="DZ441" i="1" s="1"/>
  <c r="EK441" i="1"/>
  <c r="EL441" i="1" s="1"/>
  <c r="ED441" i="1" s="1"/>
  <c r="EF67" i="1"/>
  <c r="EE67" i="1"/>
  <c r="EE93" i="1"/>
  <c r="G84" i="1"/>
  <c r="EB84" i="1" s="1"/>
  <c r="DZ84" i="1" s="1"/>
  <c r="EI84" i="1" s="1"/>
  <c r="EK84" i="1"/>
  <c r="EL84" i="1" s="1"/>
  <c r="ED84" i="1" s="1"/>
  <c r="EF84" i="1"/>
  <c r="EG84" i="1"/>
  <c r="EK104" i="1"/>
  <c r="EL104" i="1" s="1"/>
  <c r="ED104" i="1" s="1"/>
  <c r="EG104" i="1"/>
  <c r="G104" i="1"/>
  <c r="EB104" i="1" s="1"/>
  <c r="DZ104" i="1" s="1"/>
  <c r="CF110" i="1"/>
  <c r="G110" i="1" s="1"/>
  <c r="EB110" i="1" s="1"/>
  <c r="DZ110" i="1" s="1"/>
  <c r="EJ110" i="1" s="1"/>
  <c r="EK86" i="1"/>
  <c r="EL86" i="1" s="1"/>
  <c r="ED86" i="1" s="1"/>
  <c r="EG86" i="1"/>
  <c r="EF86" i="1"/>
  <c r="G86" i="1"/>
  <c r="EB86" i="1" s="1"/>
  <c r="DZ86" i="1" s="1"/>
  <c r="EI66" i="1"/>
  <c r="G74" i="1"/>
  <c r="EB74" i="1" s="1"/>
  <c r="DZ74" i="1" s="1"/>
  <c r="EK74" i="1"/>
  <c r="EL74" i="1" s="1"/>
  <c r="ED74" i="1" s="1"/>
  <c r="EG74" i="1"/>
  <c r="EF110" i="1"/>
  <c r="EE110" i="1"/>
  <c r="EF103" i="1"/>
  <c r="G103" i="1"/>
  <c r="EB103" i="1" s="1"/>
  <c r="DZ103" i="1" s="1"/>
  <c r="EI103" i="1" s="1"/>
  <c r="EK103" i="1"/>
  <c r="EL103" i="1" s="1"/>
  <c r="ED103" i="1" s="1"/>
  <c r="EG103" i="1"/>
  <c r="EK77" i="1"/>
  <c r="EL77" i="1" s="1"/>
  <c r="ED77" i="1" s="1"/>
  <c r="EG77" i="1"/>
  <c r="G77" i="1"/>
  <c r="EB77" i="1" s="1"/>
  <c r="DZ77" i="1" s="1"/>
  <c r="G98" i="1"/>
  <c r="EB98" i="1" s="1"/>
  <c r="DZ98" i="1" s="1"/>
  <c r="EK98" i="1"/>
  <c r="EL98" i="1" s="1"/>
  <c r="ED98" i="1" s="1"/>
  <c r="EG98" i="1"/>
  <c r="EK94" i="1"/>
  <c r="EL94" i="1" s="1"/>
  <c r="ED94" i="1" s="1"/>
  <c r="EG94" i="1"/>
  <c r="EF94" i="1"/>
  <c r="G94" i="1"/>
  <c r="EB94" i="1" s="1"/>
  <c r="DZ94" i="1" s="1"/>
  <c r="EG78" i="1"/>
  <c r="G78" i="1"/>
  <c r="EB78" i="1" s="1"/>
  <c r="DZ78" i="1" s="1"/>
  <c r="EI78" i="1" s="1"/>
  <c r="EK78" i="1"/>
  <c r="EL78" i="1" s="1"/>
  <c r="ED78" i="1" s="1"/>
  <c r="EF78" i="1"/>
  <c r="EG68" i="1"/>
  <c r="G68" i="1"/>
  <c r="EB68" i="1" s="1"/>
  <c r="DZ68" i="1" s="1"/>
  <c r="EI68" i="1" s="1"/>
  <c r="EF68" i="1"/>
  <c r="EK68" i="1"/>
  <c r="EL68" i="1" s="1"/>
  <c r="ED68" i="1" s="1"/>
  <c r="EK67" i="1"/>
  <c r="EL67" i="1" s="1"/>
  <c r="ED67" i="1" s="1"/>
  <c r="EG67" i="1"/>
  <c r="G67" i="1"/>
  <c r="EB67" i="1" s="1"/>
  <c r="DZ67" i="1" s="1"/>
  <c r="G106" i="1"/>
  <c r="EB106" i="1" s="1"/>
  <c r="DZ106" i="1" s="1"/>
  <c r="EI106" i="1" s="1"/>
  <c r="EK106" i="1"/>
  <c r="EL106" i="1" s="1"/>
  <c r="ED106" i="1" s="1"/>
  <c r="EG106" i="1"/>
  <c r="EF106" i="1"/>
  <c r="EE106" i="1"/>
  <c r="EF102" i="1"/>
  <c r="G102" i="1"/>
  <c r="EB102" i="1" s="1"/>
  <c r="DZ102" i="1" s="1"/>
  <c r="EI102" i="1" s="1"/>
  <c r="EK102" i="1"/>
  <c r="EL102" i="1" s="1"/>
  <c r="ED102" i="1" s="1"/>
  <c r="EG102" i="1"/>
  <c r="EK87" i="1"/>
  <c r="EL87" i="1" s="1"/>
  <c r="ED87" i="1" s="1"/>
  <c r="EG87" i="1"/>
  <c r="EF87" i="1"/>
  <c r="G87" i="1"/>
  <c r="EB87" i="1" s="1"/>
  <c r="DZ87" i="1" s="1"/>
  <c r="EK105" i="1"/>
  <c r="EL105" i="1" s="1"/>
  <c r="ED105" i="1" s="1"/>
  <c r="G105" i="1"/>
  <c r="EB105" i="1" s="1"/>
  <c r="DZ105" i="1" s="1"/>
  <c r="EI105" i="1" s="1"/>
  <c r="EG105" i="1"/>
  <c r="EF105" i="1"/>
  <c r="EG71" i="1"/>
  <c r="EF71" i="1"/>
  <c r="EK71" i="1"/>
  <c r="EL71" i="1" s="1"/>
  <c r="ED71" i="1" s="1"/>
  <c r="G71" i="1"/>
  <c r="EB71" i="1" s="1"/>
  <c r="DZ71" i="1" s="1"/>
  <c r="EI71" i="1" s="1"/>
  <c r="EF81" i="1"/>
  <c r="G81" i="1"/>
  <c r="EB81" i="1" s="1"/>
  <c r="DZ81" i="1" s="1"/>
  <c r="EK81" i="1"/>
  <c r="EL81" i="1" s="1"/>
  <c r="ED81" i="1" s="1"/>
  <c r="EG81" i="1"/>
  <c r="EF58" i="1"/>
  <c r="EE58" i="1"/>
  <c r="EK58" i="1"/>
  <c r="EL58" i="1" s="1"/>
  <c r="ED58" i="1" s="1"/>
  <c r="EG58" i="1"/>
  <c r="G58" i="1"/>
  <c r="EB58" i="1" s="1"/>
  <c r="DZ58" i="1" s="1"/>
  <c r="EJ58" i="1" s="1"/>
  <c r="EG49" i="1"/>
  <c r="G49" i="1"/>
  <c r="EB49" i="1" s="1"/>
  <c r="DZ49" i="1" s="1"/>
  <c r="EI49" i="1" s="1"/>
  <c r="EK49" i="1"/>
  <c r="EL49" i="1" s="1"/>
  <c r="ED49" i="1" s="1"/>
  <c r="EF49" i="1"/>
  <c r="G65" i="1"/>
  <c r="EB65" i="1" s="1"/>
  <c r="DZ65" i="1" s="1"/>
  <c r="EI65" i="1" s="1"/>
  <c r="EF65" i="1"/>
  <c r="EK65" i="1"/>
  <c r="EL65" i="1" s="1"/>
  <c r="ED65" i="1" s="1"/>
  <c r="EG65" i="1"/>
  <c r="EJ65" i="1"/>
  <c r="EK57" i="1"/>
  <c r="EL57" i="1" s="1"/>
  <c r="ED57" i="1" s="1"/>
  <c r="EG57" i="1"/>
  <c r="G57" i="1"/>
  <c r="EB57" i="1" s="1"/>
  <c r="DZ57" i="1" s="1"/>
  <c r="EE64" i="1"/>
  <c r="EG62" i="1"/>
  <c r="G62" i="1"/>
  <c r="EB62" i="1" s="1"/>
  <c r="DZ62" i="1" s="1"/>
  <c r="EK62" i="1"/>
  <c r="EL62" i="1" s="1"/>
  <c r="ED62" i="1" s="1"/>
  <c r="EE60" i="1"/>
  <c r="EK45" i="1"/>
  <c r="EL45" i="1" s="1"/>
  <c r="E28" i="25"/>
  <c r="AL367" i="1" s="1"/>
  <c r="EG367" i="1" s="1"/>
  <c r="E18" i="25"/>
  <c r="AL199" i="1" s="1"/>
  <c r="EF199" i="1" s="1"/>
  <c r="E31" i="25"/>
  <c r="AL422" i="1" s="1"/>
  <c r="EG422" i="1" s="1"/>
  <c r="EK422" i="1" s="1"/>
  <c r="EL422" i="1" s="1"/>
  <c r="ED422" i="1" s="1"/>
  <c r="E21" i="25"/>
  <c r="AL125" i="1" s="1"/>
  <c r="E27" i="25"/>
  <c r="AL37" i="1" s="1"/>
  <c r="E24" i="25"/>
  <c r="AL347" i="1" s="1"/>
  <c r="EF347" i="1" s="1"/>
  <c r="E17" i="25"/>
  <c r="AL267" i="1" s="1"/>
  <c r="E30" i="25"/>
  <c r="AL235" i="1" s="1"/>
  <c r="EK235" i="1" s="1"/>
  <c r="EL235" i="1" s="1"/>
  <c r="ED235" i="1" s="1"/>
  <c r="E20" i="25"/>
  <c r="AL386" i="1" s="1"/>
  <c r="E23" i="25"/>
  <c r="AL59" i="1" s="1"/>
  <c r="E25" i="25"/>
  <c r="AL64" i="1" s="1"/>
  <c r="EF64" i="1" s="1"/>
  <c r="E26" i="25"/>
  <c r="AL153" i="1" s="1"/>
  <c r="E19" i="25"/>
  <c r="AL233" i="1" s="1"/>
  <c r="EG233" i="1" s="1"/>
  <c r="E16" i="25"/>
  <c r="AL189" i="1" s="1"/>
  <c r="E29" i="25"/>
  <c r="AL97" i="1" s="1"/>
  <c r="E22" i="25"/>
  <c r="AL184" i="1" s="1"/>
  <c r="EG184" i="1" s="1"/>
  <c r="G46" i="1"/>
  <c r="EB46" i="1" s="1"/>
  <c r="DZ46" i="1" s="1"/>
  <c r="EG46" i="1"/>
  <c r="ED46" i="1" s="1"/>
  <c r="G15" i="1"/>
  <c r="EB15" i="1" s="1"/>
  <c r="DZ15" i="1" s="1"/>
  <c r="EK15" i="1"/>
  <c r="EG15" i="1"/>
  <c r="G29" i="1"/>
  <c r="EB29" i="1" s="1"/>
  <c r="DZ29" i="1" s="1"/>
  <c r="EG29" i="1"/>
  <c r="ED29" i="1" s="1"/>
  <c r="EG24" i="1"/>
  <c r="G24" i="1"/>
  <c r="EB24" i="1" s="1"/>
  <c r="DZ24" i="1" s="1"/>
  <c r="EK24" i="1"/>
  <c r="G26" i="1"/>
  <c r="EB26" i="1" s="1"/>
  <c r="DZ26" i="1" s="1"/>
  <c r="EG26" i="1"/>
  <c r="ED26" i="1" s="1"/>
  <c r="EK28" i="1"/>
  <c r="EG28" i="1"/>
  <c r="G28" i="1"/>
  <c r="EB28" i="1" s="1"/>
  <c r="DZ28" i="1" s="1"/>
  <c r="G8" i="1"/>
  <c r="EB8" i="1" s="1"/>
  <c r="DZ8" i="1" s="1"/>
  <c r="EG8" i="1"/>
  <c r="ED8" i="1" s="1"/>
  <c r="G13" i="1"/>
  <c r="EB13" i="1" s="1"/>
  <c r="DZ13" i="1" s="1"/>
  <c r="EG13" i="1"/>
  <c r="ED13" i="1" s="1"/>
  <c r="EF13" i="1"/>
  <c r="E12" i="28"/>
  <c r="AR450" i="1" s="1"/>
  <c r="E15" i="28"/>
  <c r="AR455" i="1" s="1"/>
  <c r="E17" i="28"/>
  <c r="AR70" i="1" s="1"/>
  <c r="EG11" i="1"/>
  <c r="EK11" i="1"/>
  <c r="EF11" i="1"/>
  <c r="G11" i="1"/>
  <c r="EB11" i="1" s="1"/>
  <c r="DZ11" i="1" s="1"/>
  <c r="EG40" i="1"/>
  <c r="EF40" i="1"/>
  <c r="G40" i="1"/>
  <c r="EB40" i="1" s="1"/>
  <c r="DZ40" i="1" s="1"/>
  <c r="EJ40" i="1" s="1"/>
  <c r="EK40" i="1"/>
  <c r="G10" i="1"/>
  <c r="EB10" i="1" s="1"/>
  <c r="DZ10" i="1" s="1"/>
  <c r="EK10" i="1"/>
  <c r="EG10" i="1"/>
  <c r="EF10" i="1"/>
  <c r="G25" i="1"/>
  <c r="EB25" i="1" s="1"/>
  <c r="DZ25" i="1" s="1"/>
  <c r="EG25" i="1"/>
  <c r="ED25" i="1" s="1"/>
  <c r="EF25" i="1"/>
  <c r="E14" i="33"/>
  <c r="AU411" i="1" s="1"/>
  <c r="E13" i="33"/>
  <c r="AU240" i="1" s="1"/>
  <c r="E11" i="33"/>
  <c r="AU425" i="1" s="1"/>
  <c r="E10" i="33"/>
  <c r="AU455" i="1" s="1"/>
  <c r="E17" i="33"/>
  <c r="AU230" i="1" s="1"/>
  <c r="E19" i="33"/>
  <c r="AU197" i="1" s="1"/>
  <c r="F5" i="33"/>
  <c r="E18" i="33"/>
  <c r="AU248" i="1" s="1"/>
  <c r="E16" i="33"/>
  <c r="AU421" i="1" s="1"/>
  <c r="E15" i="33"/>
  <c r="AU126" i="1" s="1"/>
  <c r="E9" i="33"/>
  <c r="AU444" i="1" s="1"/>
  <c r="E12" i="33"/>
  <c r="AU54" i="1" s="1"/>
  <c r="E8" i="33"/>
  <c r="AU93" i="1" s="1"/>
  <c r="E18" i="32"/>
  <c r="AT126" i="1" s="1"/>
  <c r="E24" i="32"/>
  <c r="AT75" i="1" s="1"/>
  <c r="E23" i="32"/>
  <c r="AT197" i="1" s="1"/>
  <c r="E19" i="32"/>
  <c r="AT421" i="1" s="1"/>
  <c r="E21" i="32"/>
  <c r="AT248" i="1" s="1"/>
  <c r="E20" i="32"/>
  <c r="AT230" i="1" s="1"/>
  <c r="G14" i="1"/>
  <c r="EB14" i="1" s="1"/>
  <c r="DZ14" i="1" s="1"/>
  <c r="EJ14" i="1" s="1"/>
  <c r="EG14" i="1"/>
  <c r="ED14" i="1" s="1"/>
  <c r="EF14" i="1"/>
  <c r="F5" i="28"/>
  <c r="E24" i="28"/>
  <c r="AR99" i="1" s="1"/>
  <c r="E14" i="28"/>
  <c r="AR376" i="1" s="1"/>
  <c r="E16" i="28"/>
  <c r="AR349" i="1" s="1"/>
  <c r="E11" i="28"/>
  <c r="AR122" i="1" s="1"/>
  <c r="E18" i="28"/>
  <c r="AR178" i="1" s="1"/>
  <c r="E21" i="28"/>
  <c r="AR421" i="1" s="1"/>
  <c r="E19" i="28"/>
  <c r="AR276" i="1" s="1"/>
  <c r="E8" i="28"/>
  <c r="AR429" i="1" s="1"/>
  <c r="E10" i="28"/>
  <c r="AR295" i="1" s="1"/>
  <c r="E20" i="28"/>
  <c r="AR388" i="1" s="1"/>
  <c r="EG388" i="1" s="1"/>
  <c r="E13" i="28"/>
  <c r="AR51" i="1" s="1"/>
  <c r="E22" i="28"/>
  <c r="AR396" i="1" s="1"/>
  <c r="E9" i="28"/>
  <c r="AR214" i="1" s="1"/>
  <c r="E23" i="28"/>
  <c r="AR218" i="1" s="1"/>
  <c r="EK218" i="1" s="1"/>
  <c r="EL218" i="1" s="1"/>
  <c r="ED218" i="1" s="1"/>
  <c r="E9" i="43"/>
  <c r="AQ204" i="1" s="1"/>
  <c r="F5" i="26"/>
  <c r="E20" i="26"/>
  <c r="AO345" i="1" s="1"/>
  <c r="E29" i="26"/>
  <c r="AO316" i="1" s="1"/>
  <c r="E19" i="26"/>
  <c r="AO423" i="1" s="1"/>
  <c r="E21" i="30"/>
  <c r="AM343" i="1" s="1"/>
  <c r="EF39" i="1"/>
  <c r="G39" i="1"/>
  <c r="EB39" i="1" s="1"/>
  <c r="DZ39" i="1" s="1"/>
  <c r="EJ39" i="1" s="1"/>
  <c r="EG39" i="1"/>
  <c r="ED39" i="1" s="1"/>
  <c r="EE39" i="1"/>
  <c r="EF45" i="1"/>
  <c r="EE45" i="1"/>
  <c r="G45" i="1"/>
  <c r="EB45" i="1" s="1"/>
  <c r="DZ45" i="1" s="1"/>
  <c r="EG45" i="1"/>
  <c r="EF12" i="1"/>
  <c r="G12" i="1"/>
  <c r="EB12" i="1" s="1"/>
  <c r="DZ12" i="1" s="1"/>
  <c r="EE12" i="1"/>
  <c r="EG12" i="1"/>
  <c r="ED12" i="1" s="1"/>
  <c r="E11" i="42"/>
  <c r="AK108" i="1" s="1"/>
  <c r="EG108" i="1" s="1"/>
  <c r="E19" i="30"/>
  <c r="AM297" i="1" s="1"/>
  <c r="E8" i="42"/>
  <c r="AK295" i="1" s="1"/>
  <c r="EF295" i="1" s="1"/>
  <c r="E15" i="42"/>
  <c r="E10" i="42"/>
  <c r="AK51" i="1" s="1"/>
  <c r="E9" i="42"/>
  <c r="AK122" i="1" s="1"/>
  <c r="EK122" i="1" s="1"/>
  <c r="EL122" i="1" s="1"/>
  <c r="ED122" i="1" s="1"/>
  <c r="F5" i="30"/>
  <c r="E20" i="30"/>
  <c r="AM334" i="1" s="1"/>
  <c r="E11" i="30"/>
  <c r="AM382" i="1" s="1"/>
  <c r="E9" i="30"/>
  <c r="AM7" i="1" s="1"/>
  <c r="EF7" i="1" s="1"/>
  <c r="E8" i="30"/>
  <c r="AM428" i="1" s="1"/>
  <c r="E12" i="30"/>
  <c r="AM202" i="1" s="1"/>
  <c r="E18" i="30"/>
  <c r="AM456" i="1" s="1"/>
  <c r="E14" i="30"/>
  <c r="AM447" i="1" s="1"/>
  <c r="E17" i="30"/>
  <c r="AM95" i="1" s="1"/>
  <c r="E15" i="30"/>
  <c r="AM395" i="1" s="1"/>
  <c r="E10" i="30"/>
  <c r="AM113" i="1" s="1"/>
  <c r="E16" i="30"/>
  <c r="AM138" i="1" s="1"/>
  <c r="E13" i="30"/>
  <c r="AM389" i="1" s="1"/>
  <c r="E11" i="25"/>
  <c r="AL317" i="1" s="1"/>
  <c r="EF317" i="1" s="1"/>
  <c r="E14" i="25"/>
  <c r="AL205" i="1" s="1"/>
  <c r="E12" i="25"/>
  <c r="AL239" i="1" s="1"/>
  <c r="F5" i="25"/>
  <c r="E10" i="25"/>
  <c r="AL434" i="1" s="1"/>
  <c r="E15" i="25"/>
  <c r="AL48" i="1" s="1"/>
  <c r="E9" i="25"/>
  <c r="AL92" i="1" s="1"/>
  <c r="E8" i="25"/>
  <c r="AL370" i="1" s="1"/>
  <c r="E13" i="25"/>
  <c r="AL340" i="1" s="1"/>
  <c r="E12" i="42"/>
  <c r="AK178" i="1" s="1"/>
  <c r="EK178" i="1" s="1"/>
  <c r="EL178" i="1" s="1"/>
  <c r="ED178" i="1" s="1"/>
  <c r="F5" i="42"/>
  <c r="E13" i="42"/>
  <c r="AK276" i="1" s="1"/>
  <c r="EG276" i="1" s="1"/>
  <c r="E22" i="17"/>
  <c r="AC9" i="1" s="1"/>
  <c r="E20" i="18"/>
  <c r="AD63" i="1" s="1"/>
  <c r="E19" i="18"/>
  <c r="AD318" i="1" s="1"/>
  <c r="E10" i="18"/>
  <c r="AD48" i="1" s="1"/>
  <c r="E14" i="18"/>
  <c r="AD354" i="1" s="1"/>
  <c r="E13" i="18"/>
  <c r="AD41" i="1" s="1"/>
  <c r="E11" i="18"/>
  <c r="AD364" i="1" s="1"/>
  <c r="E15" i="18"/>
  <c r="AD264" i="1" s="1"/>
  <c r="E18" i="18"/>
  <c r="AD165" i="1" s="1"/>
  <c r="F5" i="18"/>
  <c r="E12" i="18"/>
  <c r="AD220" i="1" s="1"/>
  <c r="E16" i="18"/>
  <c r="AD137" i="1" s="1"/>
  <c r="E8" i="18"/>
  <c r="AD239" i="1" s="1"/>
  <c r="E9" i="18"/>
  <c r="AD340" i="1" s="1"/>
  <c r="E17" i="18"/>
  <c r="AD243" i="1" s="1"/>
  <c r="E10" i="17"/>
  <c r="AC141" i="1" s="1"/>
  <c r="E19" i="17"/>
  <c r="AC431" i="1" s="1"/>
  <c r="E12" i="17"/>
  <c r="AC238" i="1" s="1"/>
  <c r="E21" i="17"/>
  <c r="AC345" i="1" s="1"/>
  <c r="E18" i="17"/>
  <c r="AC418" i="1" s="1"/>
  <c r="E15" i="17"/>
  <c r="AC413" i="1" s="1"/>
  <c r="E8" i="17"/>
  <c r="AC89" i="1" s="1"/>
  <c r="E16" i="17"/>
  <c r="AC55" i="1" s="1"/>
  <c r="E13" i="17"/>
  <c r="AC322" i="1" s="1"/>
  <c r="E25" i="17"/>
  <c r="AC247" i="1" s="1"/>
  <c r="E20" i="17"/>
  <c r="AC423" i="1" s="1"/>
  <c r="F5" i="17"/>
  <c r="E11" i="17"/>
  <c r="AC193" i="1" s="1"/>
  <c r="E14" i="17"/>
  <c r="AC253" i="1" s="1"/>
  <c r="E24" i="17"/>
  <c r="AC175" i="1" s="1"/>
  <c r="E9" i="17"/>
  <c r="AC289" i="1" s="1"/>
  <c r="E17" i="17"/>
  <c r="AC203" i="1" s="1"/>
  <c r="E23" i="17"/>
  <c r="AC112" i="1" s="1"/>
  <c r="E21" i="12"/>
  <c r="T358" i="1" s="1"/>
  <c r="EK358" i="1" s="1"/>
  <c r="EL358" i="1" s="1"/>
  <c r="ED358" i="1" s="1"/>
  <c r="E19" i="12"/>
  <c r="T333" i="1" s="1"/>
  <c r="G333" i="1" s="1"/>
  <c r="EB333" i="1" s="1"/>
  <c r="DZ333" i="1" s="1"/>
  <c r="E17" i="12"/>
  <c r="T88" i="1" s="1"/>
  <c r="E24" i="12"/>
  <c r="T356" i="1" s="1"/>
  <c r="E22" i="12"/>
  <c r="T255" i="1" s="1"/>
  <c r="G255" i="1" s="1"/>
  <c r="EB255" i="1" s="1"/>
  <c r="DZ255" i="1" s="1"/>
  <c r="E15" i="12"/>
  <c r="T169" i="1" s="1"/>
  <c r="G169" i="1" s="1"/>
  <c r="EB169" i="1" s="1"/>
  <c r="DZ169" i="1" s="1"/>
  <c r="E20" i="12"/>
  <c r="T323" i="1" s="1"/>
  <c r="EG323" i="1" s="1"/>
  <c r="E18" i="12"/>
  <c r="T308" i="1" s="1"/>
  <c r="EE308" i="1" s="1"/>
  <c r="E16" i="12"/>
  <c r="T83" i="1" s="1"/>
  <c r="E23" i="12"/>
  <c r="T225" i="1" s="1"/>
  <c r="EI225" i="1" s="1"/>
  <c r="E14" i="12"/>
  <c r="T100" i="1" s="1"/>
  <c r="E9" i="75"/>
  <c r="R16" i="1" s="1"/>
  <c r="EI16" i="1" s="1"/>
  <c r="E8" i="75"/>
  <c r="R123" i="1" s="1"/>
  <c r="F5" i="75"/>
  <c r="E8" i="7"/>
  <c r="O80" i="1" s="1"/>
  <c r="E16" i="113"/>
  <c r="E15" i="113"/>
  <c r="E12" i="113"/>
  <c r="E18" i="113"/>
  <c r="E13" i="113"/>
  <c r="F5" i="113"/>
  <c r="E21" i="113"/>
  <c r="E8" i="113"/>
  <c r="E17" i="113"/>
  <c r="E32" i="113"/>
  <c r="E33" i="113"/>
  <c r="E19" i="113"/>
  <c r="EB1104" i="1"/>
  <c r="DZ1104" i="1" s="1"/>
  <c r="EJ1104" i="1" s="1"/>
  <c r="E34" i="113"/>
  <c r="E25" i="113"/>
  <c r="E31" i="113"/>
  <c r="E24" i="113"/>
  <c r="E14" i="113"/>
  <c r="E10" i="113"/>
  <c r="E9" i="113"/>
  <c r="E22" i="113"/>
  <c r="E26" i="113"/>
  <c r="E27" i="113"/>
  <c r="E35" i="113"/>
  <c r="E20" i="113"/>
  <c r="E29" i="113"/>
  <c r="E28" i="113"/>
  <c r="E30" i="113"/>
  <c r="E23" i="113"/>
  <c r="E8" i="109"/>
  <c r="F5" i="109"/>
  <c r="E10" i="109"/>
  <c r="E9" i="109"/>
  <c r="E12" i="101"/>
  <c r="E8" i="101"/>
  <c r="E11" i="101"/>
  <c r="E9" i="101"/>
  <c r="E10" i="101"/>
  <c r="G5" i="1"/>
  <c r="EB5" i="1" s="1"/>
  <c r="DZ5" i="1" s="1"/>
  <c r="EG5" i="1"/>
  <c r="EK5" i="1" s="1"/>
  <c r="EL5" i="1" s="1"/>
  <c r="F5" i="32"/>
  <c r="E8" i="32"/>
  <c r="AT93" i="1" s="1"/>
  <c r="EJ93" i="1" s="1"/>
  <c r="E15" i="32"/>
  <c r="AT54" i="1" s="1"/>
  <c r="E12" i="32"/>
  <c r="AT85" i="1" s="1"/>
  <c r="E9" i="32"/>
  <c r="AT444" i="1" s="1"/>
  <c r="E14" i="32"/>
  <c r="AT43" i="1" s="1"/>
  <c r="E17" i="32"/>
  <c r="AT411" i="1" s="1"/>
  <c r="E11" i="32"/>
  <c r="AT36" i="1" s="1"/>
  <c r="E13" i="32"/>
  <c r="E22" i="32"/>
  <c r="AT147" i="1" s="1"/>
  <c r="E10" i="32"/>
  <c r="AT429" i="1" s="1"/>
  <c r="E16" i="32"/>
  <c r="AT240" i="1" s="1"/>
  <c r="E10" i="43"/>
  <c r="AQ142" i="1" s="1"/>
  <c r="E11" i="43"/>
  <c r="AQ60" i="1" s="1"/>
  <c r="EJ60" i="1" s="1"/>
  <c r="F5" i="43"/>
  <c r="E12" i="43"/>
  <c r="AQ134" i="1" s="1"/>
  <c r="E8" i="43"/>
  <c r="AQ369" i="1" s="1"/>
  <c r="EG369" i="1" s="1"/>
  <c r="E18" i="92"/>
  <c r="W82" i="1" s="1"/>
  <c r="E8" i="92"/>
  <c r="W142" i="1" s="1"/>
  <c r="E10" i="92"/>
  <c r="W83" i="1" s="1"/>
  <c r="E12" i="92"/>
  <c r="W358" i="1" s="1"/>
  <c r="E17" i="92"/>
  <c r="W356" i="1" s="1"/>
  <c r="F5" i="92"/>
  <c r="E16" i="92"/>
  <c r="W399" i="1" s="1"/>
  <c r="E14" i="92"/>
  <c r="W32" i="1" s="1"/>
  <c r="E9" i="92"/>
  <c r="W50" i="1" s="1"/>
  <c r="E13" i="92"/>
  <c r="W158" i="1" s="1"/>
  <c r="E15" i="92"/>
  <c r="W31" i="1" s="1"/>
  <c r="E11" i="92"/>
  <c r="W109" i="1" s="1"/>
  <c r="E12" i="12"/>
  <c r="T134" i="1" s="1"/>
  <c r="EJ134" i="1" s="1"/>
  <c r="E8" i="12"/>
  <c r="T107" i="1" s="1"/>
  <c r="EJ107" i="1" s="1"/>
  <c r="E11" i="12"/>
  <c r="F5" i="12"/>
  <c r="E10" i="12"/>
  <c r="T204" i="1" s="1"/>
  <c r="EG204" i="1" s="1"/>
  <c r="E13" i="12"/>
  <c r="T166" i="1" s="1"/>
  <c r="E9" i="12"/>
  <c r="T142" i="1" s="1"/>
  <c r="EF142" i="1" s="1"/>
  <c r="E10" i="7"/>
  <c r="O434" i="1" s="1"/>
  <c r="E15" i="7"/>
  <c r="E9" i="7"/>
  <c r="O370" i="1" s="1"/>
  <c r="E16" i="7"/>
  <c r="O264" i="1" s="1"/>
  <c r="E13" i="7"/>
  <c r="O353" i="1" s="1"/>
  <c r="E11" i="7"/>
  <c r="O364" i="1" s="1"/>
  <c r="E14" i="7"/>
  <c r="O165" i="1" s="1"/>
  <c r="F5" i="7"/>
  <c r="E12" i="7"/>
  <c r="O202" i="1" s="1"/>
  <c r="E8" i="6"/>
  <c r="N123" i="1" s="1"/>
  <c r="EI123" i="1" s="1"/>
  <c r="EE289" i="1" l="1"/>
  <c r="EJ345" i="1"/>
  <c r="EF345" i="1"/>
  <c r="EE345" i="1"/>
  <c r="G345" i="1"/>
  <c r="EB345" i="1" s="1"/>
  <c r="DZ345" i="1" s="1"/>
  <c r="EI345" i="1" s="1"/>
  <c r="EG345" i="1"/>
  <c r="EK345" i="1"/>
  <c r="EL345" i="1" s="1"/>
  <c r="ED345" i="1" s="1"/>
  <c r="EE243" i="1"/>
  <c r="EG243" i="1"/>
  <c r="EK243" i="1"/>
  <c r="EL243" i="1" s="1"/>
  <c r="ED243" i="1" s="1"/>
  <c r="EF243" i="1"/>
  <c r="G243" i="1"/>
  <c r="EB243" i="1" s="1"/>
  <c r="DZ243" i="1" s="1"/>
  <c r="EI243" i="1" s="1"/>
  <c r="G220" i="1"/>
  <c r="EB220" i="1" s="1"/>
  <c r="DZ220" i="1" s="1"/>
  <c r="EI220" i="1" s="1"/>
  <c r="EF220" i="1"/>
  <c r="EK220" i="1"/>
  <c r="EL220" i="1" s="1"/>
  <c r="ED220" i="1" s="1"/>
  <c r="EG220" i="1"/>
  <c r="EE220" i="1"/>
  <c r="EK318" i="1"/>
  <c r="EL318" i="1" s="1"/>
  <c r="ED318" i="1" s="1"/>
  <c r="EG318" i="1"/>
  <c r="EI318" i="1"/>
  <c r="EF318" i="1"/>
  <c r="EE318" i="1"/>
  <c r="G318" i="1"/>
  <c r="EB318" i="1" s="1"/>
  <c r="DZ318" i="1" s="1"/>
  <c r="EJ318" i="1"/>
  <c r="EK138" i="1"/>
  <c r="EL138" i="1" s="1"/>
  <c r="ED138" i="1" s="1"/>
  <c r="EG138" i="1"/>
  <c r="EF138" i="1"/>
  <c r="G138" i="1"/>
  <c r="EB138" i="1" s="1"/>
  <c r="DZ138" i="1" s="1"/>
  <c r="EI138" i="1" s="1"/>
  <c r="EF447" i="1"/>
  <c r="G447" i="1"/>
  <c r="EB447" i="1" s="1"/>
  <c r="DZ447" i="1" s="1"/>
  <c r="EI447" i="1" s="1"/>
  <c r="EK447" i="1"/>
  <c r="EL447" i="1" s="1"/>
  <c r="ED447" i="1" s="1"/>
  <c r="EG447" i="1"/>
  <c r="G297" i="1"/>
  <c r="EB297" i="1" s="1"/>
  <c r="DZ297" i="1" s="1"/>
  <c r="EI297" i="1" s="1"/>
  <c r="EK297" i="1"/>
  <c r="EL297" i="1" s="1"/>
  <c r="ED297" i="1" s="1"/>
  <c r="EG297" i="1"/>
  <c r="EF297" i="1"/>
  <c r="EK316" i="1"/>
  <c r="EL316" i="1" s="1"/>
  <c r="ED316" i="1" s="1"/>
  <c r="EG316" i="1"/>
  <c r="EF316" i="1"/>
  <c r="G316" i="1"/>
  <c r="EB316" i="1" s="1"/>
  <c r="DZ316" i="1" s="1"/>
  <c r="EI316" i="1" s="1"/>
  <c r="EK421" i="1"/>
  <c r="EL421" i="1" s="1"/>
  <c r="ED421" i="1" s="1"/>
  <c r="EG421" i="1"/>
  <c r="EF421" i="1"/>
  <c r="G421" i="1"/>
  <c r="EB421" i="1" s="1"/>
  <c r="DZ421" i="1" s="1"/>
  <c r="EI421" i="1" s="1"/>
  <c r="EK376" i="1"/>
  <c r="EL376" i="1" s="1"/>
  <c r="ED376" i="1" s="1"/>
  <c r="EG376" i="1"/>
  <c r="EJ376" i="1"/>
  <c r="EF376" i="1"/>
  <c r="G376" i="1"/>
  <c r="EB376" i="1" s="1"/>
  <c r="DZ376" i="1" s="1"/>
  <c r="EI376" i="1" s="1"/>
  <c r="EJ373" i="1"/>
  <c r="EI373" i="1"/>
  <c r="EI210" i="1"/>
  <c r="EJ210" i="1"/>
  <c r="G218" i="1"/>
  <c r="EB218" i="1" s="1"/>
  <c r="DZ218" i="1" s="1"/>
  <c r="EI218" i="1" s="1"/>
  <c r="EF178" i="1"/>
  <c r="G388" i="1"/>
  <c r="EB388" i="1" s="1"/>
  <c r="DZ388" i="1" s="1"/>
  <c r="EI388" i="1" s="1"/>
  <c r="EK388" i="1"/>
  <c r="EL388" i="1" s="1"/>
  <c r="ED388" i="1" s="1"/>
  <c r="G189" i="1"/>
  <c r="EB189" i="1" s="1"/>
  <c r="DZ189" i="1" s="1"/>
  <c r="EI189" i="1" s="1"/>
  <c r="EJ444" i="1"/>
  <c r="EK204" i="1"/>
  <c r="EL204" i="1" s="1"/>
  <c r="ED204" i="1" s="1"/>
  <c r="EG225" i="1"/>
  <c r="EJ144" i="1"/>
  <c r="EI144" i="1"/>
  <c r="EJ368" i="1"/>
  <c r="EI368" i="1"/>
  <c r="EJ213" i="1"/>
  <c r="EI213" i="1"/>
  <c r="G295" i="1"/>
  <c r="EB295" i="1" s="1"/>
  <c r="DZ295" i="1" s="1"/>
  <c r="EI295" i="1" s="1"/>
  <c r="EK295" i="1"/>
  <c r="EL295" i="1" s="1"/>
  <c r="ED295" i="1" s="1"/>
  <c r="EF422" i="1"/>
  <c r="EF184" i="1"/>
  <c r="EK184" i="1"/>
  <c r="EL184" i="1" s="1"/>
  <c r="ED184" i="1" s="1"/>
  <c r="G267" i="1"/>
  <c r="EB267" i="1" s="1"/>
  <c r="DZ267" i="1" s="1"/>
  <c r="EI267" i="1" s="1"/>
  <c r="EI164" i="1"/>
  <c r="EJ308" i="1"/>
  <c r="EI255" i="1"/>
  <c r="EJ358" i="1"/>
  <c r="G358" i="1"/>
  <c r="EB358" i="1" s="1"/>
  <c r="DZ358" i="1" s="1"/>
  <c r="EG147" i="1"/>
  <c r="EF369" i="1"/>
  <c r="EK369" i="1"/>
  <c r="EL369" i="1" s="1"/>
  <c r="ED369" i="1" s="1"/>
  <c r="EI360" i="1"/>
  <c r="EJ360" i="1"/>
  <c r="EJ198" i="1"/>
  <c r="G276" i="1"/>
  <c r="EB276" i="1" s="1"/>
  <c r="DZ276" i="1" s="1"/>
  <c r="EI276" i="1" s="1"/>
  <c r="G199" i="1"/>
  <c r="EB199" i="1" s="1"/>
  <c r="DZ199" i="1" s="1"/>
  <c r="EI199" i="1" s="1"/>
  <c r="G317" i="1"/>
  <c r="EB317" i="1" s="1"/>
  <c r="DZ317" i="1" s="1"/>
  <c r="EI317" i="1" s="1"/>
  <c r="EK233" i="1"/>
  <c r="EL233" i="1" s="1"/>
  <c r="ED233" i="1" s="1"/>
  <c r="EE169" i="1"/>
  <c r="EF169" i="1"/>
  <c r="EF333" i="1"/>
  <c r="EE333" i="1"/>
  <c r="EK142" i="1"/>
  <c r="EL142" i="1" s="1"/>
  <c r="ED142" i="1" s="1"/>
  <c r="EJ142" i="1"/>
  <c r="EE134" i="1"/>
  <c r="EI459" i="1"/>
  <c r="EJ459" i="1"/>
  <c r="EI185" i="1"/>
  <c r="EJ185" i="1"/>
  <c r="EJ143" i="1"/>
  <c r="EI143" i="1"/>
  <c r="EJ465" i="1"/>
  <c r="EJ326" i="1"/>
  <c r="EI187" i="1"/>
  <c r="EJ187" i="1"/>
  <c r="G122" i="1"/>
  <c r="EB122" i="1" s="1"/>
  <c r="DZ122" i="1" s="1"/>
  <c r="EI122" i="1" s="1"/>
  <c r="EF205" i="1"/>
  <c r="EK367" i="1"/>
  <c r="EL367" i="1" s="1"/>
  <c r="ED367" i="1" s="1"/>
  <c r="EJ292" i="1"/>
  <c r="EK323" i="1"/>
  <c r="EL323" i="1" s="1"/>
  <c r="ED323" i="1" s="1"/>
  <c r="EK166" i="1"/>
  <c r="EL166" i="1" s="1"/>
  <c r="ED166" i="1" s="1"/>
  <c r="EI171" i="1"/>
  <c r="EI300" i="1"/>
  <c r="EJ300" i="1"/>
  <c r="EE202" i="1"/>
  <c r="EG202" i="1"/>
  <c r="EK202" i="1"/>
  <c r="EL202" i="1" s="1"/>
  <c r="ED202" i="1" s="1"/>
  <c r="EF202" i="1"/>
  <c r="G202" i="1"/>
  <c r="EB202" i="1" s="1"/>
  <c r="DZ202" i="1" s="1"/>
  <c r="EJ202" i="1" s="1"/>
  <c r="EE175" i="1"/>
  <c r="EK423" i="1"/>
  <c r="EL423" i="1" s="1"/>
  <c r="ED423" i="1" s="1"/>
  <c r="EG423" i="1"/>
  <c r="EE423" i="1"/>
  <c r="G423" i="1"/>
  <c r="EB423" i="1" s="1"/>
  <c r="DZ423" i="1" s="1"/>
  <c r="EI423" i="1" s="1"/>
  <c r="EF423" i="1"/>
  <c r="EK238" i="1"/>
  <c r="EL238" i="1" s="1"/>
  <c r="ED238" i="1" s="1"/>
  <c r="EG238" i="1"/>
  <c r="G238" i="1"/>
  <c r="EB238" i="1" s="1"/>
  <c r="DZ238" i="1" s="1"/>
  <c r="EI238" i="1" s="1"/>
  <c r="EF238" i="1"/>
  <c r="EE238" i="1"/>
  <c r="EK340" i="1"/>
  <c r="EL340" i="1" s="1"/>
  <c r="ED340" i="1" s="1"/>
  <c r="EG340" i="1"/>
  <c r="G340" i="1"/>
  <c r="EB340" i="1" s="1"/>
  <c r="DZ340" i="1" s="1"/>
  <c r="EI340" i="1" s="1"/>
  <c r="EF340" i="1"/>
  <c r="EE340" i="1"/>
  <c r="EF113" i="1"/>
  <c r="G113" i="1"/>
  <c r="EB113" i="1" s="1"/>
  <c r="DZ113" i="1" s="1"/>
  <c r="EI113" i="1" s="1"/>
  <c r="EK113" i="1"/>
  <c r="EL113" i="1" s="1"/>
  <c r="ED113" i="1" s="1"/>
  <c r="EG113" i="1"/>
  <c r="G456" i="1"/>
  <c r="EB456" i="1" s="1"/>
  <c r="DZ456" i="1" s="1"/>
  <c r="EI456" i="1" s="1"/>
  <c r="EK456" i="1"/>
  <c r="EL456" i="1" s="1"/>
  <c r="ED456" i="1" s="1"/>
  <c r="EG456" i="1"/>
  <c r="EF456" i="1"/>
  <c r="EJ456" i="1"/>
  <c r="EK382" i="1"/>
  <c r="EL382" i="1" s="1"/>
  <c r="ED382" i="1" s="1"/>
  <c r="EG382" i="1"/>
  <c r="EF382" i="1"/>
  <c r="G382" i="1"/>
  <c r="EB382" i="1" s="1"/>
  <c r="DZ382" i="1" s="1"/>
  <c r="EI382" i="1" s="1"/>
  <c r="EK214" i="1"/>
  <c r="EL214" i="1" s="1"/>
  <c r="ED214" i="1" s="1"/>
  <c r="EG214" i="1"/>
  <c r="EF214" i="1"/>
  <c r="EJ214" i="1"/>
  <c r="G214" i="1"/>
  <c r="EB214" i="1" s="1"/>
  <c r="DZ214" i="1" s="1"/>
  <c r="EI214" i="1" s="1"/>
  <c r="EJ461" i="1"/>
  <c r="EI461" i="1"/>
  <c r="EI265" i="1"/>
  <c r="EJ265" i="1"/>
  <c r="EF218" i="1"/>
  <c r="G178" i="1"/>
  <c r="EB178" i="1" s="1"/>
  <c r="DZ178" i="1" s="1"/>
  <c r="EI178" i="1" s="1"/>
  <c r="EF388" i="1"/>
  <c r="G235" i="1"/>
  <c r="EB235" i="1" s="1"/>
  <c r="DZ235" i="1" s="1"/>
  <c r="EI235" i="1" s="1"/>
  <c r="EG235" i="1"/>
  <c r="EG189" i="1"/>
  <c r="EE204" i="1"/>
  <c r="EK225" i="1"/>
  <c r="EL225" i="1" s="1"/>
  <c r="ED225" i="1" s="1"/>
  <c r="EF225" i="1"/>
  <c r="EJ348" i="1"/>
  <c r="EI348" i="1"/>
  <c r="EJ111" i="1"/>
  <c r="EJ278" i="1"/>
  <c r="EJ284" i="1"/>
  <c r="EG295" i="1"/>
  <c r="EG347" i="1"/>
  <c r="EF267" i="1"/>
  <c r="EG267" i="1"/>
  <c r="EG308" i="1"/>
  <c r="EG255" i="1"/>
  <c r="EF255" i="1"/>
  <c r="EF358" i="1"/>
  <c r="EE358" i="1"/>
  <c r="EJ341" i="1"/>
  <c r="EI341" i="1"/>
  <c r="G147" i="1"/>
  <c r="EB147" i="1" s="1"/>
  <c r="DZ147" i="1" s="1"/>
  <c r="EI147" i="1" s="1"/>
  <c r="EK147" i="1"/>
  <c r="EL147" i="1" s="1"/>
  <c r="ED147" i="1" s="1"/>
  <c r="EJ369" i="1"/>
  <c r="EJ407" i="1"/>
  <c r="EI407" i="1"/>
  <c r="EJ157" i="1"/>
  <c r="EI157" i="1"/>
  <c r="EJ458" i="1"/>
  <c r="EI458" i="1"/>
  <c r="EJ426" i="1"/>
  <c r="EI426" i="1"/>
  <c r="EF276" i="1"/>
  <c r="EG199" i="1"/>
  <c r="EJ317" i="1"/>
  <c r="EG317" i="1"/>
  <c r="EF233" i="1"/>
  <c r="EJ169" i="1"/>
  <c r="EG169" i="1"/>
  <c r="EK333" i="1"/>
  <c r="EL333" i="1" s="1"/>
  <c r="ED333" i="1" s="1"/>
  <c r="EI333" i="1"/>
  <c r="EE142" i="1"/>
  <c r="EK134" i="1"/>
  <c r="EL134" i="1" s="1"/>
  <c r="ED134" i="1" s="1"/>
  <c r="EI135" i="1"/>
  <c r="EJ135" i="1"/>
  <c r="EJ414" i="1"/>
  <c r="EI414" i="1"/>
  <c r="EJ127" i="1"/>
  <c r="EJ260" i="1"/>
  <c r="EI260" i="1"/>
  <c r="EI262" i="1"/>
  <c r="EJ262" i="1"/>
  <c r="EJ174" i="1"/>
  <c r="EI174" i="1"/>
  <c r="EF122" i="1"/>
  <c r="EG205" i="1"/>
  <c r="EK205" i="1"/>
  <c r="EL205" i="1" s="1"/>
  <c r="ED205" i="1" s="1"/>
  <c r="EF367" i="1"/>
  <c r="EJ261" i="1"/>
  <c r="EF323" i="1"/>
  <c r="G166" i="1"/>
  <c r="EB166" i="1" s="1"/>
  <c r="DZ166" i="1" s="1"/>
  <c r="EI166" i="1" s="1"/>
  <c r="EI329" i="1"/>
  <c r="EJ329" i="1"/>
  <c r="EJ332" i="1"/>
  <c r="EI332" i="1"/>
  <c r="EI236" i="1"/>
  <c r="EJ236" i="1"/>
  <c r="G364" i="1"/>
  <c r="EB364" i="1" s="1"/>
  <c r="DZ364" i="1" s="1"/>
  <c r="EG364" i="1"/>
  <c r="EJ364" i="1"/>
  <c r="EE364" i="1"/>
  <c r="EF364" i="1"/>
  <c r="EK364" i="1"/>
  <c r="EL364" i="1" s="1"/>
  <c r="ED364" i="1" s="1"/>
  <c r="EI364" i="1"/>
  <c r="EE434" i="1"/>
  <c r="EK434" i="1"/>
  <c r="EL434" i="1" s="1"/>
  <c r="ED434" i="1" s="1"/>
  <c r="EG434" i="1"/>
  <c r="EF434" i="1"/>
  <c r="G434" i="1"/>
  <c r="EB434" i="1" s="1"/>
  <c r="DZ434" i="1" s="1"/>
  <c r="EI434" i="1" s="1"/>
  <c r="EI264" i="1"/>
  <c r="EE264" i="1"/>
  <c r="G264" i="1"/>
  <c r="EB264" i="1" s="1"/>
  <c r="DZ264" i="1" s="1"/>
  <c r="EG264" i="1"/>
  <c r="EK264" i="1"/>
  <c r="EL264" i="1" s="1"/>
  <c r="ED264" i="1" s="1"/>
  <c r="EF264" i="1"/>
  <c r="EJ264" i="1"/>
  <c r="G399" i="1"/>
  <c r="EB399" i="1" s="1"/>
  <c r="DZ399" i="1" s="1"/>
  <c r="EJ399" i="1" s="1"/>
  <c r="EK399" i="1"/>
  <c r="EL399" i="1" s="1"/>
  <c r="ED399" i="1" s="1"/>
  <c r="EG399" i="1"/>
  <c r="EF399" i="1"/>
  <c r="EI399" i="1"/>
  <c r="EE399" i="1"/>
  <c r="EK356" i="1"/>
  <c r="EL356" i="1" s="1"/>
  <c r="ED356" i="1" s="1"/>
  <c r="EG356" i="1"/>
  <c r="EE356" i="1"/>
  <c r="G356" i="1"/>
  <c r="EB356" i="1" s="1"/>
  <c r="DZ356" i="1" s="1"/>
  <c r="EI356" i="1" s="1"/>
  <c r="EF356" i="1"/>
  <c r="EG112" i="1"/>
  <c r="EF112" i="1"/>
  <c r="EE112" i="1"/>
  <c r="G112" i="1"/>
  <c r="EB112" i="1" s="1"/>
  <c r="DZ112" i="1" s="1"/>
  <c r="EJ112" i="1" s="1"/>
  <c r="EK112" i="1"/>
  <c r="EL112" i="1" s="1"/>
  <c r="ED112" i="1" s="1"/>
  <c r="EF253" i="1"/>
  <c r="EK253" i="1"/>
  <c r="EL253" i="1" s="1"/>
  <c r="ED253" i="1" s="1"/>
  <c r="EE253" i="1"/>
  <c r="G253" i="1"/>
  <c r="EB253" i="1" s="1"/>
  <c r="DZ253" i="1" s="1"/>
  <c r="EI253" i="1" s="1"/>
  <c r="EG253" i="1"/>
  <c r="EE247" i="1"/>
  <c r="EK413" i="1"/>
  <c r="EL413" i="1" s="1"/>
  <c r="ED413" i="1" s="1"/>
  <c r="EG413" i="1"/>
  <c r="EJ413" i="1"/>
  <c r="EF413" i="1"/>
  <c r="EE413" i="1"/>
  <c r="G413" i="1"/>
  <c r="EB413" i="1" s="1"/>
  <c r="DZ413" i="1" s="1"/>
  <c r="EI413" i="1" s="1"/>
  <c r="EE431" i="1"/>
  <c r="EF239" i="1"/>
  <c r="EG239" i="1"/>
  <c r="EK239" i="1"/>
  <c r="EL239" i="1" s="1"/>
  <c r="ED239" i="1" s="1"/>
  <c r="G239" i="1"/>
  <c r="EB239" i="1" s="1"/>
  <c r="DZ239" i="1" s="1"/>
  <c r="EI239" i="1" s="1"/>
  <c r="EE239" i="1"/>
  <c r="EG354" i="1"/>
  <c r="EJ354" i="1"/>
  <c r="G354" i="1"/>
  <c r="EB354" i="1" s="1"/>
  <c r="DZ354" i="1" s="1"/>
  <c r="EI354" i="1" s="1"/>
  <c r="EF354" i="1"/>
  <c r="EK354" i="1"/>
  <c r="EL354" i="1" s="1"/>
  <c r="ED354" i="1" s="1"/>
  <c r="EE354" i="1"/>
  <c r="EK395" i="1"/>
  <c r="EL395" i="1" s="1"/>
  <c r="ED395" i="1" s="1"/>
  <c r="EG395" i="1"/>
  <c r="G395" i="1"/>
  <c r="EB395" i="1" s="1"/>
  <c r="DZ395" i="1" s="1"/>
  <c r="EI395" i="1" s="1"/>
  <c r="EJ395" i="1"/>
  <c r="EF395" i="1"/>
  <c r="G334" i="1"/>
  <c r="EB334" i="1" s="1"/>
  <c r="DZ334" i="1" s="1"/>
  <c r="EI334" i="1" s="1"/>
  <c r="EJ334" i="1"/>
  <c r="EG334" i="1"/>
  <c r="EF334" i="1"/>
  <c r="EK334" i="1"/>
  <c r="EL334" i="1" s="1"/>
  <c r="ED334" i="1" s="1"/>
  <c r="EJ343" i="1"/>
  <c r="EF343" i="1"/>
  <c r="G343" i="1"/>
  <c r="EB343" i="1" s="1"/>
  <c r="DZ343" i="1" s="1"/>
  <c r="EI343" i="1" s="1"/>
  <c r="EK343" i="1"/>
  <c r="EL343" i="1" s="1"/>
  <c r="ED343" i="1" s="1"/>
  <c r="EG343" i="1"/>
  <c r="EK396" i="1"/>
  <c r="EL396" i="1" s="1"/>
  <c r="ED396" i="1" s="1"/>
  <c r="EG396" i="1"/>
  <c r="EF396" i="1"/>
  <c r="G396" i="1"/>
  <c r="EB396" i="1" s="1"/>
  <c r="DZ396" i="1" s="1"/>
  <c r="EI396" i="1" s="1"/>
  <c r="EK429" i="1"/>
  <c r="EL429" i="1" s="1"/>
  <c r="ED429" i="1" s="1"/>
  <c r="EG429" i="1"/>
  <c r="EJ429" i="1"/>
  <c r="EF429" i="1"/>
  <c r="G429" i="1"/>
  <c r="EB429" i="1" s="1"/>
  <c r="DZ429" i="1" s="1"/>
  <c r="EI429" i="1" s="1"/>
  <c r="EK450" i="1"/>
  <c r="EL450" i="1" s="1"/>
  <c r="ED450" i="1" s="1"/>
  <c r="EG450" i="1"/>
  <c r="EF450" i="1"/>
  <c r="G450" i="1"/>
  <c r="EB450" i="1" s="1"/>
  <c r="DZ450" i="1" s="1"/>
  <c r="EI450" i="1" s="1"/>
  <c r="G386" i="1"/>
  <c r="EB386" i="1" s="1"/>
  <c r="DZ386" i="1" s="1"/>
  <c r="EI386" i="1" s="1"/>
  <c r="EK386" i="1"/>
  <c r="EL386" i="1" s="1"/>
  <c r="ED386" i="1" s="1"/>
  <c r="EG386" i="1"/>
  <c r="EJ386" i="1"/>
  <c r="EF386" i="1"/>
  <c r="EJ441" i="1"/>
  <c r="EI441" i="1"/>
  <c r="EJ397" i="1"/>
  <c r="EI397" i="1"/>
  <c r="EJ124" i="1"/>
  <c r="EJ277" i="1"/>
  <c r="EJ365" i="1"/>
  <c r="EJ215" i="1"/>
  <c r="EJ355" i="1"/>
  <c r="EG218" i="1"/>
  <c r="EJ218" i="1"/>
  <c r="EG178" i="1"/>
  <c r="EJ388" i="1"/>
  <c r="EJ118" i="1"/>
  <c r="EJ393" i="1"/>
  <c r="EF235" i="1"/>
  <c r="EJ130" i="1"/>
  <c r="EF189" i="1"/>
  <c r="EK189" i="1"/>
  <c r="EL189" i="1" s="1"/>
  <c r="ED189" i="1" s="1"/>
  <c r="EF204" i="1"/>
  <c r="EJ204" i="1"/>
  <c r="EE225" i="1"/>
  <c r="EJ225" i="1"/>
  <c r="EJ404" i="1"/>
  <c r="EI404" i="1"/>
  <c r="EJ149" i="1"/>
  <c r="EI149" i="1"/>
  <c r="EI252" i="1"/>
  <c r="EJ252" i="1"/>
  <c r="EJ440" i="1"/>
  <c r="EI440" i="1"/>
  <c r="EI285" i="1"/>
  <c r="EJ285" i="1"/>
  <c r="EJ390" i="1"/>
  <c r="EJ168" i="1"/>
  <c r="EJ430" i="1"/>
  <c r="EJ372" i="1"/>
  <c r="EJ228" i="1"/>
  <c r="EJ295" i="1"/>
  <c r="G422" i="1"/>
  <c r="EB422" i="1" s="1"/>
  <c r="DZ422" i="1" s="1"/>
  <c r="EI422" i="1" s="1"/>
  <c r="G347" i="1"/>
  <c r="EB347" i="1" s="1"/>
  <c r="DZ347" i="1" s="1"/>
  <c r="EI347" i="1" s="1"/>
  <c r="EK347" i="1"/>
  <c r="EL347" i="1" s="1"/>
  <c r="ED347" i="1" s="1"/>
  <c r="G184" i="1"/>
  <c r="EB184" i="1" s="1"/>
  <c r="DZ184" i="1" s="1"/>
  <c r="EI184" i="1" s="1"/>
  <c r="EK267" i="1"/>
  <c r="EL267" i="1" s="1"/>
  <c r="ED267" i="1" s="1"/>
  <c r="EK308" i="1"/>
  <c r="EL308" i="1" s="1"/>
  <c r="ED308" i="1" s="1"/>
  <c r="G308" i="1"/>
  <c r="EB308" i="1" s="1"/>
  <c r="DZ308" i="1" s="1"/>
  <c r="EI308" i="1" s="1"/>
  <c r="EK255" i="1"/>
  <c r="EL255" i="1" s="1"/>
  <c r="ED255" i="1" s="1"/>
  <c r="EJ255" i="1"/>
  <c r="EG358" i="1"/>
  <c r="EI358" i="1"/>
  <c r="EJ154" i="1"/>
  <c r="EI154" i="1"/>
  <c r="EF147" i="1"/>
  <c r="G369" i="1"/>
  <c r="EB369" i="1" s="1"/>
  <c r="DZ369" i="1" s="1"/>
  <c r="EI369" i="1" s="1"/>
  <c r="EI131" i="1"/>
  <c r="EJ131" i="1"/>
  <c r="EJ207" i="1"/>
  <c r="EI207" i="1"/>
  <c r="EJ352" i="1"/>
  <c r="EK276" i="1"/>
  <c r="EL276" i="1" s="1"/>
  <c r="ED276" i="1" s="1"/>
  <c r="EJ276" i="1"/>
  <c r="EJ387" i="1"/>
  <c r="EJ199" i="1"/>
  <c r="EK199" i="1"/>
  <c r="EL199" i="1" s="1"/>
  <c r="ED199" i="1" s="1"/>
  <c r="EK317" i="1"/>
  <c r="EL317" i="1" s="1"/>
  <c r="ED317" i="1" s="1"/>
  <c r="G233" i="1"/>
  <c r="EB233" i="1" s="1"/>
  <c r="DZ233" i="1" s="1"/>
  <c r="EI233" i="1" s="1"/>
  <c r="EJ436" i="1"/>
  <c r="EI169" i="1"/>
  <c r="EK169" i="1"/>
  <c r="EL169" i="1" s="1"/>
  <c r="ED169" i="1" s="1"/>
  <c r="EG333" i="1"/>
  <c r="EG142" i="1"/>
  <c r="EI142" i="1"/>
  <c r="EG134" i="1"/>
  <c r="EF134" i="1"/>
  <c r="EJ337" i="1"/>
  <c r="EI337" i="1"/>
  <c r="EJ221" i="1"/>
  <c r="EI221" i="1"/>
  <c r="EJ392" i="1"/>
  <c r="EI392" i="1"/>
  <c r="EI128" i="1"/>
  <c r="EJ128" i="1"/>
  <c r="EJ460" i="1"/>
  <c r="EJ116" i="1"/>
  <c r="EG122" i="1"/>
  <c r="EJ122" i="1"/>
  <c r="G205" i="1"/>
  <c r="EB205" i="1" s="1"/>
  <c r="DZ205" i="1" s="1"/>
  <c r="EI205" i="1" s="1"/>
  <c r="G323" i="1"/>
  <c r="EB323" i="1" s="1"/>
  <c r="DZ323" i="1" s="1"/>
  <c r="EI323" i="1" s="1"/>
  <c r="EJ323" i="1"/>
  <c r="EF166" i="1"/>
  <c r="EE166" i="1"/>
  <c r="EJ282" i="1"/>
  <c r="EK282" i="1" s="1"/>
  <c r="EL282" i="1" s="1"/>
  <c r="ED282" i="1" s="1"/>
  <c r="EI282" i="1"/>
  <c r="EJ145" i="1"/>
  <c r="EI145" i="1"/>
  <c r="G353" i="1"/>
  <c r="EB353" i="1" s="1"/>
  <c r="DZ353" i="1" s="1"/>
  <c r="EK353" i="1"/>
  <c r="EL353" i="1" s="1"/>
  <c r="ED353" i="1" s="1"/>
  <c r="EG353" i="1"/>
  <c r="EJ353" i="1"/>
  <c r="EE353" i="1"/>
  <c r="EI353" i="1"/>
  <c r="EF353" i="1"/>
  <c r="EE165" i="1"/>
  <c r="EF165" i="1"/>
  <c r="EK165" i="1"/>
  <c r="EL165" i="1" s="1"/>
  <c r="ED165" i="1" s="1"/>
  <c r="G165" i="1"/>
  <c r="EB165" i="1" s="1"/>
  <c r="DZ165" i="1" s="1"/>
  <c r="EI165" i="1" s="1"/>
  <c r="EG165" i="1"/>
  <c r="EK370" i="1"/>
  <c r="EL370" i="1" s="1"/>
  <c r="ED370" i="1" s="1"/>
  <c r="EG370" i="1"/>
  <c r="EF370" i="1"/>
  <c r="G370" i="1"/>
  <c r="EB370" i="1" s="1"/>
  <c r="DZ370" i="1" s="1"/>
  <c r="EJ370" i="1" s="1"/>
  <c r="EE370" i="1"/>
  <c r="EI158" i="1"/>
  <c r="EE158" i="1"/>
  <c r="G158" i="1"/>
  <c r="EB158" i="1" s="1"/>
  <c r="DZ158" i="1" s="1"/>
  <c r="EK158" i="1"/>
  <c r="EL158" i="1" s="1"/>
  <c r="ED158" i="1" s="1"/>
  <c r="EF158" i="1"/>
  <c r="EG158" i="1"/>
  <c r="EJ158" i="1"/>
  <c r="EK411" i="1"/>
  <c r="EL411" i="1" s="1"/>
  <c r="ED411" i="1" s="1"/>
  <c r="EG411" i="1"/>
  <c r="EJ411" i="1"/>
  <c r="EF411" i="1"/>
  <c r="G411" i="1"/>
  <c r="EB411" i="1" s="1"/>
  <c r="DZ411" i="1" s="1"/>
  <c r="EI411" i="1" s="1"/>
  <c r="EF203" i="1"/>
  <c r="EE203" i="1"/>
  <c r="EG203" i="1"/>
  <c r="G203" i="1"/>
  <c r="EB203" i="1" s="1"/>
  <c r="DZ203" i="1" s="1"/>
  <c r="EI203" i="1" s="1"/>
  <c r="EK203" i="1"/>
  <c r="EL203" i="1" s="1"/>
  <c r="ED203" i="1" s="1"/>
  <c r="EE193" i="1"/>
  <c r="EK193" i="1"/>
  <c r="EL193" i="1" s="1"/>
  <c r="ED193" i="1" s="1"/>
  <c r="EG193" i="1"/>
  <c r="EJ193" i="1"/>
  <c r="EF193" i="1"/>
  <c r="G193" i="1"/>
  <c r="EB193" i="1" s="1"/>
  <c r="DZ193" i="1" s="1"/>
  <c r="EI193" i="1" s="1"/>
  <c r="EE322" i="1"/>
  <c r="EK418" i="1"/>
  <c r="EL418" i="1" s="1"/>
  <c r="ED418" i="1" s="1"/>
  <c r="EG418" i="1"/>
  <c r="EJ418" i="1"/>
  <c r="EF418" i="1"/>
  <c r="G418" i="1"/>
  <c r="EB418" i="1" s="1"/>
  <c r="DZ418" i="1" s="1"/>
  <c r="EI418" i="1" s="1"/>
  <c r="EE418" i="1"/>
  <c r="EE141" i="1"/>
  <c r="EK137" i="1"/>
  <c r="EL137" i="1" s="1"/>
  <c r="ED137" i="1" s="1"/>
  <c r="EF137" i="1"/>
  <c r="EG137" i="1"/>
  <c r="G137" i="1"/>
  <c r="EB137" i="1" s="1"/>
  <c r="DZ137" i="1" s="1"/>
  <c r="EI137" i="1" s="1"/>
  <c r="EE137" i="1"/>
  <c r="G389" i="1"/>
  <c r="EB389" i="1" s="1"/>
  <c r="DZ389" i="1" s="1"/>
  <c r="EI389" i="1" s="1"/>
  <c r="EK389" i="1"/>
  <c r="EL389" i="1" s="1"/>
  <c r="ED389" i="1" s="1"/>
  <c r="EG389" i="1"/>
  <c r="EF389" i="1"/>
  <c r="EJ389" i="1"/>
  <c r="EG428" i="1"/>
  <c r="EF428" i="1"/>
  <c r="EK428" i="1"/>
  <c r="EL428" i="1" s="1"/>
  <c r="ED428" i="1" s="1"/>
  <c r="G428" i="1"/>
  <c r="EB428" i="1" s="1"/>
  <c r="DZ428" i="1" s="1"/>
  <c r="EI428" i="1" s="1"/>
  <c r="G349" i="1"/>
  <c r="EB349" i="1" s="1"/>
  <c r="DZ349" i="1" s="1"/>
  <c r="EI349" i="1" s="1"/>
  <c r="EJ349" i="1"/>
  <c r="EK349" i="1"/>
  <c r="EL349" i="1" s="1"/>
  <c r="ED349" i="1" s="1"/>
  <c r="EG349" i="1"/>
  <c r="EF349" i="1"/>
  <c r="EF248" i="1"/>
  <c r="EG248" i="1"/>
  <c r="EK248" i="1"/>
  <c r="EL248" i="1" s="1"/>
  <c r="ED248" i="1" s="1"/>
  <c r="G248" i="1"/>
  <c r="EB248" i="1" s="1"/>
  <c r="DZ248" i="1" s="1"/>
  <c r="EI248" i="1" s="1"/>
  <c r="EK153" i="1"/>
  <c r="EL153" i="1" s="1"/>
  <c r="ED153" i="1" s="1"/>
  <c r="EG153" i="1"/>
  <c r="EF153" i="1"/>
  <c r="G153" i="1"/>
  <c r="EB153" i="1" s="1"/>
  <c r="DZ153" i="1" s="1"/>
  <c r="EI153" i="1" s="1"/>
  <c r="G125" i="1"/>
  <c r="EB125" i="1" s="1"/>
  <c r="DZ125" i="1" s="1"/>
  <c r="EI125" i="1" s="1"/>
  <c r="EK125" i="1"/>
  <c r="EL125" i="1" s="1"/>
  <c r="ED125" i="1" s="1"/>
  <c r="EF125" i="1"/>
  <c r="EJ125" i="1"/>
  <c r="EG125" i="1"/>
  <c r="EJ330" i="1"/>
  <c r="EJ188" i="1"/>
  <c r="EJ178" i="1"/>
  <c r="EI420" i="1"/>
  <c r="EI313" i="1"/>
  <c r="G204" i="1"/>
  <c r="EB204" i="1" s="1"/>
  <c r="DZ204" i="1" s="1"/>
  <c r="EI204" i="1" s="1"/>
  <c r="EJ331" i="1"/>
  <c r="EI331" i="1"/>
  <c r="EJ251" i="1"/>
  <c r="EJ280" i="1"/>
  <c r="EI280" i="1"/>
  <c r="EJ301" i="1"/>
  <c r="EI301" i="1"/>
  <c r="EJ303" i="1"/>
  <c r="EI303" i="1"/>
  <c r="EJ245" i="1"/>
  <c r="EJ269" i="1"/>
  <c r="EJ379" i="1"/>
  <c r="EJ380" i="1"/>
  <c r="EF308" i="1"/>
  <c r="EE255" i="1"/>
  <c r="EI290" i="1"/>
  <c r="EJ290" i="1"/>
  <c r="EJ409" i="1"/>
  <c r="EI409" i="1"/>
  <c r="EJ229" i="1"/>
  <c r="EI229" i="1"/>
  <c r="EJ371" i="1"/>
  <c r="EI371" i="1"/>
  <c r="EJ402" i="1"/>
  <c r="EJ283" i="1"/>
  <c r="EJ378" i="1"/>
  <c r="EJ249" i="1"/>
  <c r="EJ415" i="1"/>
  <c r="EJ305" i="1"/>
  <c r="EJ338" i="1"/>
  <c r="EJ333" i="1"/>
  <c r="G142" i="1"/>
  <c r="EB142" i="1" s="1"/>
  <c r="DZ142" i="1" s="1"/>
  <c r="G134" i="1"/>
  <c r="EB134" i="1" s="1"/>
  <c r="DZ134" i="1" s="1"/>
  <c r="EI134" i="1" s="1"/>
  <c r="EJ400" i="1"/>
  <c r="EI400" i="1"/>
  <c r="EJ362" i="1"/>
  <c r="EI362" i="1"/>
  <c r="EJ115" i="1"/>
  <c r="G367" i="1"/>
  <c r="EB367" i="1" s="1"/>
  <c r="DZ367" i="1" s="1"/>
  <c r="EI367" i="1" s="1"/>
  <c r="EE323" i="1"/>
  <c r="EG166" i="1"/>
  <c r="EJ363" i="1"/>
  <c r="EI363" i="1"/>
  <c r="EG270" i="1"/>
  <c r="G270" i="1"/>
  <c r="EB270" i="1" s="1"/>
  <c r="DZ270" i="1" s="1"/>
  <c r="EK270" i="1"/>
  <c r="EL270" i="1" s="1"/>
  <c r="ED270" i="1" s="1"/>
  <c r="EI433" i="1"/>
  <c r="EJ433" i="1"/>
  <c r="ED45" i="1"/>
  <c r="EG110" i="1"/>
  <c r="EJ84" i="1"/>
  <c r="EK110" i="1"/>
  <c r="EL110" i="1" s="1"/>
  <c r="ED110" i="1" s="1"/>
  <c r="EK83" i="1"/>
  <c r="EL83" i="1" s="1"/>
  <c r="ED83" i="1" s="1"/>
  <c r="EJ71" i="1"/>
  <c r="EJ68" i="1"/>
  <c r="EJ103" i="1"/>
  <c r="EI110" i="1"/>
  <c r="EJ106" i="1"/>
  <c r="EF82" i="1"/>
  <c r="G82" i="1"/>
  <c r="EB82" i="1" s="1"/>
  <c r="DZ82" i="1" s="1"/>
  <c r="EI82" i="1" s="1"/>
  <c r="EE82" i="1"/>
  <c r="EK82" i="1"/>
  <c r="EL82" i="1" s="1"/>
  <c r="ED82" i="1" s="1"/>
  <c r="EG82" i="1"/>
  <c r="EF51" i="1"/>
  <c r="G99" i="1"/>
  <c r="EB99" i="1" s="1"/>
  <c r="DZ99" i="1" s="1"/>
  <c r="EI99" i="1" s="1"/>
  <c r="EF99" i="1"/>
  <c r="EK99" i="1"/>
  <c r="EL99" i="1" s="1"/>
  <c r="ED99" i="1" s="1"/>
  <c r="EG99" i="1"/>
  <c r="EJ99" i="1"/>
  <c r="G108" i="1"/>
  <c r="EB108" i="1" s="1"/>
  <c r="DZ108" i="1" s="1"/>
  <c r="EI108" i="1" s="1"/>
  <c r="EJ102" i="1"/>
  <c r="EG109" i="1"/>
  <c r="G109" i="1"/>
  <c r="EB109" i="1" s="1"/>
  <c r="DZ109" i="1" s="1"/>
  <c r="EJ109" i="1" s="1"/>
  <c r="G100" i="1"/>
  <c r="EB100" i="1" s="1"/>
  <c r="DZ100" i="1" s="1"/>
  <c r="EI100" i="1" s="1"/>
  <c r="EE107" i="1"/>
  <c r="EG93" i="1"/>
  <c r="EK88" i="1"/>
  <c r="EL88" i="1" s="1"/>
  <c r="ED88" i="1" s="1"/>
  <c r="EG88" i="1"/>
  <c r="EE83" i="1"/>
  <c r="G83" i="1"/>
  <c r="EB83" i="1" s="1"/>
  <c r="DZ83" i="1" s="1"/>
  <c r="EK80" i="1"/>
  <c r="EL80" i="1" s="1"/>
  <c r="ED80" i="1" s="1"/>
  <c r="EG80" i="1"/>
  <c r="EJ80" i="1"/>
  <c r="EF80" i="1"/>
  <c r="EI80" i="1"/>
  <c r="EE80" i="1"/>
  <c r="G80" i="1"/>
  <c r="EB80" i="1" s="1"/>
  <c r="DZ80" i="1" s="1"/>
  <c r="EG75" i="1"/>
  <c r="EK75" i="1" s="1"/>
  <c r="EL75" i="1" s="1"/>
  <c r="ED75" i="1" s="1"/>
  <c r="EF75" i="1"/>
  <c r="G75" i="1"/>
  <c r="EB75" i="1" s="1"/>
  <c r="DZ75" i="1" s="1"/>
  <c r="EI75" i="1" s="1"/>
  <c r="EJ81" i="1"/>
  <c r="EI81" i="1"/>
  <c r="EF108" i="1"/>
  <c r="EJ67" i="1"/>
  <c r="EI67" i="1"/>
  <c r="EK109" i="1"/>
  <c r="EL109" i="1" s="1"/>
  <c r="ED109" i="1" s="1"/>
  <c r="EE109" i="1"/>
  <c r="EF100" i="1"/>
  <c r="EJ100" i="1"/>
  <c r="EG107" i="1"/>
  <c r="EK93" i="1"/>
  <c r="EL93" i="1" s="1"/>
  <c r="ED93" i="1" s="1"/>
  <c r="G88" i="1"/>
  <c r="EB88" i="1" s="1"/>
  <c r="DZ88" i="1" s="1"/>
  <c r="EI88" i="1" s="1"/>
  <c r="EF88" i="1"/>
  <c r="EI83" i="1"/>
  <c r="EF83" i="1"/>
  <c r="EK92" i="1"/>
  <c r="EL92" i="1" s="1"/>
  <c r="ED92" i="1" s="1"/>
  <c r="EG92" i="1"/>
  <c r="EF92" i="1"/>
  <c r="G92" i="1"/>
  <c r="EB92" i="1" s="1"/>
  <c r="DZ92" i="1" s="1"/>
  <c r="EI92" i="1" s="1"/>
  <c r="EK95" i="1"/>
  <c r="EL95" i="1" s="1"/>
  <c r="ED95" i="1" s="1"/>
  <c r="EG95" i="1"/>
  <c r="EF95" i="1"/>
  <c r="G95" i="1"/>
  <c r="EB95" i="1" s="1"/>
  <c r="DZ95" i="1" s="1"/>
  <c r="EI95" i="1" s="1"/>
  <c r="EJ87" i="1"/>
  <c r="EI87" i="1"/>
  <c r="EK108" i="1"/>
  <c r="EL108" i="1" s="1"/>
  <c r="ED108" i="1" s="1"/>
  <c r="EF109" i="1"/>
  <c r="EI109" i="1"/>
  <c r="EJ98" i="1"/>
  <c r="EI98" i="1"/>
  <c r="EI77" i="1"/>
  <c r="EJ77" i="1"/>
  <c r="EG100" i="1"/>
  <c r="EE100" i="1"/>
  <c r="EK107" i="1"/>
  <c r="EL107" i="1" s="1"/>
  <c r="ED107" i="1" s="1"/>
  <c r="EF107" i="1"/>
  <c r="EJ74" i="1"/>
  <c r="EI74" i="1"/>
  <c r="EF93" i="1"/>
  <c r="EE88" i="1"/>
  <c r="EG83" i="1"/>
  <c r="EJ83" i="1"/>
  <c r="EK89" i="1"/>
  <c r="EL89" i="1" s="1"/>
  <c r="ED89" i="1" s="1"/>
  <c r="EG89" i="1"/>
  <c r="G89" i="1"/>
  <c r="EB89" i="1" s="1"/>
  <c r="DZ89" i="1" s="1"/>
  <c r="EI89" i="1" s="1"/>
  <c r="EF89" i="1"/>
  <c r="EE89" i="1"/>
  <c r="EK70" i="1"/>
  <c r="EL70" i="1" s="1"/>
  <c r="ED70" i="1" s="1"/>
  <c r="EG70" i="1"/>
  <c r="G70" i="1"/>
  <c r="EB70" i="1" s="1"/>
  <c r="DZ70" i="1" s="1"/>
  <c r="EI70" i="1" s="1"/>
  <c r="EF70" i="1"/>
  <c r="EK97" i="1"/>
  <c r="EL97" i="1" s="1"/>
  <c r="ED97" i="1" s="1"/>
  <c r="EG97" i="1"/>
  <c r="EF97" i="1"/>
  <c r="G97" i="1"/>
  <c r="EB97" i="1" s="1"/>
  <c r="DZ97" i="1" s="1"/>
  <c r="EI97" i="1" s="1"/>
  <c r="EJ105" i="1"/>
  <c r="EJ78" i="1"/>
  <c r="EJ94" i="1"/>
  <c r="EI94" i="1"/>
  <c r="EK100" i="1"/>
  <c r="EL100" i="1" s="1"/>
  <c r="ED100" i="1" s="1"/>
  <c r="G107" i="1"/>
  <c r="EB107" i="1" s="1"/>
  <c r="DZ107" i="1" s="1"/>
  <c r="EI107" i="1" s="1"/>
  <c r="EJ86" i="1"/>
  <c r="EI86" i="1"/>
  <c r="EJ104" i="1"/>
  <c r="EI104" i="1"/>
  <c r="G93" i="1"/>
  <c r="EB93" i="1" s="1"/>
  <c r="DZ93" i="1" s="1"/>
  <c r="EI93" i="1" s="1"/>
  <c r="G60" i="1"/>
  <c r="EB60" i="1" s="1"/>
  <c r="DZ60" i="1" s="1"/>
  <c r="EI60" i="1" s="1"/>
  <c r="EJ62" i="1"/>
  <c r="EI62" i="1"/>
  <c r="G64" i="1"/>
  <c r="EB64" i="1" s="1"/>
  <c r="DZ64" i="1" s="1"/>
  <c r="EI64" i="1" s="1"/>
  <c r="EE50" i="1"/>
  <c r="G50" i="1"/>
  <c r="EB50" i="1" s="1"/>
  <c r="DZ50" i="1" s="1"/>
  <c r="EJ50" i="1" s="1"/>
  <c r="EF48" i="1"/>
  <c r="EE48" i="1"/>
  <c r="EK48" i="1"/>
  <c r="EL48" i="1" s="1"/>
  <c r="ED48" i="1" s="1"/>
  <c r="EG48" i="1"/>
  <c r="G48" i="1"/>
  <c r="EB48" i="1" s="1"/>
  <c r="DZ48" i="1" s="1"/>
  <c r="EI48" i="1" s="1"/>
  <c r="EG60" i="1"/>
  <c r="EG51" i="1"/>
  <c r="EJ57" i="1"/>
  <c r="EI57" i="1"/>
  <c r="EG50" i="1"/>
  <c r="EI58" i="1"/>
  <c r="EE55" i="1"/>
  <c r="EF60" i="1"/>
  <c r="EK60" i="1"/>
  <c r="EL60" i="1" s="1"/>
  <c r="ED60" i="1" s="1"/>
  <c r="G51" i="1"/>
  <c r="EB51" i="1" s="1"/>
  <c r="DZ51" i="1" s="1"/>
  <c r="EI51" i="1" s="1"/>
  <c r="EK51" i="1"/>
  <c r="EL51" i="1" s="1"/>
  <c r="ED51" i="1" s="1"/>
  <c r="EK64" i="1"/>
  <c r="EL64" i="1" s="1"/>
  <c r="ED64" i="1" s="1"/>
  <c r="EF50" i="1"/>
  <c r="EK50" i="1"/>
  <c r="EL50" i="1" s="1"/>
  <c r="ED50" i="1" s="1"/>
  <c r="EJ49" i="1"/>
  <c r="EK63" i="1"/>
  <c r="EL63" i="1" s="1"/>
  <c r="ED63" i="1" s="1"/>
  <c r="EG63" i="1"/>
  <c r="G63" i="1"/>
  <c r="EB63" i="1" s="1"/>
  <c r="DZ63" i="1" s="1"/>
  <c r="EJ63" i="1" s="1"/>
  <c r="EF63" i="1"/>
  <c r="EE63" i="1"/>
  <c r="EF59" i="1"/>
  <c r="G59" i="1"/>
  <c r="EB59" i="1" s="1"/>
  <c r="DZ59" i="1" s="1"/>
  <c r="EI59" i="1" s="1"/>
  <c r="EK59" i="1"/>
  <c r="EL59" i="1" s="1"/>
  <c r="ED59" i="1" s="1"/>
  <c r="EG59" i="1"/>
  <c r="EG64" i="1"/>
  <c r="EL10" i="1"/>
  <c r="ED10" i="1" s="1"/>
  <c r="EL11" i="1"/>
  <c r="ED11" i="1" s="1"/>
  <c r="EL28" i="1"/>
  <c r="ED28" i="1" s="1"/>
  <c r="EL40" i="1"/>
  <c r="ED40" i="1" s="1"/>
  <c r="EL24" i="1"/>
  <c r="ED24" i="1" s="1"/>
  <c r="EL15" i="1"/>
  <c r="ED15" i="1" s="1"/>
  <c r="EJ46" i="1"/>
  <c r="EI46" i="1"/>
  <c r="EJ15" i="1"/>
  <c r="EI15" i="1"/>
  <c r="EI24" i="1"/>
  <c r="EJ24" i="1"/>
  <c r="EI29" i="1"/>
  <c r="EJ29" i="1"/>
  <c r="EJ28" i="1"/>
  <c r="EI28" i="1"/>
  <c r="EJ26" i="1"/>
  <c r="EI26" i="1"/>
  <c r="EJ8" i="1"/>
  <c r="EI8" i="1"/>
  <c r="EJ13" i="1"/>
  <c r="EI13" i="1"/>
  <c r="EJ16" i="1"/>
  <c r="EI5" i="1"/>
  <c r="EJ5" i="1"/>
  <c r="EI45" i="1"/>
  <c r="EJ45" i="1"/>
  <c r="EI12" i="1"/>
  <c r="EJ12" i="1"/>
  <c r="EI25" i="1"/>
  <c r="EJ25" i="1"/>
  <c r="EI11" i="1"/>
  <c r="EJ11" i="1"/>
  <c r="EI10" i="1"/>
  <c r="EJ10" i="1"/>
  <c r="EI40" i="1"/>
  <c r="EK36" i="1"/>
  <c r="G36" i="1"/>
  <c r="EB36" i="1" s="1"/>
  <c r="DZ36" i="1" s="1"/>
  <c r="EJ36" i="1" s="1"/>
  <c r="EG36" i="1"/>
  <c r="EF36" i="1"/>
  <c r="EI14" i="1"/>
  <c r="EK41" i="1"/>
  <c r="EG41" i="1"/>
  <c r="G41" i="1"/>
  <c r="EB41" i="1" s="1"/>
  <c r="DZ41" i="1" s="1"/>
  <c r="EI41" i="1" s="1"/>
  <c r="EF41" i="1"/>
  <c r="EE41" i="1"/>
  <c r="EE31" i="1"/>
  <c r="EF31" i="1"/>
  <c r="EI39" i="1"/>
  <c r="EK16" i="1"/>
  <c r="EE9" i="1"/>
  <c r="EK31" i="1"/>
  <c r="G16" i="1"/>
  <c r="EB16" i="1" s="1"/>
  <c r="DZ16" i="1" s="1"/>
  <c r="EF37" i="1"/>
  <c r="G37" i="1"/>
  <c r="EB37" i="1" s="1"/>
  <c r="DZ37" i="1" s="1"/>
  <c r="EG37" i="1"/>
  <c r="EK37" i="1"/>
  <c r="EG31" i="1"/>
  <c r="EF16" i="1"/>
  <c r="EE16" i="1"/>
  <c r="EF32" i="1"/>
  <c r="G32" i="1"/>
  <c r="EB32" i="1" s="1"/>
  <c r="DZ32" i="1" s="1"/>
  <c r="EJ32" i="1" s="1"/>
  <c r="EG32" i="1"/>
  <c r="EK32" i="1"/>
  <c r="EE32" i="1"/>
  <c r="G31" i="1"/>
  <c r="EB31" i="1" s="1"/>
  <c r="DZ31" i="1" s="1"/>
  <c r="EG16" i="1"/>
  <c r="ED5" i="1"/>
  <c r="EI1104" i="1"/>
  <c r="G7" i="1"/>
  <c r="EB7" i="1" s="1"/>
  <c r="DZ7" i="1" s="1"/>
  <c r="EJ7" i="1" s="1"/>
  <c r="EG7" i="1"/>
  <c r="EK7" i="1"/>
  <c r="EL7" i="1" s="1"/>
  <c r="EF4" i="1"/>
  <c r="G4" i="1"/>
  <c r="EB4" i="1" s="1"/>
  <c r="DZ4" i="1" s="1"/>
  <c r="EE4" i="1"/>
  <c r="EK4" i="1"/>
  <c r="EL4" i="1" s="1"/>
  <c r="EG4" i="1"/>
  <c r="EJ153" i="1" l="1"/>
  <c r="EJ248" i="1"/>
  <c r="EJ137" i="1"/>
  <c r="EI370" i="1"/>
  <c r="EJ165" i="1"/>
  <c r="EJ450" i="1"/>
  <c r="EJ396" i="1"/>
  <c r="EJ166" i="1"/>
  <c r="EJ422" i="1"/>
  <c r="EJ382" i="1"/>
  <c r="EJ113" i="1"/>
  <c r="EJ238" i="1"/>
  <c r="EJ423" i="1"/>
  <c r="EI202" i="1"/>
  <c r="EJ347" i="1"/>
  <c r="EJ235" i="1"/>
  <c r="EJ421" i="1"/>
  <c r="EJ138" i="1"/>
  <c r="EJ220" i="1"/>
  <c r="EJ270" i="1"/>
  <c r="EI270" i="1"/>
  <c r="EJ428" i="1"/>
  <c r="EJ367" i="1"/>
  <c r="EJ239" i="1"/>
  <c r="EJ253" i="1"/>
  <c r="EI112" i="1"/>
  <c r="EJ356" i="1"/>
  <c r="EJ434" i="1"/>
  <c r="EJ233" i="1"/>
  <c r="EJ316" i="1"/>
  <c r="EJ297" i="1"/>
  <c r="EJ447" i="1"/>
  <c r="EJ243" i="1"/>
  <c r="EJ189" i="1"/>
  <c r="EJ184" i="1"/>
  <c r="EJ147" i="1"/>
  <c r="EJ203" i="1"/>
  <c r="EJ340" i="1"/>
  <c r="EJ267" i="1"/>
  <c r="EJ205" i="1"/>
  <c r="EJ88" i="1"/>
  <c r="EJ95" i="1"/>
  <c r="EJ97" i="1"/>
  <c r="EJ108" i="1"/>
  <c r="EJ75" i="1"/>
  <c r="EJ82" i="1"/>
  <c r="EI63" i="1"/>
  <c r="EI50" i="1"/>
  <c r="EJ70" i="1"/>
  <c r="EJ89" i="1"/>
  <c r="EJ92" i="1"/>
  <c r="EJ59" i="1"/>
  <c r="EJ48" i="1"/>
  <c r="EJ64" i="1"/>
  <c r="EJ51" i="1"/>
  <c r="EL37" i="1"/>
  <c r="ED37" i="1" s="1"/>
  <c r="EL31" i="1"/>
  <c r="ED31" i="1" s="1"/>
  <c r="EL41" i="1"/>
  <c r="ED41" i="1" s="1"/>
  <c r="EL16" i="1"/>
  <c r="ED16" i="1" s="1"/>
  <c r="EL32" i="1"/>
  <c r="ED32" i="1" s="1"/>
  <c r="EL36" i="1"/>
  <c r="ED36" i="1" s="1"/>
  <c r="EI4" i="1"/>
  <c r="EJ4" i="1"/>
  <c r="EI31" i="1"/>
  <c r="EJ31" i="1"/>
  <c r="EI37" i="1"/>
  <c r="EJ37" i="1"/>
  <c r="EJ41" i="1"/>
  <c r="EI36" i="1"/>
  <c r="EI32" i="1"/>
  <c r="EI7" i="1"/>
  <c r="ED4" i="1"/>
  <c r="ED7" i="1"/>
  <c r="E8" i="26" l="1"/>
  <c r="AO289" i="1" s="1"/>
  <c r="E21" i="26"/>
  <c r="AO9" i="1" s="1"/>
  <c r="EK9" i="1" s="1"/>
  <c r="EL9" i="1" s="1"/>
  <c r="E11" i="26"/>
  <c r="AO244" i="1" s="1"/>
  <c r="E9" i="26"/>
  <c r="AO141" i="1" s="1"/>
  <c r="E15" i="26"/>
  <c r="AO55" i="1" s="1"/>
  <c r="E23" i="26"/>
  <c r="E13" i="26"/>
  <c r="AO322" i="1" s="1"/>
  <c r="E17" i="26"/>
  <c r="AO266" i="1" s="1"/>
  <c r="E16" i="26"/>
  <c r="AO163" i="1" s="1"/>
  <c r="E22" i="26"/>
  <c r="AO247" i="1" s="1"/>
  <c r="E12" i="26"/>
  <c r="AO325" i="1" s="1"/>
  <c r="E25" i="26"/>
  <c r="AO237" i="1" s="1"/>
  <c r="E14" i="26"/>
  <c r="AO173" i="1" s="1"/>
  <c r="E26" i="26"/>
  <c r="AO179" i="1" s="1"/>
  <c r="E18" i="26"/>
  <c r="AO431" i="1" s="1"/>
  <c r="E10" i="26"/>
  <c r="AO47" i="1" s="1"/>
  <c r="E28" i="26"/>
  <c r="AO175" i="1" s="1"/>
  <c r="E24" i="26"/>
  <c r="AO180" i="1" s="1"/>
  <c r="E27" i="26"/>
  <c r="AO315" i="1" s="1"/>
  <c r="E9" i="24"/>
  <c r="Z66" i="1" s="1"/>
  <c r="F5" i="24"/>
  <c r="E8" i="24"/>
  <c r="Z123" i="1" s="1"/>
  <c r="EK179" i="1" l="1"/>
  <c r="EL179" i="1" s="1"/>
  <c r="ED179" i="1" s="1"/>
  <c r="EG179" i="1"/>
  <c r="EF179" i="1"/>
  <c r="G179" i="1"/>
  <c r="EB179" i="1" s="1"/>
  <c r="DZ179" i="1" s="1"/>
  <c r="EI179" i="1" s="1"/>
  <c r="EF237" i="1"/>
  <c r="EG237" i="1"/>
  <c r="EK237" i="1"/>
  <c r="EL237" i="1" s="1"/>
  <c r="ED237" i="1" s="1"/>
  <c r="G237" i="1"/>
  <c r="EB237" i="1" s="1"/>
  <c r="DZ237" i="1" s="1"/>
  <c r="EI237" i="1" s="1"/>
  <c r="EF266" i="1"/>
  <c r="EG266" i="1"/>
  <c r="EK266" i="1"/>
  <c r="EL266" i="1" s="1"/>
  <c r="ED266" i="1" s="1"/>
  <c r="G266" i="1"/>
  <c r="EB266" i="1" s="1"/>
  <c r="DZ266" i="1" s="1"/>
  <c r="EI266" i="1" s="1"/>
  <c r="EK141" i="1"/>
  <c r="EL141" i="1" s="1"/>
  <c r="ED141" i="1" s="1"/>
  <c r="EF141" i="1"/>
  <c r="EG141" i="1"/>
  <c r="G141" i="1"/>
  <c r="EB141" i="1" s="1"/>
  <c r="DZ141" i="1" s="1"/>
  <c r="EI141" i="1" s="1"/>
  <c r="EJ180" i="1"/>
  <c r="EF180" i="1"/>
  <c r="G180" i="1"/>
  <c r="EB180" i="1" s="1"/>
  <c r="DZ180" i="1" s="1"/>
  <c r="EI180" i="1" s="1"/>
  <c r="EK180" i="1"/>
  <c r="EL180" i="1" s="1"/>
  <c r="ED180" i="1" s="1"/>
  <c r="EG180" i="1"/>
  <c r="G175" i="1"/>
  <c r="EB175" i="1" s="1"/>
  <c r="DZ175" i="1" s="1"/>
  <c r="EI175" i="1" s="1"/>
  <c r="EF175" i="1"/>
  <c r="EJ175" i="1"/>
  <c r="EG175" i="1"/>
  <c r="EK175" i="1"/>
  <c r="EL175" i="1" s="1"/>
  <c r="ED175" i="1" s="1"/>
  <c r="EF315" i="1"/>
  <c r="EK315" i="1"/>
  <c r="EL315" i="1" s="1"/>
  <c r="ED315" i="1" s="1"/>
  <c r="EG315" i="1"/>
  <c r="G315" i="1"/>
  <c r="EB315" i="1" s="1"/>
  <c r="DZ315" i="1" s="1"/>
  <c r="EI315" i="1" s="1"/>
  <c r="EK431" i="1"/>
  <c r="EL431" i="1" s="1"/>
  <c r="ED431" i="1" s="1"/>
  <c r="EF431" i="1"/>
  <c r="EG431" i="1"/>
  <c r="G431" i="1"/>
  <c r="EB431" i="1" s="1"/>
  <c r="DZ431" i="1" s="1"/>
  <c r="EI431" i="1" s="1"/>
  <c r="EJ431" i="1"/>
  <c r="G325" i="1"/>
  <c r="EB325" i="1" s="1"/>
  <c r="DZ325" i="1" s="1"/>
  <c r="EI325" i="1" s="1"/>
  <c r="EG325" i="1"/>
  <c r="EK325" i="1"/>
  <c r="EL325" i="1" s="1"/>
  <c r="ED325" i="1" s="1"/>
  <c r="EF325" i="1"/>
  <c r="EK322" i="1"/>
  <c r="EL322" i="1" s="1"/>
  <c r="ED322" i="1" s="1"/>
  <c r="EG322" i="1"/>
  <c r="EF322" i="1"/>
  <c r="G322" i="1"/>
  <c r="EB322" i="1" s="1"/>
  <c r="DZ322" i="1" s="1"/>
  <c r="EI322" i="1" s="1"/>
  <c r="EG244" i="1"/>
  <c r="EK244" i="1"/>
  <c r="EL244" i="1" s="1"/>
  <c r="ED244" i="1" s="1"/>
  <c r="EF244" i="1"/>
  <c r="EJ244" i="1"/>
  <c r="G244" i="1"/>
  <c r="EB244" i="1" s="1"/>
  <c r="DZ244" i="1" s="1"/>
  <c r="EI244" i="1" s="1"/>
  <c r="EG123" i="1"/>
  <c r="EK123" i="1"/>
  <c r="EL123" i="1" s="1"/>
  <c r="ED123" i="1" s="1"/>
  <c r="EF123" i="1"/>
  <c r="G123" i="1"/>
  <c r="EB123" i="1" s="1"/>
  <c r="DZ123" i="1" s="1"/>
  <c r="EJ123" i="1"/>
  <c r="EE123" i="1"/>
  <c r="EF247" i="1"/>
  <c r="G247" i="1"/>
  <c r="EB247" i="1" s="1"/>
  <c r="DZ247" i="1" s="1"/>
  <c r="EI247" i="1" s="1"/>
  <c r="EG247" i="1"/>
  <c r="EK247" i="1" s="1"/>
  <c r="EL247" i="1" s="1"/>
  <c r="ED247" i="1" s="1"/>
  <c r="EK173" i="1"/>
  <c r="EL173" i="1" s="1"/>
  <c r="ED173" i="1" s="1"/>
  <c r="EG173" i="1"/>
  <c r="G173" i="1"/>
  <c r="EB173" i="1" s="1"/>
  <c r="DZ173" i="1" s="1"/>
  <c r="EI173" i="1" s="1"/>
  <c r="EJ173" i="1"/>
  <c r="EF173" i="1"/>
  <c r="EF163" i="1"/>
  <c r="G163" i="1"/>
  <c r="EB163" i="1" s="1"/>
  <c r="DZ163" i="1" s="1"/>
  <c r="EI163" i="1" s="1"/>
  <c r="EG163" i="1"/>
  <c r="EK163" i="1"/>
  <c r="EL163" i="1" s="1"/>
  <c r="ED163" i="1" s="1"/>
  <c r="EK289" i="1"/>
  <c r="EL289" i="1" s="1"/>
  <c r="ED289" i="1" s="1"/>
  <c r="EJ289" i="1"/>
  <c r="EG289" i="1"/>
  <c r="EF289" i="1"/>
  <c r="G289" i="1"/>
  <c r="EB289" i="1" s="1"/>
  <c r="DZ289" i="1" s="1"/>
  <c r="EI289" i="1" s="1"/>
  <c r="EF66" i="1"/>
  <c r="EK66" i="1"/>
  <c r="EL66" i="1" s="1"/>
  <c r="ED66" i="1" s="1"/>
  <c r="EG66" i="1"/>
  <c r="EE66" i="1"/>
  <c r="EJ66" i="1"/>
  <c r="G66" i="1"/>
  <c r="EB66" i="1" s="1"/>
  <c r="DZ66" i="1" s="1"/>
  <c r="EF55" i="1"/>
  <c r="EG55" i="1"/>
  <c r="G55" i="1"/>
  <c r="EB55" i="1" s="1"/>
  <c r="DZ55" i="1" s="1"/>
  <c r="EI55" i="1" s="1"/>
  <c r="EF47" i="1"/>
  <c r="G47" i="1"/>
  <c r="EB47" i="1" s="1"/>
  <c r="DZ47" i="1" s="1"/>
  <c r="EG47" i="1"/>
  <c r="EK47" i="1"/>
  <c r="EG9" i="1"/>
  <c r="ED9" i="1" s="1"/>
  <c r="EF9" i="1"/>
  <c r="G9" i="1"/>
  <c r="EB9" i="1" s="1"/>
  <c r="DZ9" i="1" s="1"/>
  <c r="EJ9" i="1" s="1"/>
  <c r="EJ163" i="1" l="1"/>
  <c r="EJ315" i="1"/>
  <c r="EJ141" i="1"/>
  <c r="EJ266" i="1"/>
  <c r="EJ179" i="1"/>
  <c r="EJ247" i="1"/>
  <c r="EJ322" i="1"/>
  <c r="EJ325" i="1"/>
  <c r="EJ237" i="1"/>
  <c r="EJ55" i="1"/>
  <c r="EK55" i="1" s="1"/>
  <c r="EL55" i="1" s="1"/>
  <c r="ED55" i="1" s="1"/>
  <c r="EL47" i="1"/>
  <c r="ED47" i="1" s="1"/>
  <c r="EI47" i="1"/>
  <c r="EJ47" i="1"/>
  <c r="EI9" i="1"/>
  <c r="E19" i="63"/>
  <c r="BQ126" i="1" s="1"/>
  <c r="E20" i="63"/>
  <c r="BQ150" i="1" s="1"/>
  <c r="E8" i="63"/>
  <c r="BQ444" i="1" s="1"/>
  <c r="F5" i="63"/>
  <c r="E17" i="63"/>
  <c r="BQ230" i="1" s="1"/>
  <c r="E9" i="63"/>
  <c r="BQ120" i="1" s="1"/>
  <c r="E14" i="63"/>
  <c r="BQ54" i="1" s="1"/>
  <c r="E12" i="63"/>
  <c r="BQ85" i="1" s="1"/>
  <c r="E16" i="63"/>
  <c r="BQ197" i="1" s="1"/>
  <c r="E10" i="63"/>
  <c r="BQ43" i="1" s="1"/>
  <c r="E18" i="63"/>
  <c r="BQ455" i="1" s="1"/>
  <c r="E13" i="63"/>
  <c r="BQ327" i="1" s="1"/>
  <c r="E11" i="63"/>
  <c r="BQ425" i="1" s="1"/>
  <c r="E15" i="63"/>
  <c r="BQ240" i="1" s="1"/>
  <c r="EF240" i="1" l="1"/>
  <c r="EK240" i="1"/>
  <c r="EL240" i="1" s="1"/>
  <c r="ED240" i="1" s="1"/>
  <c r="EG240" i="1"/>
  <c r="G240" i="1"/>
  <c r="EB240" i="1" s="1"/>
  <c r="DZ240" i="1" s="1"/>
  <c r="EG120" i="1"/>
  <c r="EF120" i="1"/>
  <c r="G120" i="1"/>
  <c r="EB120" i="1" s="1"/>
  <c r="DZ120" i="1" s="1"/>
  <c r="EK120" i="1"/>
  <c r="EL120" i="1" s="1"/>
  <c r="ED120" i="1" s="1"/>
  <c r="EF150" i="1"/>
  <c r="G150" i="1"/>
  <c r="EB150" i="1" s="1"/>
  <c r="DZ150" i="1" s="1"/>
  <c r="EG150" i="1"/>
  <c r="EK150" i="1"/>
  <c r="EL150" i="1" s="1"/>
  <c r="ED150" i="1" s="1"/>
  <c r="EG197" i="1"/>
  <c r="G197" i="1"/>
  <c r="EB197" i="1" s="1"/>
  <c r="DZ197" i="1" s="1"/>
  <c r="EK197" i="1"/>
  <c r="EL197" i="1" s="1"/>
  <c r="ED197" i="1" s="1"/>
  <c r="EF197" i="1"/>
  <c r="EK230" i="1"/>
  <c r="EL230" i="1" s="1"/>
  <c r="ED230" i="1" s="1"/>
  <c r="EF230" i="1"/>
  <c r="EG230" i="1"/>
  <c r="G230" i="1"/>
  <c r="EB230" i="1" s="1"/>
  <c r="DZ230" i="1" s="1"/>
  <c r="EF126" i="1"/>
  <c r="G126" i="1"/>
  <c r="EB126" i="1" s="1"/>
  <c r="DZ126" i="1" s="1"/>
  <c r="EK126" i="1"/>
  <c r="EL126" i="1" s="1"/>
  <c r="ED126" i="1" s="1"/>
  <c r="EG126" i="1"/>
  <c r="EG425" i="1"/>
  <c r="EF425" i="1"/>
  <c r="EK425" i="1"/>
  <c r="EL425" i="1" s="1"/>
  <c r="ED425" i="1" s="1"/>
  <c r="G425" i="1"/>
  <c r="EB425" i="1" s="1"/>
  <c r="DZ425" i="1" s="1"/>
  <c r="EG327" i="1"/>
  <c r="EF327" i="1"/>
  <c r="EK327" i="1"/>
  <c r="EL327" i="1" s="1"/>
  <c r="ED327" i="1" s="1"/>
  <c r="G327" i="1"/>
  <c r="EB327" i="1" s="1"/>
  <c r="DZ327" i="1" s="1"/>
  <c r="EK455" i="1"/>
  <c r="EL455" i="1" s="1"/>
  <c r="ED455" i="1" s="1"/>
  <c r="G455" i="1"/>
  <c r="EB455" i="1" s="1"/>
  <c r="DZ455" i="1" s="1"/>
  <c r="EG455" i="1"/>
  <c r="EF455" i="1"/>
  <c r="G444" i="1"/>
  <c r="EB444" i="1" s="1"/>
  <c r="DZ444" i="1" s="1"/>
  <c r="EI444" i="1" s="1"/>
  <c r="EF444" i="1"/>
  <c r="EG444" i="1"/>
  <c r="EK444" i="1"/>
  <c r="EL444" i="1" s="1"/>
  <c r="ED444" i="1" s="1"/>
  <c r="G85" i="1"/>
  <c r="EB85" i="1" s="1"/>
  <c r="DZ85" i="1" s="1"/>
  <c r="EG85" i="1"/>
  <c r="EK85" i="1"/>
  <c r="EL85" i="1" s="1"/>
  <c r="ED85" i="1" s="1"/>
  <c r="EF85" i="1"/>
  <c r="EG54" i="1"/>
  <c r="EF54" i="1"/>
  <c r="G54" i="1"/>
  <c r="EB54" i="1" s="1"/>
  <c r="DZ54" i="1" s="1"/>
  <c r="EK54" i="1"/>
  <c r="EL54" i="1" s="1"/>
  <c r="ED54" i="1" s="1"/>
  <c r="G43" i="1"/>
  <c r="EB43" i="1" s="1"/>
  <c r="DZ43" i="1" s="1"/>
  <c r="EF43" i="1"/>
  <c r="EG43" i="1"/>
  <c r="EK43" i="1"/>
  <c r="EI327" i="1" l="1"/>
  <c r="EJ327" i="1"/>
  <c r="EI425" i="1"/>
  <c r="EJ425" i="1"/>
  <c r="EI230" i="1"/>
  <c r="EJ230" i="1"/>
  <c r="EI240" i="1"/>
  <c r="EJ240" i="1"/>
  <c r="EJ120" i="1"/>
  <c r="EI120" i="1"/>
  <c r="EI455" i="1"/>
  <c r="EJ455" i="1"/>
  <c r="EI126" i="1"/>
  <c r="EJ126" i="1"/>
  <c r="EI197" i="1"/>
  <c r="EJ197" i="1"/>
  <c r="EJ150" i="1"/>
  <c r="EI150" i="1"/>
  <c r="EI85" i="1"/>
  <c r="EJ85" i="1"/>
  <c r="EI54" i="1"/>
  <c r="EJ54" i="1"/>
  <c r="EL43" i="1"/>
  <c r="ED43" i="1" s="1"/>
  <c r="EI43" i="1"/>
  <c r="EJ43" i="1"/>
  <c r="G69" i="45" l="1"/>
  <c r="D69" i="45" s="1"/>
  <c r="E69" i="45"/>
  <c r="AW219" i="1" s="1"/>
  <c r="AW27" i="1"/>
  <c r="EK219" i="1" l="1"/>
  <c r="EL219" i="1" s="1"/>
  <c r="ED219" i="1" s="1"/>
  <c r="EG219" i="1"/>
  <c r="G219" i="1"/>
  <c r="EB219" i="1" s="1"/>
  <c r="DZ219" i="1" s="1"/>
  <c r="EI219" i="1" s="1"/>
  <c r="EF219" i="1"/>
  <c r="G27" i="1"/>
  <c r="EB27" i="1" s="1"/>
  <c r="DZ27" i="1" s="1"/>
  <c r="EI27" i="1" s="1"/>
  <c r="EK27" i="1"/>
  <c r="EL27" i="1" s="1"/>
  <c r="EG27" i="1"/>
  <c r="EF27" i="1"/>
  <c r="EJ219" i="1" l="1"/>
  <c r="EJ27" i="1"/>
  <c r="ED27" i="1"/>
</calcChain>
</file>

<file path=xl/sharedStrings.xml><?xml version="1.0" encoding="utf-8"?>
<sst xmlns="http://schemas.openxmlformats.org/spreadsheetml/2006/main" count="9067" uniqueCount="1355">
  <si>
    <t>Senior/Junior Men</t>
  </si>
  <si>
    <t>Class</t>
  </si>
  <si>
    <t>Rank</t>
  </si>
  <si>
    <t>Name</t>
  </si>
  <si>
    <t>Update</t>
  </si>
  <si>
    <t>Teela, Jeremy</t>
  </si>
  <si>
    <t>Sr</t>
  </si>
  <si>
    <t>Burke, Tim</t>
  </si>
  <si>
    <t>Cleveland, Dave</t>
  </si>
  <si>
    <t>Douglas, Robert</t>
  </si>
  <si>
    <t>Kremer, Ben</t>
  </si>
  <si>
    <t>Walker, Eli</t>
  </si>
  <si>
    <t>Moffett, Thomas</t>
  </si>
  <si>
    <t>Halligan, Sean</t>
  </si>
  <si>
    <t>Roosa, Darwin</t>
  </si>
  <si>
    <t>Olsen, Brian</t>
  </si>
  <si>
    <t>Jr</t>
  </si>
  <si>
    <t>Patzoldt, Kevin</t>
  </si>
  <si>
    <t>Kinney, Nigel</t>
  </si>
  <si>
    <t>Number</t>
  </si>
  <si>
    <t>Races</t>
  </si>
  <si>
    <t>Fall Points</t>
  </si>
  <si>
    <t>RACE</t>
  </si>
  <si>
    <t>DATE</t>
  </si>
  <si>
    <t>Type</t>
  </si>
  <si>
    <t>Mass Start</t>
  </si>
  <si>
    <t>Men</t>
  </si>
  <si>
    <t>Location</t>
  </si>
  <si>
    <t>West Yellowstone MT</t>
  </si>
  <si>
    <t xml:space="preserve"> </t>
  </si>
  <si>
    <t>Time</t>
  </si>
  <si>
    <t>Ath Pts</t>
  </si>
  <si>
    <t>Comp Pts</t>
  </si>
  <si>
    <t>Race Template</t>
  </si>
  <si>
    <t>Athlete 1</t>
  </si>
  <si>
    <t>Athlete 2</t>
  </si>
  <si>
    <t>Athlete 3</t>
  </si>
  <si>
    <t>Athlete 4</t>
  </si>
  <si>
    <t>Athelte 5</t>
  </si>
  <si>
    <t>Athlete 6</t>
  </si>
  <si>
    <t>Athlete 7</t>
  </si>
  <si>
    <t>Athlete 8</t>
  </si>
  <si>
    <t>Sprint</t>
  </si>
  <si>
    <t>Pursuit</t>
  </si>
  <si>
    <t>Individual</t>
  </si>
  <si>
    <t>Mattingly, James</t>
  </si>
  <si>
    <t>Gretzinger, Nick</t>
  </si>
  <si>
    <t>Rudl, Greg</t>
  </si>
  <si>
    <t>McGraw, Ethan</t>
  </si>
  <si>
    <t>Junior Men</t>
  </si>
  <si>
    <t>Currier, Russell</t>
  </si>
  <si>
    <t>Harris, Adrian</t>
  </si>
  <si>
    <t>Osteen, Gary</t>
  </si>
  <si>
    <t>Average</t>
  </si>
  <si>
    <t>Member</t>
  </si>
  <si>
    <t>Race Base</t>
  </si>
  <si>
    <t>Hamilton, Eric</t>
  </si>
  <si>
    <t>NY</t>
  </si>
  <si>
    <t>MN</t>
  </si>
  <si>
    <t>MT</t>
  </si>
  <si>
    <t>State</t>
  </si>
  <si>
    <t>AK</t>
  </si>
  <si>
    <t>CO</t>
  </si>
  <si>
    <t>VT</t>
  </si>
  <si>
    <t>ME</t>
  </si>
  <si>
    <t>NH</t>
  </si>
  <si>
    <t>WY</t>
  </si>
  <si>
    <t>UT</t>
  </si>
  <si>
    <t>Anana, Dave</t>
  </si>
  <si>
    <t>WA</t>
  </si>
  <si>
    <t>Nordgren, Leif</t>
  </si>
  <si>
    <t>Warwick, Walter</t>
  </si>
  <si>
    <t>Skrabal, Zbysek</t>
  </si>
  <si>
    <t>French, Steven</t>
  </si>
  <si>
    <t>Milne, King</t>
  </si>
  <si>
    <t>ID</t>
  </si>
  <si>
    <t>MA</t>
  </si>
  <si>
    <t>OH</t>
  </si>
  <si>
    <t>MO</t>
  </si>
  <si>
    <t>NV</t>
  </si>
  <si>
    <t>IN</t>
  </si>
  <si>
    <t>Seyse, Eric</t>
  </si>
  <si>
    <t>Adjusted</t>
  </si>
  <si>
    <t>Senior Men</t>
  </si>
  <si>
    <t>Bailey, Lowell</t>
  </si>
  <si>
    <t>Stoltz, Will</t>
  </si>
  <si>
    <t>Kostoff, Lauren</t>
  </si>
  <si>
    <t>CA</t>
  </si>
  <si>
    <t>WI</t>
  </si>
  <si>
    <t>OR</t>
  </si>
  <si>
    <t>Quinlan, William</t>
  </si>
  <si>
    <t>Karges, Adam</t>
  </si>
  <si>
    <t>Donath, Kurt</t>
  </si>
  <si>
    <t>Zeigle, Michael</t>
  </si>
  <si>
    <t>Letourneau, Brian</t>
  </si>
  <si>
    <t>Johnson, Michael</t>
  </si>
  <si>
    <t>SD</t>
  </si>
  <si>
    <t>Hansen, Wyatt</t>
  </si>
  <si>
    <t>Blanke, Shawn</t>
  </si>
  <si>
    <t>Roberts, Conrad</t>
  </si>
  <si>
    <t>Scott, Aaron</t>
  </si>
  <si>
    <t>Fletcher, Chris</t>
  </si>
  <si>
    <t>Dreissigacker, Ethan</t>
  </si>
  <si>
    <t>Gibson, Michael</t>
  </si>
  <si>
    <t>Goessling, Raleigh</t>
  </si>
  <si>
    <t>Current</t>
  </si>
  <si>
    <t>Boschen, Kyle</t>
  </si>
  <si>
    <t>Downs, Jesse</t>
  </si>
  <si>
    <t>Brackett, Gary</t>
  </si>
  <si>
    <t>Shaw, David</t>
  </si>
  <si>
    <t>Sloman, Richard</t>
  </si>
  <si>
    <t>Ludington, Tyler</t>
  </si>
  <si>
    <t>Dessart, Kevin</t>
  </si>
  <si>
    <t>Toutenhoofd, Nico</t>
  </si>
  <si>
    <t>Hammer, John</t>
  </si>
  <si>
    <t>Jericho, VT</t>
  </si>
  <si>
    <t>Gangi, Frank</t>
  </si>
  <si>
    <t>Scott, Garth</t>
  </si>
  <si>
    <t>Black, Dale</t>
  </si>
  <si>
    <t>Pulst, Brandon</t>
  </si>
  <si>
    <t>McElroy, Thomas</t>
  </si>
  <si>
    <t/>
  </si>
  <si>
    <t>ND</t>
  </si>
  <si>
    <t>Detraglia, Patrick</t>
  </si>
  <si>
    <t>Limb, Max</t>
  </si>
  <si>
    <t>Hall, Zachary</t>
  </si>
  <si>
    <t>Morse, Samuel</t>
  </si>
  <si>
    <t>Smith, Martin</t>
  </si>
  <si>
    <t>Becker, Jordan</t>
  </si>
  <si>
    <t>Kumlin, Rocky</t>
  </si>
  <si>
    <t>Parsons, Andrew</t>
  </si>
  <si>
    <t>Soto, Edward</t>
  </si>
  <si>
    <t>Studenicka, Erick</t>
  </si>
  <si>
    <t>Lincoln, Paul</t>
  </si>
  <si>
    <t>Strong, Zack</t>
  </si>
  <si>
    <t>Rogers, Nathanael</t>
  </si>
  <si>
    <t>Michaud, Nick</t>
  </si>
  <si>
    <t>Scott, Cody</t>
  </si>
  <si>
    <t>Vanderpool, Wayne</t>
  </si>
  <si>
    <t>Harde, Rene</t>
  </si>
  <si>
    <t>Stegen, Arthur</t>
  </si>
  <si>
    <t>Sims, John</t>
  </si>
  <si>
    <t>Seyse, William</t>
  </si>
  <si>
    <t>PA</t>
  </si>
  <si>
    <t>Palm, Brian</t>
  </si>
  <si>
    <t>Wieghaus, Brian</t>
  </si>
  <si>
    <t>O'Keefe, Brian</t>
  </si>
  <si>
    <t>Osowski, John</t>
  </si>
  <si>
    <t>DeBois, William</t>
  </si>
  <si>
    <t>Hillerson, Blake</t>
  </si>
  <si>
    <t>Peterson, Paul</t>
  </si>
  <si>
    <t>IL</t>
  </si>
  <si>
    <t>Kohler, Joesph</t>
  </si>
  <si>
    <t>Douglas, Philip</t>
  </si>
  <si>
    <t>Madigan, John</t>
  </si>
  <si>
    <t>Hulbert, Ted</t>
  </si>
  <si>
    <t>Yen, Christopher</t>
  </si>
  <si>
    <t>Peterson, Eric</t>
  </si>
  <si>
    <t>Lang, Jesse</t>
  </si>
  <si>
    <t>RI</t>
  </si>
  <si>
    <t>Hynes, Jeremiah</t>
  </si>
  <si>
    <t>Lagasse, Daniel</t>
  </si>
  <si>
    <t>Erisman, Ryan</t>
  </si>
  <si>
    <t>Graham, Miles</t>
  </si>
  <si>
    <t>Olson, Kirk</t>
  </si>
  <si>
    <t>Schwab, Mark</t>
  </si>
  <si>
    <t>Millar, Alan</t>
  </si>
  <si>
    <t>Weyrich, Tyler</t>
  </si>
  <si>
    <t>Simons, Casey</t>
  </si>
  <si>
    <t>Humphries, Sam</t>
  </si>
  <si>
    <t>Greenwald, Ben</t>
  </si>
  <si>
    <t>Wray, Brian</t>
  </si>
  <si>
    <t>Gray, Nicholas</t>
  </si>
  <si>
    <t>Bowler, Bill</t>
  </si>
  <si>
    <t>Neal, Robert</t>
  </si>
  <si>
    <t>Downs, Seth</t>
  </si>
  <si>
    <t>Wonders, Ray</t>
  </si>
  <si>
    <t>Devin, Willie</t>
  </si>
  <si>
    <t>Mann-Gow, Travis</t>
  </si>
  <si>
    <t>Novak, Jack</t>
  </si>
  <si>
    <t>Roher, Remington</t>
  </si>
  <si>
    <t>Maamori-Cortez, Zeke</t>
  </si>
  <si>
    <t>McClure, Jared</t>
  </si>
  <si>
    <t>Final</t>
  </si>
  <si>
    <t>Rikert, Darrell</t>
  </si>
  <si>
    <t>Mikelson, Ivars</t>
  </si>
  <si>
    <t>Cahow, Dean</t>
  </si>
  <si>
    <t>Winans, Marc</t>
  </si>
  <si>
    <t>NJ</t>
  </si>
  <si>
    <t>Doherty, Sean</t>
  </si>
  <si>
    <t>Valvo, David</t>
  </si>
  <si>
    <t>Hettenbaugh, Carl</t>
  </si>
  <si>
    <t>Hammer, Bill</t>
  </si>
  <si>
    <t>Thiel, Konrad</t>
  </si>
  <si>
    <t>Tuss, David</t>
  </si>
  <si>
    <t>Rode, Bill</t>
  </si>
  <si>
    <t>Gregory, David</t>
  </si>
  <si>
    <t>Hanes, Michael</t>
  </si>
  <si>
    <t>Day, Chad</t>
  </si>
  <si>
    <t>Maki, Steve</t>
  </si>
  <si>
    <t>Woodard, Brian</t>
  </si>
  <si>
    <t>Foy, Michael</t>
  </si>
  <si>
    <t>Schauffele, Chris</t>
  </si>
  <si>
    <t>Canmore, CAN</t>
  </si>
  <si>
    <t>Demaine, Richard</t>
  </si>
  <si>
    <t>Gurzler, Jacob</t>
  </si>
  <si>
    <t>Luk, Erik</t>
  </si>
  <si>
    <t>Turner, Mark</t>
  </si>
  <si>
    <t>Felty, Jim</t>
  </si>
  <si>
    <t>Horst, Josh</t>
  </si>
  <si>
    <t>Dobrowolski, John</t>
  </si>
  <si>
    <t>Points</t>
  </si>
  <si>
    <t>Athlete</t>
  </si>
  <si>
    <t>Cox, Jeff</t>
  </si>
  <si>
    <t>Schlachter, Michael</t>
  </si>
  <si>
    <t>Mikulas, Ram</t>
  </si>
  <si>
    <t>Sadler, Jeff</t>
  </si>
  <si>
    <t>Majors, Paul</t>
  </si>
  <si>
    <t>Searcy, Paul</t>
  </si>
  <si>
    <t>Petruska, Greg</t>
  </si>
  <si>
    <t>Downs, Colin</t>
  </si>
  <si>
    <t>Gorder, Dan</t>
  </si>
  <si>
    <t>Grey, Nicholas</t>
  </si>
  <si>
    <t>Wohlfeil, Greg</t>
  </si>
  <si>
    <t>Cunningham, David</t>
  </si>
  <si>
    <t>Little Owl, Jason</t>
  </si>
  <si>
    <t>Depas, Leroy</t>
  </si>
  <si>
    <t>Swingle, Tim</t>
  </si>
  <si>
    <t>Yetter, Andy</t>
  </si>
  <si>
    <t>Sprister, Eric</t>
  </si>
  <si>
    <t>Thede, Kel</t>
  </si>
  <si>
    <t>Waller, Andrew</t>
  </si>
  <si>
    <t>Scharn, Mike</t>
  </si>
  <si>
    <t>Jackson, Sam</t>
  </si>
  <si>
    <t>Fry, Matthew</t>
  </si>
  <si>
    <t>Morgan, Gregory</t>
  </si>
  <si>
    <t>Sabot, Topher</t>
  </si>
  <si>
    <t>Izzo, Joe</t>
  </si>
  <si>
    <t>Mitchell, Matthew</t>
  </si>
  <si>
    <t>Wojcik, Michael</t>
  </si>
  <si>
    <t>Kull, Damon</t>
  </si>
  <si>
    <t>Criss, Colin</t>
  </si>
  <si>
    <t>Keyes, Rory</t>
  </si>
  <si>
    <t>Eastwood, Steve</t>
  </si>
  <si>
    <t>Slyfield, Jim</t>
  </si>
  <si>
    <t>Mackley, Carter</t>
  </si>
  <si>
    <t>Woo, Victor</t>
  </si>
  <si>
    <t>McLetchie, Karl</t>
  </si>
  <si>
    <t>Dobrowolski, Casey</t>
  </si>
  <si>
    <t>McGarvey, Randell</t>
  </si>
  <si>
    <t>Westover, Daniel</t>
  </si>
  <si>
    <t>Granroth, Karl</t>
  </si>
  <si>
    <t>Gelinas, Andrew</t>
  </si>
  <si>
    <t>Dahl, Benjamin</t>
  </si>
  <si>
    <t>Skalicky, David</t>
  </si>
  <si>
    <t>Walker, Scott</t>
  </si>
  <si>
    <t>AZ</t>
  </si>
  <si>
    <t>Haaversen, Jon</t>
  </si>
  <si>
    <t>Sr/Jr Men</t>
  </si>
  <si>
    <t>Calc</t>
  </si>
  <si>
    <t>Gorbold, Paul</t>
  </si>
  <si>
    <t>Neal, Eliot</t>
  </si>
  <si>
    <t>Scrimgeour, Max</t>
  </si>
  <si>
    <t>Shepard, Walter</t>
  </si>
  <si>
    <t>Hadrits, Ty</t>
  </si>
  <si>
    <t>Rupert, Eric</t>
  </si>
  <si>
    <t>Ward, Nate</t>
  </si>
  <si>
    <t>Leach, Kirk</t>
  </si>
  <si>
    <t>LeDuc, Marc</t>
  </si>
  <si>
    <t>Waichler, Scott</t>
  </si>
  <si>
    <t>Sirois, Jonathan</t>
  </si>
  <si>
    <t>Tabor, Pete</t>
  </si>
  <si>
    <t>Hoeger, Cory</t>
  </si>
  <si>
    <t>Henderson, Ken</t>
  </si>
  <si>
    <t>Fairbanks, Joe</t>
  </si>
  <si>
    <t>Mater, Russell</t>
  </si>
  <si>
    <t>Wilhide, David</t>
  </si>
  <si>
    <t>Twa, John</t>
  </si>
  <si>
    <t>Ingebrigtsen, Jan</t>
  </si>
  <si>
    <t>Johnson, Andrew</t>
  </si>
  <si>
    <t>Stanfel, Larry</t>
  </si>
  <si>
    <t>Wheeler, Henry</t>
  </si>
  <si>
    <t>Wilson, John</t>
  </si>
  <si>
    <t>Evers, Jay</t>
  </si>
  <si>
    <t>Dahl, Jim</t>
  </si>
  <si>
    <t>Queitzsch, Chris</t>
  </si>
  <si>
    <t>McClung, Richard</t>
  </si>
  <si>
    <t>McGregor, Michael</t>
  </si>
  <si>
    <t>Holtan, Doug</t>
  </si>
  <si>
    <t>Fox, Travis</t>
  </si>
  <si>
    <t>Gregory, Harvey</t>
  </si>
  <si>
    <t>Fieroh, William</t>
  </si>
  <si>
    <t>Halligan, Brian</t>
  </si>
  <si>
    <t>Phaneuf, Sam</t>
  </si>
  <si>
    <t>Jackson, Samuel</t>
  </si>
  <si>
    <t>Shuman, Dave</t>
  </si>
  <si>
    <t>Larson, Joseph</t>
  </si>
  <si>
    <t>Miech, Kenneth</t>
  </si>
  <si>
    <t>Shanight, Joel</t>
  </si>
  <si>
    <t>McDaniel, Michael</t>
  </si>
  <si>
    <t>Mundt, Shane</t>
  </si>
  <si>
    <t>Flanery, Michael</t>
  </si>
  <si>
    <t>Williams, Kelley</t>
  </si>
  <si>
    <t>Durate, Chase</t>
  </si>
  <si>
    <t>Wendt, Ryan</t>
  </si>
  <si>
    <t>Kaemmer, William</t>
  </si>
  <si>
    <t>Powell, Morgan</t>
  </si>
  <si>
    <t>Hague, Zachary</t>
  </si>
  <si>
    <t>Sundbury, Mark</t>
  </si>
  <si>
    <t>Jones, Thomas</t>
  </si>
  <si>
    <t>Thompson, Jason</t>
  </si>
  <si>
    <t>Wiley, Ryan</t>
  </si>
  <si>
    <t>Jinks, Brandon</t>
  </si>
  <si>
    <t>Petty, Brooks</t>
  </si>
  <si>
    <t>Zabriskie, Daniel</t>
  </si>
  <si>
    <t>Wolf, Scott</t>
  </si>
  <si>
    <t>Shannon, Chris</t>
  </si>
  <si>
    <t>Coulter, Levi</t>
  </si>
  <si>
    <t>Smith, Jeff</t>
  </si>
  <si>
    <t>Lonsberry, John</t>
  </si>
  <si>
    <t>Hruska, Nathan</t>
  </si>
  <si>
    <t>Winston, Trevor</t>
  </si>
  <si>
    <t>Ford, Derrick</t>
  </si>
  <si>
    <t>Glasionov, Mikhail</t>
  </si>
  <si>
    <t>Lessard, Scott</t>
  </si>
  <si>
    <t>Edwards, Christopher</t>
  </si>
  <si>
    <t>Woolf, Rusty</t>
  </si>
  <si>
    <t>Johnson, Brian</t>
  </si>
  <si>
    <t>McCoy, Daryk</t>
  </si>
  <si>
    <t>Latshaw, Bob</t>
  </si>
  <si>
    <t>Courter, Jeff</t>
  </si>
  <si>
    <t>Stump, William</t>
  </si>
  <si>
    <t>Welker, Michael</t>
  </si>
  <si>
    <t>Hooper, Lance</t>
  </si>
  <si>
    <t>Rohde, Asher</t>
  </si>
  <si>
    <t>Rosbotham, Reilly</t>
  </si>
  <si>
    <t>Rohde, Aiden</t>
  </si>
  <si>
    <t>White, Jim</t>
  </si>
  <si>
    <t>Takahashi, Allen</t>
  </si>
  <si>
    <t>Spencer, Aaron</t>
  </si>
  <si>
    <t>Lunenschloss, Mike</t>
  </si>
  <si>
    <t>Whistler, Jack</t>
  </si>
  <si>
    <t>Reynolds, Tim</t>
  </si>
  <si>
    <t>Shea, Devlin</t>
  </si>
  <si>
    <t>Cowan, Sam</t>
  </si>
  <si>
    <t>Lovaas, Brian</t>
  </si>
  <si>
    <t>Miller, Kevin</t>
  </si>
  <si>
    <t>Heaton, Tyrell</t>
  </si>
  <si>
    <t>DC</t>
  </si>
  <si>
    <t>Schultz, Derrek</t>
  </si>
  <si>
    <t>Wing, Bryce</t>
  </si>
  <si>
    <t>Harmeyer, Bill</t>
  </si>
  <si>
    <t>Hayden, Kjelleren</t>
  </si>
  <si>
    <t>Sheinfield, Parker</t>
  </si>
  <si>
    <t>Degen, Brennan</t>
  </si>
  <si>
    <t>Meier, Ian</t>
  </si>
  <si>
    <t>Walker, Ryley</t>
  </si>
  <si>
    <t>McGovern, Alec</t>
  </si>
  <si>
    <t>Moore, Daniel</t>
  </si>
  <si>
    <t>Duling, Alec</t>
  </si>
  <si>
    <t>Kavanaugh, Mike</t>
  </si>
  <si>
    <t>Charron, Paul</t>
  </si>
  <si>
    <t>Witmer, John</t>
  </si>
  <si>
    <t>Kiralis, Jeff</t>
  </si>
  <si>
    <t>Harmeyer, Henry</t>
  </si>
  <si>
    <t>Voyer, Travis</t>
  </si>
  <si>
    <t>Hoffman, Harry</t>
  </si>
  <si>
    <t>Parker, Francis</t>
  </si>
  <si>
    <t>Reynolds, Robert</t>
  </si>
  <si>
    <t>Schere, Steve</t>
  </si>
  <si>
    <t>Kuzzy, Garrot</t>
  </si>
  <si>
    <t>Swain, John</t>
  </si>
  <si>
    <t>Pengelly, Evan</t>
  </si>
  <si>
    <t>Liebsch, Matt</t>
  </si>
  <si>
    <t>Ingdal, Johnny</t>
  </si>
  <si>
    <t>Claas, Marc</t>
  </si>
  <si>
    <t>Pauley, Brian</t>
  </si>
  <si>
    <t>Zeigle, Alex</t>
  </si>
  <si>
    <t>Proell, Nick</t>
  </si>
  <si>
    <t>Fairbanks, Ethan</t>
  </si>
  <si>
    <t xml:space="preserve"> MN </t>
  </si>
  <si>
    <t>Ohman, Ben</t>
  </si>
  <si>
    <t>Spencer, Carson</t>
  </si>
  <si>
    <t>Vignaroli, Taylor</t>
  </si>
  <si>
    <t>Sample</t>
  </si>
  <si>
    <t>Frey, Stephen</t>
  </si>
  <si>
    <t>Ott, Abe</t>
  </si>
  <si>
    <t>Szczygiel, Jim</t>
  </si>
  <si>
    <t>Harrison, Scott</t>
  </si>
  <si>
    <t>Greenhill, Josh</t>
  </si>
  <si>
    <t>Goff, Alex</t>
  </si>
  <si>
    <t>Prince, Jake</t>
  </si>
  <si>
    <t>Merhar, Charles</t>
  </si>
  <si>
    <t>Jacobs, Chester</t>
  </si>
  <si>
    <t>Dalberg, Jacob</t>
  </si>
  <si>
    <t>Wilkens, Andy</t>
  </si>
  <si>
    <t>Schafer, Jon</t>
  </si>
  <si>
    <t>Wagner, Greg</t>
  </si>
  <si>
    <t>Diehl, Douglas</t>
  </si>
  <si>
    <t>Senchea, Ion</t>
  </si>
  <si>
    <t>Thompson, Dale</t>
  </si>
  <si>
    <t>Yetter, Andrew</t>
  </si>
  <si>
    <t>Hauge, Zachary</t>
  </si>
  <si>
    <t>Hesser, Mark</t>
  </si>
  <si>
    <t>Smith, Andrew</t>
  </si>
  <si>
    <t>Hahn, Chester</t>
  </si>
  <si>
    <t>Tanis, Peter</t>
  </si>
  <si>
    <t>Delucio, Craig</t>
  </si>
  <si>
    <t>Rhoads, Brad</t>
  </si>
  <si>
    <t>McKinney, Matthew</t>
  </si>
  <si>
    <t>Niehart, Justin</t>
  </si>
  <si>
    <t>Stern, Matthew</t>
  </si>
  <si>
    <t>Mauger, Joshua</t>
  </si>
  <si>
    <t>Luke, Jeffrey</t>
  </si>
  <si>
    <t>Schlichting, Kris</t>
  </si>
  <si>
    <t>Jones, Mark</t>
  </si>
  <si>
    <t>Soja, Jeffrey</t>
  </si>
  <si>
    <t>Osgood, David</t>
  </si>
  <si>
    <t>Murphy, Timothy</t>
  </si>
  <si>
    <t>O'Keefe, Bradley</t>
  </si>
  <si>
    <t>Merrens, Sam</t>
  </si>
  <si>
    <t>Pursuit Format</t>
  </si>
  <si>
    <t>Lerner, Andrew</t>
  </si>
  <si>
    <t>Vyssokov, Leonid</t>
  </si>
  <si>
    <t>Viljanen, Patrick</t>
  </si>
  <si>
    <t>Early, Aaron</t>
  </si>
  <si>
    <t>Logenbach, Sam</t>
  </si>
  <si>
    <t>Thompson, Beau</t>
  </si>
  <si>
    <t>Tremble, Eric</t>
  </si>
  <si>
    <t>Bolduc, Andre</t>
  </si>
  <si>
    <t>Burr, Brian</t>
  </si>
  <si>
    <t>Teed, Daniel</t>
  </si>
  <si>
    <t>Logenbach, Ben</t>
  </si>
  <si>
    <t>Heroux, Daniel</t>
  </si>
  <si>
    <t>Wood, Jim</t>
  </si>
  <si>
    <t>Greer, Jonathan</t>
  </si>
  <si>
    <t>Fiddler, John</t>
  </si>
  <si>
    <t>Kamila, Eric</t>
  </si>
  <si>
    <t>Whisler, Jack</t>
  </si>
  <si>
    <t>Jaquish, Matthew</t>
  </si>
  <si>
    <t>Magee, David</t>
  </si>
  <si>
    <t>Logenbach, Kurt</t>
  </si>
  <si>
    <t>Halvorsen, Hans</t>
  </si>
  <si>
    <t>Kamansky, Mike</t>
  </si>
  <si>
    <t>Henderson, Andrew</t>
  </si>
  <si>
    <t>Kurtz, John</t>
  </si>
  <si>
    <t>Mech, Ken</t>
  </si>
  <si>
    <t>Harrison, Matthew</t>
  </si>
  <si>
    <t>Killian, Robert</t>
  </si>
  <si>
    <t>Barrow, Joshua</t>
  </si>
  <si>
    <t>Smith, Drew</t>
  </si>
  <si>
    <t>Latham, Ben</t>
  </si>
  <si>
    <t>Kelly, James</t>
  </si>
  <si>
    <t>Donahue, Tyler</t>
  </si>
  <si>
    <t>Manos, Jayme</t>
  </si>
  <si>
    <t>Walsvik, Adam</t>
  </si>
  <si>
    <t>Thiers, William</t>
  </si>
  <si>
    <t>Ogren, Rob</t>
  </si>
  <si>
    <t>Liebner, Andy</t>
  </si>
  <si>
    <t>MI</t>
  </si>
  <si>
    <t>Ellingson, Jakob</t>
  </si>
  <si>
    <t>Harrop, Jake</t>
  </si>
  <si>
    <t>Hardwick, Garret</t>
  </si>
  <si>
    <t>Pascuzzo, Joseph</t>
  </si>
  <si>
    <t>Israel, Luke</t>
  </si>
  <si>
    <t>Kulas, Paul</t>
  </si>
  <si>
    <t>Master Men</t>
  </si>
  <si>
    <t>Stamp, David</t>
  </si>
  <si>
    <t>Garrity, Rob</t>
  </si>
  <si>
    <t>Nuttycombe, Kris</t>
  </si>
  <si>
    <t>Gilbertson, Marc</t>
  </si>
  <si>
    <t>Murphy, Tucker</t>
  </si>
  <si>
    <t>Lustgarten, Ben</t>
  </si>
  <si>
    <t>Delaney, Colin</t>
  </si>
  <si>
    <t>Martell, Larry</t>
  </si>
  <si>
    <t>Messier, Steve</t>
  </si>
  <si>
    <t>Dorak, Pavel</t>
  </si>
  <si>
    <t>Drew, Jim</t>
  </si>
  <si>
    <t>Marshall, Everett</t>
  </si>
  <si>
    <t>Lustgarten, David</t>
  </si>
  <si>
    <t>Hamilton, Henry</t>
  </si>
  <si>
    <t>Dubief, Yves</t>
  </si>
  <si>
    <t>Kluck, Barton</t>
  </si>
  <si>
    <t>Ingebrigtson, Evan</t>
  </si>
  <si>
    <t>Dougherty, Andrew</t>
  </si>
  <si>
    <t>Egeland, Brett</t>
  </si>
  <si>
    <t>Meyerhofer, Abraham</t>
  </si>
  <si>
    <t>Hardwick, Gareth</t>
  </si>
  <si>
    <t>Kacik, John</t>
  </si>
  <si>
    <t>Schultin, Elliot</t>
  </si>
  <si>
    <t>Lipsher, Etienne</t>
  </si>
  <si>
    <t>Brower, Patrick</t>
  </si>
  <si>
    <t>Emelett, Matthew</t>
  </si>
  <si>
    <t>Charbonnier, Robert</t>
  </si>
  <si>
    <t>Mares, Seth</t>
  </si>
  <si>
    <t>Comforti, Michael</t>
  </si>
  <si>
    <t>Sharp, Stephen</t>
  </si>
  <si>
    <t>Martin, Michael</t>
  </si>
  <si>
    <t>Dreiman, Chester</t>
  </si>
  <si>
    <t>King, Marvin</t>
  </si>
  <si>
    <t>Pellish, Charles</t>
  </si>
  <si>
    <t>Hernandez, Enrique</t>
  </si>
  <si>
    <t>McDermott, Dirk</t>
  </si>
  <si>
    <t>Nilsson, Brian</t>
  </si>
  <si>
    <t>Day, Derrick</t>
  </si>
  <si>
    <t>Craven, Lee</t>
  </si>
  <si>
    <t>Lessard, Mike</t>
  </si>
  <si>
    <t>Meland, Robert</t>
  </si>
  <si>
    <t>Rick, Jordan</t>
  </si>
  <si>
    <t>Wells, Oliver</t>
  </si>
  <si>
    <t>Ksepka, Jonathan</t>
  </si>
  <si>
    <t>Still, Wayne</t>
  </si>
  <si>
    <t>Edwards, Chris</t>
  </si>
  <si>
    <t>Young, Chris</t>
  </si>
  <si>
    <t>Mendoza, Armando</t>
  </si>
  <si>
    <t>Derauf, Ian</t>
  </si>
  <si>
    <t>DEVEAU, Sean</t>
  </si>
  <si>
    <t>MACK, David</t>
  </si>
  <si>
    <t>DUEKER, Michael</t>
  </si>
  <si>
    <t>WILLIAMS, Kelly</t>
  </si>
  <si>
    <t>TROJANOWSKI, Drew</t>
  </si>
  <si>
    <t>GREY, Clark</t>
  </si>
  <si>
    <t>Welch, Chris</t>
  </si>
  <si>
    <t>TUCKER, John</t>
  </si>
  <si>
    <t>PARCELL, Brent</t>
  </si>
  <si>
    <t>Herlihy, Parker</t>
  </si>
  <si>
    <t>Yandow, John</t>
  </si>
  <si>
    <t>Weber, Robert</t>
  </si>
  <si>
    <t>Kulus, Paul</t>
  </si>
  <si>
    <t>Lewanski, Eric</t>
  </si>
  <si>
    <t>Ruhpolding, GER</t>
  </si>
  <si>
    <t>Lake Placid, NY</t>
  </si>
  <si>
    <t>Roberts, David</t>
  </si>
  <si>
    <t>Econ, Gene</t>
  </si>
  <si>
    <t>NEWHOUSE, Kai</t>
  </si>
  <si>
    <t>LINDGREN, Robert</t>
  </si>
  <si>
    <t>PIERCE, John Tom</t>
  </si>
  <si>
    <t>Popilsky, Jason</t>
  </si>
  <si>
    <t xml:space="preserve">Fall  </t>
  </si>
  <si>
    <t>of</t>
  </si>
  <si>
    <t>Race 1</t>
  </si>
  <si>
    <t>Race 2</t>
  </si>
  <si>
    <t>Race 3</t>
  </si>
  <si>
    <t>Race 4</t>
  </si>
  <si>
    <t>Race 5</t>
  </si>
  <si>
    <t>Race 6</t>
  </si>
  <si>
    <t>Race 7</t>
  </si>
  <si>
    <t>Race 8</t>
  </si>
  <si>
    <t>Race 9</t>
  </si>
  <si>
    <t>Race 10</t>
  </si>
  <si>
    <t>Race 11</t>
  </si>
  <si>
    <t>Race 12</t>
  </si>
  <si>
    <t>Race 13</t>
  </si>
  <si>
    <t>Race 14</t>
  </si>
  <si>
    <t>Race 15</t>
  </si>
  <si>
    <t>Race 16</t>
  </si>
  <si>
    <t>Race 17</t>
  </si>
  <si>
    <t>Race 18</t>
  </si>
  <si>
    <t>Race 19</t>
  </si>
  <si>
    <t>Race 20</t>
  </si>
  <si>
    <t>Race 21</t>
  </si>
  <si>
    <t>Race 22</t>
  </si>
  <si>
    <t>Race 23</t>
  </si>
  <si>
    <t>Race 24</t>
  </si>
  <si>
    <t>Race 25</t>
  </si>
  <si>
    <t>Race 26</t>
  </si>
  <si>
    <t>Race 27</t>
  </si>
  <si>
    <t>Race 28</t>
  </si>
  <si>
    <t>Race 29</t>
  </si>
  <si>
    <t>Race 30</t>
  </si>
  <si>
    <t>Race 31</t>
  </si>
  <si>
    <t>Race 32</t>
  </si>
  <si>
    <t>Race 33</t>
  </si>
  <si>
    <t>Race 34</t>
  </si>
  <si>
    <t>Race 35</t>
  </si>
  <si>
    <t>Race 36</t>
  </si>
  <si>
    <t>Race 37</t>
  </si>
  <si>
    <t>Race 38</t>
  </si>
  <si>
    <t>Race 39</t>
  </si>
  <si>
    <t>Race 40</t>
  </si>
  <si>
    <t>Race 41</t>
  </si>
  <si>
    <t>Race 42</t>
  </si>
  <si>
    <t>Race 43</t>
  </si>
  <si>
    <t>Race 44</t>
  </si>
  <si>
    <t>Race 45</t>
  </si>
  <si>
    <t>Race 46</t>
  </si>
  <si>
    <t>Race 47</t>
  </si>
  <si>
    <t>Race 48</t>
  </si>
  <si>
    <t>Race 49</t>
  </si>
  <si>
    <t>Race 50</t>
  </si>
  <si>
    <t>Race 51</t>
  </si>
  <si>
    <t>Race 52</t>
  </si>
  <si>
    <t>Race 53</t>
  </si>
  <si>
    <t>Race 54</t>
  </si>
  <si>
    <t>Race 55</t>
  </si>
  <si>
    <t>Race 56</t>
  </si>
  <si>
    <t>Race 57</t>
  </si>
  <si>
    <t>Race 58</t>
  </si>
  <si>
    <t>Race 59</t>
  </si>
  <si>
    <t>Race 60</t>
  </si>
  <si>
    <t>Race 61</t>
  </si>
  <si>
    <t>Race 62</t>
  </si>
  <si>
    <t>Race 63</t>
  </si>
  <si>
    <t>Race 64</t>
  </si>
  <si>
    <t>Race 65</t>
  </si>
  <si>
    <t>Race 66</t>
  </si>
  <si>
    <t>Race 67</t>
  </si>
  <si>
    <t>Race 68</t>
  </si>
  <si>
    <t>Race 69</t>
  </si>
  <si>
    <t>Race 70</t>
  </si>
  <si>
    <t>Race 71</t>
  </si>
  <si>
    <t>Race 72</t>
  </si>
  <si>
    <t>Race 73</t>
  </si>
  <si>
    <t>Race 74</t>
  </si>
  <si>
    <t>Race 75</t>
  </si>
  <si>
    <t>Race 76</t>
  </si>
  <si>
    <t>Race 77</t>
  </si>
  <si>
    <t>Race 78</t>
  </si>
  <si>
    <t>Race 79</t>
  </si>
  <si>
    <t>Race 80</t>
  </si>
  <si>
    <t>Race 81</t>
  </si>
  <si>
    <t>Race 82</t>
  </si>
  <si>
    <t>Race 83</t>
  </si>
  <si>
    <t>Race 84</t>
  </si>
  <si>
    <t>Race 85</t>
  </si>
  <si>
    <t>Race 86</t>
  </si>
  <si>
    <t>Race 87</t>
  </si>
  <si>
    <t>Race 88</t>
  </si>
  <si>
    <t>Race 89</t>
  </si>
  <si>
    <t>Race 90</t>
  </si>
  <si>
    <t>Race 91</t>
  </si>
  <si>
    <t>Race 92</t>
  </si>
  <si>
    <t>Race 93</t>
  </si>
  <si>
    <t>Race 94</t>
  </si>
  <si>
    <t>Race 95</t>
  </si>
  <si>
    <t>Race 96</t>
  </si>
  <si>
    <t>Race 97</t>
  </si>
  <si>
    <t>Race 98</t>
  </si>
  <si>
    <t>Race 99</t>
  </si>
  <si>
    <t>Race 100</t>
  </si>
  <si>
    <t>Race 101</t>
  </si>
  <si>
    <t>Race 102</t>
  </si>
  <si>
    <t>Race 103</t>
  </si>
  <si>
    <t>Race 104</t>
  </si>
  <si>
    <t>Race 105</t>
  </si>
  <si>
    <t>Race 106</t>
  </si>
  <si>
    <t>Race 107</t>
  </si>
  <si>
    <t>Race 108</t>
  </si>
  <si>
    <t>Race 109</t>
  </si>
  <si>
    <t>Race 110</t>
  </si>
  <si>
    <t>Raw</t>
  </si>
  <si>
    <t>No. of</t>
  </si>
  <si>
    <t>Race Identifier</t>
  </si>
  <si>
    <t>Race Title</t>
  </si>
  <si>
    <t>as of</t>
  </si>
  <si>
    <t>as</t>
  </si>
  <si>
    <t>Östersund SWE</t>
  </si>
  <si>
    <t>Sheppard, Marc</t>
  </si>
  <si>
    <t>Maors, Paul</t>
  </si>
  <si>
    <t>Pratt, Sam</t>
  </si>
  <si>
    <t>Daley, Greg</t>
  </si>
  <si>
    <t>Jensen, Kris</t>
  </si>
  <si>
    <t>Dadekian, Robert</t>
  </si>
  <si>
    <t>Koziol, Nate</t>
  </si>
  <si>
    <t>Lyapunov, Vladimir</t>
  </si>
  <si>
    <t>Hirasawa, David</t>
  </si>
  <si>
    <t>Rickard, Mason</t>
  </si>
  <si>
    <t>Freeman, Cyrus</t>
  </si>
  <si>
    <t>Frazier, Jim</t>
  </si>
  <si>
    <t>Shaw, Eric</t>
  </si>
  <si>
    <t>Jr Men</t>
  </si>
  <si>
    <t>Vicik, Mark</t>
  </si>
  <si>
    <t>Ferrone, John</t>
  </si>
  <si>
    <t>Renes, Mike</t>
  </si>
  <si>
    <t>Dressler, Bennett</t>
  </si>
  <si>
    <t>Hansen, Zach</t>
  </si>
  <si>
    <t>Johnson, Mitchel</t>
  </si>
  <si>
    <t>Eddington, Rylan</t>
  </si>
  <si>
    <t>Strauch, Ted</t>
  </si>
  <si>
    <t>Smith, Travis</t>
  </si>
  <si>
    <t>Long, Dan</t>
  </si>
  <si>
    <t>Leoni, Paul</t>
  </si>
  <si>
    <t>Paull, Joshua</t>
  </si>
  <si>
    <t>Schnieder, Andrew</t>
  </si>
  <si>
    <t>Walsvig, Adam</t>
  </si>
  <si>
    <t>Crayton, Ramon</t>
  </si>
  <si>
    <t>Rolling, Jason</t>
  </si>
  <si>
    <t>Luby, Donald</t>
  </si>
  <si>
    <t>Niles, Ken</t>
  </si>
  <si>
    <t>Wood, Oliver</t>
  </si>
  <si>
    <t>Eckert, Rik</t>
  </si>
  <si>
    <t>Ruppel, David</t>
  </si>
  <si>
    <t>Curtis, Jeff</t>
  </si>
  <si>
    <t>Leon, Andrew</t>
  </si>
  <si>
    <t>Morken, Daniel</t>
  </si>
  <si>
    <t>Sinnett, Christopher</t>
  </si>
  <si>
    <t>Barber, Austin</t>
  </si>
  <si>
    <t>Gruse, Matthew</t>
  </si>
  <si>
    <t>Ksepka, Jonathon</t>
  </si>
  <si>
    <t>Garrison, Carl</t>
  </si>
  <si>
    <t>Becker, Jared</t>
  </si>
  <si>
    <t>Knapp, George</t>
  </si>
  <si>
    <t>Linton, Todd</t>
  </si>
  <si>
    <t>Iwan, Joseph</t>
  </si>
  <si>
    <t>Gabberich, Gerrit</t>
  </si>
  <si>
    <t>Louma, Dan</t>
  </si>
  <si>
    <t>Kallemeyn, John</t>
  </si>
  <si>
    <t>HALL, Jackson</t>
  </si>
  <si>
    <t>Kontiolahti, FIN</t>
  </si>
  <si>
    <t>Kimm, Ed</t>
  </si>
  <si>
    <t>Robison, Shawn</t>
  </si>
  <si>
    <t>Christiansen, Cameron</t>
  </si>
  <si>
    <t>Zabell, Sam</t>
  </si>
  <si>
    <t>Carroll, Peter</t>
  </si>
  <si>
    <t>Johnson, Cody</t>
  </si>
  <si>
    <t>Knauss, Dan</t>
  </si>
  <si>
    <t>Skoryi, Brent</t>
  </si>
  <si>
    <t>Koff, Matthew</t>
  </si>
  <si>
    <t>Nakada, Tadhg</t>
  </si>
  <si>
    <t>Goldfarb, Alex</t>
  </si>
  <si>
    <t>Kulp, Travis</t>
  </si>
  <si>
    <t>Roe, Kyle</t>
  </si>
  <si>
    <t>Miech, Ken</t>
  </si>
  <si>
    <t xml:space="preserve">Kreitzer, Eric </t>
  </si>
  <si>
    <t>Moxley, Darryl</t>
  </si>
  <si>
    <t>Markert, Daniel</t>
  </si>
  <si>
    <t>Brillhart, Aaron</t>
  </si>
  <si>
    <t>Hobbs, John</t>
  </si>
  <si>
    <t>Wade, Christopher</t>
  </si>
  <si>
    <t>Lewandowski, Gregory</t>
  </si>
  <si>
    <t>Rosholt, Warren</t>
  </si>
  <si>
    <t>Maslanka, Gary</t>
  </si>
  <si>
    <t>Junior/Senior Men</t>
  </si>
  <si>
    <t>Betournay, Scott</t>
  </si>
  <si>
    <t>Valera, John</t>
  </si>
  <si>
    <t>Masters Men</t>
  </si>
  <si>
    <t>Race 111</t>
  </si>
  <si>
    <t>Race 112</t>
  </si>
  <si>
    <t>Race 113</t>
  </si>
  <si>
    <t>Race 114</t>
  </si>
  <si>
    <t>Race 115</t>
  </si>
  <si>
    <t>Race 116</t>
  </si>
  <si>
    <t>Stevens Pass, WA</t>
  </si>
  <si>
    <t>Shestakov, Victor</t>
  </si>
  <si>
    <t>Aunan, Tommy</t>
  </si>
  <si>
    <t>Race 117</t>
  </si>
  <si>
    <t>Race 118</t>
  </si>
  <si>
    <t>Junior</t>
  </si>
  <si>
    <t>Race 119</t>
  </si>
  <si>
    <t>Race 120</t>
  </si>
  <si>
    <t>Larsen, Michael</t>
  </si>
  <si>
    <t>Harper, John</t>
  </si>
  <si>
    <t>Anderson, Pete</t>
  </si>
  <si>
    <t>Clegg, Steve</t>
  </si>
  <si>
    <t>Total</t>
  </si>
  <si>
    <t>Zink, David</t>
  </si>
  <si>
    <t>Cervenka, Vasek</t>
  </si>
  <si>
    <t>Kreitzer, Eric</t>
  </si>
  <si>
    <t>Seiffert, Michael</t>
  </si>
  <si>
    <t>Durtschi, Max</t>
  </si>
  <si>
    <t>Regnier, Philip</t>
  </si>
  <si>
    <t>Jaeger, Matt</t>
  </si>
  <si>
    <t>Schommer, Paul</t>
  </si>
  <si>
    <t>Mt. Itasca, MN</t>
  </si>
  <si>
    <t>Kilby, Alexander</t>
  </si>
  <si>
    <t>Cooper, Travis</t>
  </si>
  <si>
    <t>Wathen, Joe</t>
  </si>
  <si>
    <t>Yarbrough, Carl</t>
  </si>
  <si>
    <t>Howe, Jim</t>
  </si>
  <si>
    <t>Niessner, Steven</t>
  </si>
  <si>
    <t>Skiba, Doug</t>
  </si>
  <si>
    <t>Reyher, Marc</t>
  </si>
  <si>
    <t>Cobb, Tim</t>
  </si>
  <si>
    <t>Dooley, Brian</t>
  </si>
  <si>
    <t>Livingood, Ethan</t>
  </si>
  <si>
    <t>Delaney, Mathieu</t>
  </si>
  <si>
    <t>Paratore, Carlo</t>
  </si>
  <si>
    <t>Devemark, Leif</t>
  </si>
  <si>
    <t>Bang, Jason</t>
  </si>
  <si>
    <t>Harrison, Troy</t>
  </si>
  <si>
    <t>Stapleton, Ryan</t>
  </si>
  <si>
    <t>KY</t>
  </si>
  <si>
    <t>Brown, Craig</t>
  </si>
  <si>
    <t>Plummer, Allen</t>
  </si>
  <si>
    <t>Reid, Thomas</t>
  </si>
  <si>
    <t>Warren, Dan</t>
  </si>
  <si>
    <t>Davies, Thomas</t>
  </si>
  <si>
    <t>Naef, Bob</t>
  </si>
  <si>
    <t>Mehler, Mark</t>
  </si>
  <si>
    <t>Eggert, Chris</t>
  </si>
  <si>
    <t>Borgnes, Erik</t>
  </si>
  <si>
    <t>Brooks, Nathaniel</t>
  </si>
  <si>
    <t>Klein, Cam</t>
  </si>
  <si>
    <t>Goussev, Iouri</t>
  </si>
  <si>
    <t>BRAMMER, Noah</t>
  </si>
  <si>
    <t>Howe, Alexander</t>
  </si>
  <si>
    <t>Pearson, Jacob</t>
  </si>
  <si>
    <t>Hahn, Chip</t>
  </si>
  <si>
    <t>Liberato, William</t>
  </si>
  <si>
    <t>Edwards, Dan</t>
  </si>
  <si>
    <t>Weems, Weyman</t>
  </si>
  <si>
    <t>Bieber, David</t>
  </si>
  <si>
    <t>Hixson, David</t>
  </si>
  <si>
    <t>MACGREGOR, Niall</t>
  </si>
  <si>
    <t>Donoghue, Liam</t>
  </si>
  <si>
    <t>Nielsen, Eli</t>
  </si>
  <si>
    <t>Darrow, Everett</t>
  </si>
  <si>
    <t>Watson, Josh</t>
  </si>
  <si>
    <t>Westervelt, Bjorn</t>
  </si>
  <si>
    <t>Greenberg, Reid</t>
  </si>
  <si>
    <t>Fleshman, James</t>
  </si>
  <si>
    <t>Chimielwicz, Mark</t>
  </si>
  <si>
    <t>Winter, Rob</t>
  </si>
  <si>
    <t>Hanson, Karl</t>
  </si>
  <si>
    <t>Wallhaus, Thomas</t>
  </si>
  <si>
    <t>Pentinmaki, Oliver</t>
  </si>
  <si>
    <t>Toft, Patrick</t>
  </si>
  <si>
    <t>Varland, David</t>
  </si>
  <si>
    <t>Berg, Chris</t>
  </si>
  <si>
    <t>Arber, GER</t>
  </si>
  <si>
    <t>Thiele, Wolf</t>
  </si>
  <si>
    <t>McCandless, Paul</t>
  </si>
  <si>
    <t>Renner, Ken</t>
  </si>
  <si>
    <t>Burns, Ted</t>
  </si>
  <si>
    <t>Geffert, Andrew</t>
  </si>
  <si>
    <t>McConaughy, Michael</t>
  </si>
  <si>
    <t>Moody, Matt</t>
  </si>
  <si>
    <t>Colvard, John</t>
  </si>
  <si>
    <t>Jajkowski, Bryan</t>
  </si>
  <si>
    <t>MOODY, KEITH</t>
  </si>
  <si>
    <t>BUTLER, BRETT</t>
  </si>
  <si>
    <t>QUIROZ, ROBINSON</t>
  </si>
  <si>
    <t>SCHWAB, Mark</t>
  </si>
  <si>
    <t>Youth/Master Men</t>
  </si>
  <si>
    <t>Morrison, Eric</t>
  </si>
  <si>
    <t>Hybertson, Brooks</t>
  </si>
  <si>
    <t>Gazley, Carson</t>
  </si>
  <si>
    <t>Martin, Brett</t>
  </si>
  <si>
    <t>Brown, Jake</t>
  </si>
  <si>
    <t>Burkhart, Nikolas</t>
  </si>
  <si>
    <t>West Yellowstone, MT</t>
  </si>
  <si>
    <t xml:space="preserve">DRESSEL, Nathan </t>
  </si>
  <si>
    <t xml:space="preserve">DELLINGER, Christopher </t>
  </si>
  <si>
    <t xml:space="preserve">AHLBORN, Evan </t>
  </si>
  <si>
    <t xml:space="preserve">FADDIS, Scott </t>
  </si>
  <si>
    <t>Bedard-Parker, Sean</t>
  </si>
  <si>
    <t>Gore, Marcus</t>
  </si>
  <si>
    <t>Wickland, Tristan</t>
  </si>
  <si>
    <t>Halligan, Michael</t>
  </si>
  <si>
    <t>Coughlin, Joshua</t>
  </si>
  <si>
    <t>Buzzell, Stephen</t>
  </si>
  <si>
    <t>SCHOMMER, Paul</t>
  </si>
  <si>
    <t>Oberhof, GER</t>
  </si>
  <si>
    <t>GORMAN, Erik</t>
  </si>
  <si>
    <t>PATIK, Tyler</t>
  </si>
  <si>
    <t>WANGEMAN, Josh</t>
  </si>
  <si>
    <t>THOMPSON, Brendan</t>
  </si>
  <si>
    <t>BESSMAN, Joseph</t>
  </si>
  <si>
    <t>WEDEKIND, Nick</t>
  </si>
  <si>
    <t>CROMWELL, Charles</t>
  </si>
  <si>
    <t>SERGEYEV, David</t>
  </si>
  <si>
    <t>SACK, Cyril</t>
  </si>
  <si>
    <t>SCHAROSCH, Travis</t>
  </si>
  <si>
    <t>BULLOCK, Bailey</t>
  </si>
  <si>
    <t>SOPER, Robert</t>
  </si>
  <si>
    <t>HENSTEIN, Bjorn</t>
  </si>
  <si>
    <t>BALDWIN, Bryan</t>
  </si>
  <si>
    <t>IMERAJ, Joshua</t>
  </si>
  <si>
    <t>Brewer, Patrick</t>
  </si>
  <si>
    <t>Butler, Brian</t>
  </si>
  <si>
    <t>Vickers, John</t>
  </si>
  <si>
    <t>Blomquist, Robert</t>
  </si>
  <si>
    <t>Eberg, Chris</t>
  </si>
  <si>
    <t>Kettering, Brad</t>
  </si>
  <si>
    <t>Thompson, Matt</t>
  </si>
  <si>
    <t>Koshnick, Nick</t>
  </si>
  <si>
    <t>Osceola, NY</t>
  </si>
  <si>
    <t>Pattison, Greg</t>
  </si>
  <si>
    <t>BEESON, James</t>
  </si>
  <si>
    <t>Middleton, WI</t>
  </si>
  <si>
    <t>Cavanaugh, Mike</t>
  </si>
  <si>
    <t>Lutchansky, Adam</t>
  </si>
  <si>
    <t>Tribus, Cliff</t>
  </si>
  <si>
    <t>Osrblie, SVK</t>
  </si>
  <si>
    <t>Hochflizen, AUT</t>
  </si>
  <si>
    <t xml:space="preserve">Jericho, VT </t>
  </si>
  <si>
    <t>Picard, Matthew</t>
  </si>
  <si>
    <t>Burmeister, Erik</t>
  </si>
  <si>
    <t>Vile, Peter</t>
  </si>
  <si>
    <t>Mcdougal, Josh</t>
  </si>
  <si>
    <t>Campbell, Joel</t>
  </si>
  <si>
    <t>Baker, Scott</t>
  </si>
  <si>
    <t>Teed, Dan</t>
  </si>
  <si>
    <t>Youth Men</t>
  </si>
  <si>
    <t>Cheney-Seymour, Lauchlie</t>
  </si>
  <si>
    <t>Philipson, Erik</t>
  </si>
  <si>
    <t>Alarcon, Carlos</t>
  </si>
  <si>
    <t>Hurst, Christopher</t>
  </si>
  <si>
    <t>Steffanoff, Jim</t>
  </si>
  <si>
    <t xml:space="preserve">Pursuit </t>
  </si>
  <si>
    <t>Tiffany, Andre</t>
  </si>
  <si>
    <t>Litt, Guy</t>
  </si>
  <si>
    <t>MacGregor, Niall</t>
  </si>
  <si>
    <t>Bullock, Bailey</t>
  </si>
  <si>
    <t>Schlough, Tim</t>
  </si>
  <si>
    <t>Gervase, Matthew</t>
  </si>
  <si>
    <t>Schiavone, Dominic</t>
  </si>
  <si>
    <t>Lescher, Jacob</t>
  </si>
  <si>
    <t>Houston, Michael</t>
  </si>
  <si>
    <t>Theisen, Jordan</t>
  </si>
  <si>
    <t>Robinson, Gerald</t>
  </si>
  <si>
    <t>Drayna, Zach</t>
  </si>
  <si>
    <t>Simpson, Mitch</t>
  </si>
  <si>
    <t>Dellinger, Chris</t>
  </si>
  <si>
    <t>Anger, Troy</t>
  </si>
  <si>
    <t>Butler, Brett</t>
  </si>
  <si>
    <t>Keener, McKinley</t>
  </si>
  <si>
    <t>Glavin, Timothy</t>
  </si>
  <si>
    <t>Jacobs, Tyler</t>
  </si>
  <si>
    <t>Greg Swanson</t>
  </si>
  <si>
    <t xml:space="preserve">Zabriskie, Daniel </t>
  </si>
  <si>
    <t>Androski, Jack</t>
  </si>
  <si>
    <t>Sergeyev, David</t>
  </si>
  <si>
    <t>Welch, Justin</t>
  </si>
  <si>
    <t>Bottom, Joshua</t>
  </si>
  <si>
    <t>Moryl, Joseph</t>
  </si>
  <si>
    <t>Shackelford, Eric</t>
  </si>
  <si>
    <t>Baker, Robert</t>
  </si>
  <si>
    <t>Measley, Hans</t>
  </si>
  <si>
    <t>Daugherty, Joshua</t>
  </si>
  <si>
    <t>Bieri, Scott</t>
  </si>
  <si>
    <t xml:space="preserve">WY </t>
  </si>
  <si>
    <t xml:space="preserve">MO </t>
  </si>
  <si>
    <t xml:space="preserve">IN </t>
  </si>
  <si>
    <t>Kontiolahti</t>
  </si>
  <si>
    <t>Oslo, NOR</t>
  </si>
  <si>
    <t>Premoze, Simon</t>
  </si>
  <si>
    <t>NACH</t>
  </si>
  <si>
    <t>Myers, Jason</t>
  </si>
  <si>
    <t>Fink, Don</t>
  </si>
  <si>
    <t>Youth/Masters Men</t>
  </si>
  <si>
    <t>FLETCHER, Chris</t>
  </si>
  <si>
    <t>MONIE, Paul</t>
  </si>
  <si>
    <t>HOEGER, Cory</t>
  </si>
  <si>
    <t>MOHAMED, Tod</t>
  </si>
  <si>
    <t>TIFFANY, Andre</t>
  </si>
  <si>
    <t>NOWLIS, Matthew</t>
  </si>
  <si>
    <t>WAICHLER, Scott</t>
  </si>
  <si>
    <t>ANANA, Dave</t>
  </si>
  <si>
    <t>MCCLUNG, Richard</t>
  </si>
  <si>
    <t>STEFANOFF, Jim</t>
  </si>
  <si>
    <t>PALM, Brian</t>
  </si>
  <si>
    <t>TURNER, Mark</t>
  </si>
  <si>
    <t>BROUSSARD, Eric</t>
  </si>
  <si>
    <t>DAVIES, Thomas</t>
  </si>
  <si>
    <t>WOO, Victor</t>
  </si>
  <si>
    <t>LAW, Peter</t>
  </si>
  <si>
    <t>SLYFIELD, Jim</t>
  </si>
  <si>
    <t>COLVARD, John</t>
  </si>
  <si>
    <t>Law, Peter</t>
  </si>
  <si>
    <t>2017 Pts</t>
  </si>
  <si>
    <t>HURST, Christopher</t>
  </si>
  <si>
    <t>BRAUN, Anthony</t>
  </si>
  <si>
    <t>DRESSLER, Bennett</t>
  </si>
  <si>
    <t>BRUESKE, Chris</t>
  </si>
  <si>
    <t>ECON, Gene</t>
  </si>
  <si>
    <t>WHISLER, Jack</t>
  </si>
  <si>
    <t>Truckee, CA</t>
  </si>
  <si>
    <t>Daniel</t>
  </si>
  <si>
    <t>Steffen</t>
  </si>
  <si>
    <t>Becker, Michael</t>
  </si>
  <si>
    <t>Cuneo, Steffen</t>
  </si>
  <si>
    <t>1</t>
  </si>
  <si>
    <t>3</t>
  </si>
  <si>
    <t>4</t>
  </si>
  <si>
    <t>5</t>
  </si>
  <si>
    <t>6</t>
  </si>
  <si>
    <t>8</t>
  </si>
  <si>
    <t>10</t>
  </si>
  <si>
    <t>13</t>
  </si>
  <si>
    <t>14</t>
  </si>
  <si>
    <t>16</t>
  </si>
  <si>
    <t>17</t>
  </si>
  <si>
    <t>19</t>
  </si>
  <si>
    <t>20</t>
  </si>
  <si>
    <t>21</t>
  </si>
  <si>
    <t>Spencer</t>
  </si>
  <si>
    <t>Gordon</t>
  </si>
  <si>
    <t>Matt</t>
  </si>
  <si>
    <t>Reid, Spencer</t>
  </si>
  <si>
    <t>Richardson, Gordon</t>
  </si>
  <si>
    <t>Otto, Matt</t>
  </si>
  <si>
    <t>2017</t>
  </si>
  <si>
    <t>Jan 18</t>
  </si>
  <si>
    <t>Feb 18</t>
  </si>
  <si>
    <t>WYSEF</t>
  </si>
  <si>
    <t xml:space="preserve">JOHANSSON, Hanz </t>
  </si>
  <si>
    <t xml:space="preserve">ROBISON, Shawn </t>
  </si>
  <si>
    <t>Men/Master Men</t>
  </si>
  <si>
    <t xml:space="preserve">ECKERT, Rik </t>
  </si>
  <si>
    <t xml:space="preserve">GERVASE, Matthew </t>
  </si>
  <si>
    <t xml:space="preserve">BONACCI, Tom </t>
  </si>
  <si>
    <t xml:space="preserve">BARRICK, John </t>
  </si>
  <si>
    <t xml:space="preserve">WAICHLER, Scott </t>
  </si>
  <si>
    <t xml:space="preserve">SCHAFER, Jon </t>
  </si>
  <si>
    <t xml:space="preserve">EDWARDS, Matt </t>
  </si>
  <si>
    <t xml:space="preserve">PETERSON, Paul </t>
  </si>
  <si>
    <t xml:space="preserve">BLANKE, Shawn </t>
  </si>
  <si>
    <t xml:space="preserve">MCBRIDE, Russell </t>
  </si>
  <si>
    <t xml:space="preserve">JESSEN, David </t>
  </si>
  <si>
    <t>2018 USBA Points</t>
  </si>
  <si>
    <t>2018 USBA Points - Final Update</t>
  </si>
  <si>
    <t>2018 USBA Points - January Update</t>
  </si>
  <si>
    <t>2018 USBA Points -February Update</t>
  </si>
  <si>
    <t>WC 1</t>
  </si>
  <si>
    <t>WC 2</t>
  </si>
  <si>
    <t>Altius Cup 1</t>
  </si>
  <si>
    <t>Lupo, Curtis</t>
  </si>
  <si>
    <t>LUPO, Curtis</t>
  </si>
  <si>
    <t>WC 3</t>
  </si>
  <si>
    <t>IBU Cup Trial 1</t>
  </si>
  <si>
    <t>Mt. Itasca</t>
  </si>
  <si>
    <t>Johnson, Patrick</t>
  </si>
  <si>
    <t>Le Grand Bornand, FRA</t>
  </si>
  <si>
    <t>IBU Cup Trial 2</t>
  </si>
  <si>
    <t>Mt Itasca, MN</t>
  </si>
  <si>
    <t>Rogers, Phil</t>
  </si>
  <si>
    <t>IBU Cup Trial 3</t>
  </si>
  <si>
    <t xml:space="preserve">Beckrich, Garrett </t>
  </si>
  <si>
    <t>MN Cup 1</t>
  </si>
  <si>
    <t>Stertz, Sam</t>
  </si>
  <si>
    <t>Rogers, Philip</t>
  </si>
  <si>
    <t>Cervenka, Matej</t>
  </si>
  <si>
    <t>Pearson, Jake</t>
  </si>
  <si>
    <t>Cunningham, Timothy</t>
  </si>
  <si>
    <t>Germain, Maxime</t>
  </si>
  <si>
    <t>Borkhart, Nikolas</t>
  </si>
  <si>
    <t>Bonacci, Vincent</t>
  </si>
  <si>
    <t>Brower, Sebastian</t>
  </si>
  <si>
    <t>Renner, Torsten</t>
  </si>
  <si>
    <t>Hoefler, Harrison</t>
  </si>
  <si>
    <t>Gitchos, Lazo</t>
  </si>
  <si>
    <t>Ulbrich, Hayden</t>
  </si>
  <si>
    <t>Novak, Ian</t>
  </si>
  <si>
    <t>Bierma, Joshua</t>
  </si>
  <si>
    <t>Michaelson, Ben</t>
  </si>
  <si>
    <t>Garlick, Will</t>
  </si>
  <si>
    <t>Jr Trials 1</t>
  </si>
  <si>
    <t>Jr Trials 2</t>
  </si>
  <si>
    <t>WC 4</t>
  </si>
  <si>
    <t>IBU Cup 4</t>
  </si>
  <si>
    <t>Orsblie, SVK</t>
  </si>
  <si>
    <t>WI 1</t>
  </si>
  <si>
    <t>Owen, Tom</t>
  </si>
  <si>
    <t>Jessen, David</t>
  </si>
  <si>
    <t>Buchanan, Kayle</t>
  </si>
  <si>
    <t xml:space="preserve">Schafer, Jon </t>
  </si>
  <si>
    <t xml:space="preserve">Eckert, Rik </t>
  </si>
  <si>
    <t xml:space="preserve">Gervase, Matthew </t>
  </si>
  <si>
    <t>WC 5</t>
  </si>
  <si>
    <t>IBU Cup 5</t>
  </si>
  <si>
    <t>CO 1</t>
  </si>
  <si>
    <t>Snow Mtn, CO</t>
  </si>
  <si>
    <t>Quinter, Geoff</t>
  </si>
  <si>
    <t>Kirkegaard, Lew</t>
  </si>
  <si>
    <t>Dempsey, Pete</t>
  </si>
  <si>
    <t>Archer, Phillip</t>
  </si>
  <si>
    <t>Varela, Alfredo</t>
  </si>
  <si>
    <t>WC 6</t>
  </si>
  <si>
    <t>Antholz, ITA</t>
  </si>
  <si>
    <t>NYSSRA 1</t>
  </si>
  <si>
    <t>Jansen, Patrick</t>
  </si>
  <si>
    <t>NYSSRA 2</t>
  </si>
  <si>
    <t>Old Forge, NY</t>
  </si>
  <si>
    <t>CO 2</t>
  </si>
  <si>
    <t>Conard, Jon</t>
  </si>
  <si>
    <t>Snow Mtn Ranch, CO</t>
  </si>
  <si>
    <t>SHESTAKOV, Victor</t>
  </si>
  <si>
    <t>PULEO, Vincent</t>
  </si>
  <si>
    <t>WA 1</t>
  </si>
  <si>
    <t>SPNC, WA</t>
  </si>
  <si>
    <t>RENFROW, Dan</t>
  </si>
  <si>
    <t>WHISLER, John</t>
  </si>
  <si>
    <t>ECON, Eugene</t>
  </si>
  <si>
    <t>Stefanoff, Jim</t>
  </si>
  <si>
    <t>WA 2</t>
  </si>
  <si>
    <t>BARROW, Joshua</t>
  </si>
  <si>
    <t>KOLYVEK, Laszlo</t>
  </si>
  <si>
    <t>Kolyvek, Laszlo</t>
  </si>
  <si>
    <t>WI 2</t>
  </si>
  <si>
    <t>Guthrie, Hanne</t>
  </si>
  <si>
    <t>Grossklaus, Nathan</t>
  </si>
  <si>
    <t>Kisseloff, Richard</t>
  </si>
  <si>
    <t>Grossklaus, Mark</t>
  </si>
  <si>
    <t>Pattison, Gregg</t>
  </si>
  <si>
    <t>Grady, Michael</t>
  </si>
  <si>
    <t>Oliver, Ryan</t>
  </si>
  <si>
    <t>ECH 1</t>
  </si>
  <si>
    <t>Ridnaun, ITA</t>
  </si>
  <si>
    <t>ECH 2</t>
  </si>
  <si>
    <t>Saratoga, NY</t>
  </si>
  <si>
    <t>Connor, Jack</t>
  </si>
  <si>
    <t>NYSSRA 3</t>
  </si>
  <si>
    <t>EABC 1</t>
  </si>
  <si>
    <t>Flanigan, James</t>
  </si>
  <si>
    <t>Ledger, Van</t>
  </si>
  <si>
    <t>Martell, Charles</t>
  </si>
  <si>
    <t>Feliciano, Daniel</t>
  </si>
  <si>
    <t>Asselin, Patrick</t>
  </si>
  <si>
    <t>Ketterling, Brad</t>
  </si>
  <si>
    <t>EABC 3</t>
  </si>
  <si>
    <t>Thomson, Matt</t>
  </si>
  <si>
    <t>Hibshman, Joel</t>
  </si>
  <si>
    <t>Calhoun, Brian</t>
  </si>
  <si>
    <t>EABC 4</t>
  </si>
  <si>
    <t>NYSSRA 4</t>
  </si>
  <si>
    <t xml:space="preserve">Saratoga NY </t>
  </si>
  <si>
    <t>NGB R1</t>
  </si>
  <si>
    <t>NGR R2</t>
  </si>
  <si>
    <t>Roberts, Wynn</t>
  </si>
  <si>
    <t>Collinsworth, Mitch</t>
  </si>
  <si>
    <t>Chimielewicz, Mark</t>
  </si>
  <si>
    <t>Simpson, Mitchell</t>
  </si>
  <si>
    <t>Gruse, Matt</t>
  </si>
  <si>
    <t>Barthen, William</t>
  </si>
  <si>
    <t>Studer, Harvey</t>
  </si>
  <si>
    <t>Weaver, James</t>
  </si>
  <si>
    <t>Lindberg, Derek</t>
  </si>
  <si>
    <t>Zupko, Hunter</t>
  </si>
  <si>
    <t>Lau, Aidan</t>
  </si>
  <si>
    <t>Neihart, Justin</t>
  </si>
  <si>
    <t>Wangeman, Josh</t>
  </si>
  <si>
    <t>Plantenberg, Kort</t>
  </si>
  <si>
    <t>Heron, Chad</t>
  </si>
  <si>
    <t>Kirch, Jason</t>
  </si>
  <si>
    <t>Fugate, Christopher</t>
  </si>
  <si>
    <t>Mauger, Josh</t>
  </si>
  <si>
    <t>Delaney, Matt</t>
  </si>
  <si>
    <t>Donnelly, Andrew</t>
  </si>
  <si>
    <t>McInerney, Stephen</t>
  </si>
  <si>
    <t>Shackelford, James</t>
  </si>
  <si>
    <t>Wilson, Stephen</t>
  </si>
  <si>
    <t>Ahlborn, Evan</t>
  </si>
  <si>
    <t>Sebring, Jason</t>
  </si>
  <si>
    <t>Felts, William</t>
  </si>
  <si>
    <t>Androski, John</t>
  </si>
  <si>
    <t>Batt, Ryan</t>
  </si>
  <si>
    <t>Scharosch, Travis</t>
  </si>
  <si>
    <t>Maxey, Mathew</t>
  </si>
  <si>
    <t>Derksen, Frank</t>
  </si>
  <si>
    <t>Renner, Christopher</t>
  </si>
  <si>
    <t>Carey, Sean</t>
  </si>
  <si>
    <t>Smith, Keegan</t>
  </si>
  <si>
    <t>Tran, Owen</t>
  </si>
  <si>
    <t>Garrison, Charles</t>
  </si>
  <si>
    <t>Bullock,Bailey</t>
  </si>
  <si>
    <t>Walker, Tucker</t>
  </si>
  <si>
    <t>Tourville, Matthew</t>
  </si>
  <si>
    <t>Kalarchik, Jason</t>
  </si>
  <si>
    <t>McDougal, Josh</t>
  </si>
  <si>
    <t>ESWG</t>
  </si>
  <si>
    <t>EABC 5</t>
  </si>
  <si>
    <t>Rusk, Ian</t>
  </si>
  <si>
    <t>Srdagna, Sal</t>
  </si>
  <si>
    <t>Ellliot, Tad</t>
  </si>
  <si>
    <t>Lustgarten, Benjamin</t>
  </si>
  <si>
    <t xml:space="preserve">NorAm 5 </t>
  </si>
  <si>
    <t xml:space="preserve">OWG </t>
  </si>
  <si>
    <t>Pyeongchang, KOR</t>
  </si>
  <si>
    <t>NorAm 5</t>
  </si>
  <si>
    <t>OWG</t>
  </si>
  <si>
    <t>Vrakas, Andrew</t>
  </si>
  <si>
    <t>Oconnell, William</t>
  </si>
  <si>
    <t>Davenport, Thomas</t>
  </si>
  <si>
    <t>WI 3</t>
  </si>
  <si>
    <t>Eagle, WI</t>
  </si>
  <si>
    <t>Goussev, Maxim</t>
  </si>
  <si>
    <t>OConnell, William</t>
  </si>
  <si>
    <t>Pyeonchang, KOR</t>
  </si>
  <si>
    <t>NorAm 6</t>
  </si>
  <si>
    <t>Cheney-Seymour, Lauchie</t>
  </si>
  <si>
    <t>Samburg, Tayler</t>
  </si>
  <si>
    <t>WI 5</t>
  </si>
  <si>
    <t>Little Suamico, WI</t>
  </si>
  <si>
    <t>Torresani, Mark</t>
  </si>
  <si>
    <t>Stogin, William</t>
  </si>
  <si>
    <t>Popkey, Aaron</t>
  </si>
  <si>
    <t>Ardagna, Sal</t>
  </si>
  <si>
    <t>EABC 6</t>
  </si>
  <si>
    <t>Despers, Thomas</t>
  </si>
  <si>
    <t>Peterson, Wayne</t>
  </si>
  <si>
    <t>NYSSRA</t>
  </si>
  <si>
    <t>CO Champs</t>
  </si>
  <si>
    <t>Snow Mtn. CO</t>
  </si>
  <si>
    <t>Morgan, Nathan</t>
  </si>
  <si>
    <t>Young, Matt</t>
  </si>
  <si>
    <t>Swartz, Scott</t>
  </si>
  <si>
    <t>Hudon, Andrew</t>
  </si>
  <si>
    <t>Wilkinson, Travis</t>
  </si>
  <si>
    <t>Zimmerman, Rick</t>
  </si>
  <si>
    <t>Anderson, Jeff</t>
  </si>
  <si>
    <t>Garry, Sam</t>
  </si>
  <si>
    <t>Pearson, Seth</t>
  </si>
  <si>
    <t>Johnson, Dan</t>
  </si>
  <si>
    <t>Whitesel, Bruce</t>
  </si>
  <si>
    <t>Johnston, Brian</t>
  </si>
  <si>
    <t>WJYCH 1</t>
  </si>
  <si>
    <t>Otpaa, EST</t>
  </si>
  <si>
    <t>Jr Cup 3</t>
  </si>
  <si>
    <t>Nove Mesto, CZE</t>
  </si>
  <si>
    <t>Eur Jr Champ</t>
  </si>
  <si>
    <t>Pokljuka, SLO</t>
  </si>
  <si>
    <t>Otepaa, EST</t>
  </si>
  <si>
    <t>WA 3</t>
  </si>
  <si>
    <t>Evans, Michael</t>
  </si>
  <si>
    <t>Monie, Paul</t>
  </si>
  <si>
    <t>Renfrow, Dan</t>
  </si>
  <si>
    <t>Econ, Eugene</t>
  </si>
  <si>
    <t>WJYCH 2</t>
  </si>
  <si>
    <t>WJYCH 3</t>
  </si>
  <si>
    <t>WI 6</t>
  </si>
  <si>
    <t>Meingast, Wolfram</t>
  </si>
  <si>
    <t>Steinle, Dick</t>
  </si>
  <si>
    <t>NG Champ</t>
  </si>
  <si>
    <t>Soldier Hollow, UT</t>
  </si>
  <si>
    <t>COOPER, TRAVIS</t>
  </si>
  <si>
    <t>DALBERG, JACOB</t>
  </si>
  <si>
    <t>ROSHOLT, WARREN</t>
  </si>
  <si>
    <t>TEELA, JEREMY</t>
  </si>
  <si>
    <t>ZUPKO, HUNTER</t>
  </si>
  <si>
    <t>NAKADA, TADHG</t>
  </si>
  <si>
    <t>LAU, AIDAN</t>
  </si>
  <si>
    <t>DELLINGER, CHRIS</t>
  </si>
  <si>
    <t>BUCHANAN, KAYLE</t>
  </si>
  <si>
    <t>PLANTENBERG, KORT</t>
  </si>
  <si>
    <t>BLACK, DALE</t>
  </si>
  <si>
    <t>ROE, KYLE</t>
  </si>
  <si>
    <t>PICARD, MATTHEW</t>
  </si>
  <si>
    <t>CHARBONNIER, ROBERT</t>
  </si>
  <si>
    <t>MCDOUGAL, JOSH</t>
  </si>
  <si>
    <t>NEIHART, JUSTIN</t>
  </si>
  <si>
    <t>BECKER, JARED</t>
  </si>
  <si>
    <t>YETTER, ANDREW</t>
  </si>
  <si>
    <t>BULLOCK, BAILEY</t>
  </si>
  <si>
    <t>HOBBS, JOHN</t>
  </si>
  <si>
    <t>DELANEY, MATT</t>
  </si>
  <si>
    <t>BARTMAN, KYLE</t>
  </si>
  <si>
    <t>BATT, RYAN</t>
  </si>
  <si>
    <t>KELLY, JAMES</t>
  </si>
  <si>
    <t>MCINERNEY, STEPHEN</t>
  </si>
  <si>
    <t>MEASLEY, HANS</t>
  </si>
  <si>
    <t>JACOBS, TYLER</t>
  </si>
  <si>
    <t>VARELA, ALFREDO</t>
  </si>
  <si>
    <t>FELTS, WILLIAM</t>
  </si>
  <si>
    <t>SERGEYEV, DAVID</t>
  </si>
  <si>
    <t>DAUGHERTY, JOSH</t>
  </si>
  <si>
    <t>RENNER, CHRISTOPHER</t>
  </si>
  <si>
    <t>DERKSEN, FRANK</t>
  </si>
  <si>
    <t>MORRISON, TOBY</t>
  </si>
  <si>
    <t>SMITH, KEEGAN</t>
  </si>
  <si>
    <t>CAMPBELL, JOEL RAY</t>
  </si>
  <si>
    <t>BOTTOM, JOSHUA</t>
  </si>
  <si>
    <t>DONNELLY, ANDREW</t>
  </si>
  <si>
    <t>FUGATE, CHRISTOPHER</t>
  </si>
  <si>
    <t>BRUNICK, KEVIN</t>
  </si>
  <si>
    <t>DOUGLAS, ROBERT</t>
  </si>
  <si>
    <t>LINDBERG, DEREK</t>
  </si>
  <si>
    <t>MORKEN, DANIEL</t>
  </si>
  <si>
    <t>PETERSON, PAUL</t>
  </si>
  <si>
    <t>GANGI, FRANK</t>
  </si>
  <si>
    <t>KREITZER, ERIC</t>
  </si>
  <si>
    <t>BLANKE, SHAWN</t>
  </si>
  <si>
    <t>HAHN, CHIP</t>
  </si>
  <si>
    <t>KULP, TRAVIS</t>
  </si>
  <si>
    <t>GLAVIN, TIMOTHY</t>
  </si>
  <si>
    <t>SIMPSON, MITCHELL</t>
  </si>
  <si>
    <t>KIRCH, JASON</t>
  </si>
  <si>
    <t>ROBISON, SHAWN</t>
  </si>
  <si>
    <t>AHLBORN, EVAN</t>
  </si>
  <si>
    <t>HERON, CHAD</t>
  </si>
  <si>
    <t>MOXLEY, DARRYL</t>
  </si>
  <si>
    <t>ROBERTS, DAVID</t>
  </si>
  <si>
    <t>KUMLIN, ROCKY</t>
  </si>
  <si>
    <t>GAGNON, TODD</t>
  </si>
  <si>
    <t>AR</t>
  </si>
  <si>
    <t>LEWANDOWSKI, GREGORY</t>
  </si>
  <si>
    <t>WESTOVER, Daniel</t>
  </si>
  <si>
    <t>AMARAL, Joseph</t>
  </si>
  <si>
    <t>IVES, Aaron</t>
  </si>
  <si>
    <t>WORLEY, Thomas</t>
  </si>
  <si>
    <t>SCHWARTZ, Adam</t>
  </si>
  <si>
    <t>BECKER, Jordan</t>
  </si>
  <si>
    <t>MACGREGOR, NIALL</t>
  </si>
  <si>
    <t>DARROW, Everett</t>
  </si>
  <si>
    <t>McKinley, Keener</t>
  </si>
  <si>
    <t>BARROW, JOSHUA</t>
  </si>
  <si>
    <t>Macgregor, Niall</t>
  </si>
  <si>
    <t>Mcinerney, Stephen</t>
  </si>
  <si>
    <t>Bartman, Kyle</t>
  </si>
  <si>
    <t>Jefferies, Phillip</t>
  </si>
  <si>
    <t>Morrison, Toby</t>
  </si>
  <si>
    <t>Schwartz, Adam</t>
  </si>
  <si>
    <t>Brunick, Kevin</t>
  </si>
  <si>
    <t>Ives, Aaron</t>
  </si>
  <si>
    <t>Baker, Michael</t>
  </si>
  <si>
    <t>WC 7</t>
  </si>
  <si>
    <t>WC 8</t>
  </si>
  <si>
    <t>WA 5</t>
  </si>
  <si>
    <t>CARRIHILL, Colin</t>
  </si>
  <si>
    <t>RENES, Mike</t>
  </si>
  <si>
    <t>GUNTER, Ian</t>
  </si>
  <si>
    <t>MACDONALD, Larry</t>
  </si>
  <si>
    <t>SHAW, David</t>
  </si>
  <si>
    <t>WERRONEN, Alton</t>
  </si>
  <si>
    <t>0:33:28</t>
  </si>
  <si>
    <t>0:45:30</t>
  </si>
  <si>
    <t>0:50:40</t>
  </si>
  <si>
    <t>0:30:18</t>
  </si>
  <si>
    <t>0:30:39</t>
  </si>
  <si>
    <t>0:32:28</t>
  </si>
  <si>
    <t>0:37:50</t>
  </si>
  <si>
    <t>0:38:22</t>
  </si>
  <si>
    <t>0:56:26</t>
  </si>
  <si>
    <t>1:00:36</t>
  </si>
  <si>
    <t>EVANS, Michael</t>
  </si>
  <si>
    <t>SCHOLZ, Hanz</t>
  </si>
  <si>
    <t>WA 6</t>
  </si>
  <si>
    <t>WMCh</t>
  </si>
  <si>
    <t>M Men</t>
  </si>
  <si>
    <t>WARWICK, Walter</t>
  </si>
  <si>
    <t>KNAUSS, Dan</t>
  </si>
  <si>
    <t>AUNAN, Tommy</t>
  </si>
  <si>
    <t>Kirkegaard, Lewis</t>
  </si>
  <si>
    <t>Wehner, Tim</t>
  </si>
  <si>
    <t>Johansson, Hanz</t>
  </si>
  <si>
    <t>Coneo, Steffen</t>
  </si>
  <si>
    <t>Natl Chmps</t>
  </si>
  <si>
    <t>Kennedy, Brian</t>
  </si>
  <si>
    <t>CA 1</t>
  </si>
  <si>
    <t>Swan, Michael</t>
  </si>
  <si>
    <t>Clayton, Keith</t>
  </si>
  <si>
    <t>McElroy, Jordan</t>
  </si>
  <si>
    <t>Bordes, Etienne</t>
  </si>
  <si>
    <t>Erst, Raymond</t>
  </si>
  <si>
    <t>Quinlan, Pat</t>
  </si>
  <si>
    <t>Thiele, Wolfram</t>
  </si>
  <si>
    <t>Weiland, Keith</t>
  </si>
  <si>
    <t>CA 2</t>
  </si>
  <si>
    <t>CA 3</t>
  </si>
  <si>
    <t>Eastwood, Dave</t>
  </si>
  <si>
    <t>Sapp, Everett</t>
  </si>
  <si>
    <t>CA 4</t>
  </si>
  <si>
    <t xml:space="preserve">Winter Park, CO </t>
  </si>
  <si>
    <t>2018 Pts</t>
  </si>
  <si>
    <t>CISM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</si>
</sst>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409]d/mmm/yy;@"/>
    <numFmt numFmtId="165" formatCode="dd\-mmm\-yy"/>
    <numFmt numFmtId="166" formatCode="h:mm:ss.0"/>
    <numFmt numFmtId="167" formatCode="0.000"/>
  </numFmts>
  <fonts count="5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ahoma"/>
      <family val="2"/>
    </font>
    <font>
      <sz val="10"/>
      <name val="Tahoma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color indexed="10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Tahoma"/>
      <family val="2"/>
    </font>
    <font>
      <sz val="8"/>
      <name val="Calibri"/>
      <family val="2"/>
    </font>
    <font>
      <sz val="8"/>
      <name val="Tahoma"/>
      <family val="2"/>
    </font>
    <font>
      <u/>
      <sz val="10"/>
      <color theme="10"/>
      <name val="Arial"/>
      <family val="2"/>
    </font>
    <font>
      <sz val="8.5"/>
      <name val="Tahoma"/>
      <family val="2"/>
    </font>
    <font>
      <sz val="9"/>
      <name val="Tahoma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  <scheme val="minor"/>
    </font>
    <font>
      <sz val="9"/>
      <color rgb="FF000000"/>
      <name val="Verdana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5F5F5"/>
        <bgColor indexed="64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/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/>
      <diagonal/>
    </border>
    <border>
      <left/>
      <right style="dotted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thin">
        <color rgb="FFFF0000"/>
      </right>
      <top style="thin">
        <color indexed="64"/>
      </top>
      <bottom style="hair">
        <color indexed="64"/>
      </bottom>
      <diagonal/>
    </border>
    <border>
      <left style="thin">
        <color rgb="FFFF0000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thin">
        <color rgb="FFFF0000"/>
      </right>
      <top style="hair">
        <color indexed="64"/>
      </top>
      <bottom style="hair">
        <color indexed="64"/>
      </bottom>
      <diagonal/>
    </border>
    <border>
      <left style="thin">
        <color rgb="FFFF0000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</borders>
  <cellStyleXfs count="93">
    <xf numFmtId="0" fontId="0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3" fillId="3" borderId="0" applyNumberFormat="0" applyBorder="0" applyAlignment="0" applyProtection="0"/>
    <xf numFmtId="0" fontId="14" fillId="20" borderId="1" applyNumberFormat="0" applyAlignment="0" applyProtection="0"/>
    <xf numFmtId="0" fontId="15" fillId="21" borderId="2" applyNumberFormat="0" applyAlignment="0" applyProtection="0"/>
    <xf numFmtId="0" fontId="16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18" fillId="0" borderId="3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0" applyNumberFormat="0" applyFill="0" applyBorder="0" applyAlignment="0" applyProtection="0"/>
    <xf numFmtId="0" fontId="21" fillId="7" borderId="1" applyNumberFormat="0" applyAlignment="0" applyProtection="0"/>
    <xf numFmtId="0" fontId="22" fillId="0" borderId="6" applyNumberFormat="0" applyFill="0" applyAlignment="0" applyProtection="0"/>
    <xf numFmtId="0" fontId="23" fillId="22" borderId="0" applyNumberFormat="0" applyBorder="0" applyAlignment="0" applyProtection="0"/>
    <xf numFmtId="0" fontId="7" fillId="0" borderId="0"/>
    <xf numFmtId="0" fontId="7" fillId="23" borderId="7" applyNumberFormat="0" applyFont="0" applyAlignment="0" applyProtection="0"/>
    <xf numFmtId="0" fontId="24" fillId="20" borderId="8" applyNumberFormat="0" applyAlignment="0" applyProtection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" fillId="0" borderId="0"/>
    <xf numFmtId="0" fontId="35" fillId="0" borderId="0" applyNumberFormat="0" applyFill="0" applyBorder="0" applyAlignment="0" applyProtection="0"/>
    <xf numFmtId="0" fontId="36" fillId="0" borderId="47" applyNumberFormat="0" applyFill="0" applyAlignment="0" applyProtection="0"/>
    <xf numFmtId="0" fontId="37" fillId="0" borderId="48" applyNumberFormat="0" applyFill="0" applyAlignment="0" applyProtection="0"/>
    <xf numFmtId="0" fontId="38" fillId="0" borderId="49" applyNumberFormat="0" applyFill="0" applyAlignment="0" applyProtection="0"/>
    <xf numFmtId="0" fontId="38" fillId="0" borderId="0" applyNumberFormat="0" applyFill="0" applyBorder="0" applyAlignment="0" applyProtection="0"/>
    <xf numFmtId="0" fontId="39" fillId="26" borderId="0" applyNumberFormat="0" applyBorder="0" applyAlignment="0" applyProtection="0"/>
    <xf numFmtId="0" fontId="40" fillId="27" borderId="0" applyNumberFormat="0" applyBorder="0" applyAlignment="0" applyProtection="0"/>
    <xf numFmtId="0" fontId="41" fillId="28" borderId="0" applyNumberFormat="0" applyBorder="0" applyAlignment="0" applyProtection="0"/>
    <xf numFmtId="0" fontId="42" fillId="29" borderId="50" applyNumberFormat="0" applyAlignment="0" applyProtection="0"/>
    <xf numFmtId="0" fontId="43" fillId="30" borderId="51" applyNumberFormat="0" applyAlignment="0" applyProtection="0"/>
    <xf numFmtId="0" fontId="44" fillId="30" borderId="50" applyNumberFormat="0" applyAlignment="0" applyProtection="0"/>
    <xf numFmtId="0" fontId="45" fillId="0" borderId="52" applyNumberFormat="0" applyFill="0" applyAlignment="0" applyProtection="0"/>
    <xf numFmtId="0" fontId="46" fillId="31" borderId="53" applyNumberFormat="0" applyAlignment="0" applyProtection="0"/>
    <xf numFmtId="0" fontId="47" fillId="0" borderId="0" applyNumberFormat="0" applyFill="0" applyBorder="0" applyAlignment="0" applyProtection="0"/>
    <xf numFmtId="0" fontId="2" fillId="32" borderId="54" applyNumberFormat="0" applyFont="0" applyAlignment="0" applyProtection="0"/>
    <xf numFmtId="0" fontId="48" fillId="0" borderId="0" applyNumberFormat="0" applyFill="0" applyBorder="0" applyAlignment="0" applyProtection="0"/>
    <xf numFmtId="0" fontId="49" fillId="0" borderId="55" applyNumberFormat="0" applyFill="0" applyAlignment="0" applyProtection="0"/>
    <xf numFmtId="0" fontId="50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50" fillId="48" borderId="0" applyNumberFormat="0" applyBorder="0" applyAlignment="0" applyProtection="0"/>
    <xf numFmtId="0" fontId="50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50" fillId="56" borderId="0" applyNumberFormat="0" applyBorder="0" applyAlignment="0" applyProtection="0"/>
    <xf numFmtId="0" fontId="1" fillId="0" borderId="0"/>
    <xf numFmtId="0" fontId="51" fillId="0" borderId="0" applyNumberFormat="0" applyFill="0" applyBorder="0" applyAlignment="0" applyProtection="0"/>
  </cellStyleXfs>
  <cellXfs count="242">
    <xf numFmtId="0" fontId="0" fillId="0" borderId="0" xfId="0"/>
    <xf numFmtId="16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11" xfId="0" applyFont="1" applyFill="1" applyBorder="1"/>
    <xf numFmtId="0" fontId="6" fillId="0" borderId="11" xfId="0" applyFont="1" applyFill="1" applyBorder="1" applyAlignment="1">
      <alignment horizontal="center"/>
    </xf>
    <xf numFmtId="2" fontId="6" fillId="0" borderId="11" xfId="0" applyNumberFormat="1" applyFont="1" applyFill="1" applyBorder="1" applyAlignment="1">
      <alignment horizontal="center"/>
    </xf>
    <xf numFmtId="2" fontId="6" fillId="0" borderId="11" xfId="40" applyNumberFormat="1" applyFont="1" applyFill="1" applyBorder="1" applyAlignment="1">
      <alignment horizontal="center"/>
    </xf>
    <xf numFmtId="2" fontId="6" fillId="0" borderId="12" xfId="4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/>
    <xf numFmtId="164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13" xfId="0" applyFont="1" applyFill="1" applyBorder="1" applyAlignment="1">
      <alignment horizontal="center"/>
    </xf>
    <xf numFmtId="2" fontId="6" fillId="0" borderId="13" xfId="40" applyNumberFormat="1" applyFont="1" applyFill="1" applyBorder="1" applyAlignment="1">
      <alignment horizontal="center"/>
    </xf>
    <xf numFmtId="2" fontId="6" fillId="0" borderId="15" xfId="40" applyNumberFormat="1" applyFont="1" applyFill="1" applyBorder="1" applyAlignment="1">
      <alignment horizontal="center"/>
    </xf>
    <xf numFmtId="0" fontId="6" fillId="0" borderId="16" xfId="0" applyFont="1" applyBorder="1"/>
    <xf numFmtId="165" fontId="5" fillId="0" borderId="17" xfId="0" applyNumberFormat="1" applyFont="1" applyBorder="1" applyAlignment="1">
      <alignment horizontal="left"/>
    </xf>
    <xf numFmtId="0" fontId="6" fillId="0" borderId="17" xfId="0" applyFont="1" applyBorder="1"/>
    <xf numFmtId="0" fontId="6" fillId="0" borderId="18" xfId="0" applyFont="1" applyBorder="1" applyAlignment="1">
      <alignment horizontal="center"/>
    </xf>
    <xf numFmtId="0" fontId="6" fillId="0" borderId="19" xfId="0" applyFont="1" applyBorder="1"/>
    <xf numFmtId="165" fontId="5" fillId="0" borderId="0" xfId="0" applyNumberFormat="1" applyFont="1" applyBorder="1" applyAlignment="1">
      <alignment horizontal="left"/>
    </xf>
    <xf numFmtId="0" fontId="6" fillId="0" borderId="0" xfId="0" applyFont="1" applyBorder="1"/>
    <xf numFmtId="0" fontId="6" fillId="0" borderId="20" xfId="0" applyFont="1" applyBorder="1" applyAlignment="1">
      <alignment horizontal="center"/>
    </xf>
    <xf numFmtId="0" fontId="5" fillId="0" borderId="0" xfId="0" applyFont="1" applyBorder="1"/>
    <xf numFmtId="0" fontId="6" fillId="0" borderId="21" xfId="0" applyFont="1" applyBorder="1"/>
    <xf numFmtId="0" fontId="6" fillId="0" borderId="22" xfId="0" applyFont="1" applyBorder="1"/>
    <xf numFmtId="0" fontId="6" fillId="0" borderId="23" xfId="0" applyFont="1" applyBorder="1" applyAlignment="1">
      <alignment horizontal="center"/>
    </xf>
    <xf numFmtId="166" fontId="6" fillId="0" borderId="0" xfId="0" applyNumberFormat="1" applyFont="1"/>
    <xf numFmtId="2" fontId="6" fillId="0" borderId="0" xfId="0" applyNumberFormat="1" applyFont="1" applyAlignment="1">
      <alignment horizontal="center"/>
    </xf>
    <xf numFmtId="10" fontId="6" fillId="0" borderId="0" xfId="0" applyNumberFormat="1" applyFont="1"/>
    <xf numFmtId="0" fontId="0" fillId="0" borderId="0" xfId="0" applyAlignment="1">
      <alignment wrapText="1"/>
    </xf>
    <xf numFmtId="0" fontId="6" fillId="0" borderId="11" xfId="0" applyFont="1" applyFill="1" applyBorder="1" applyAlignment="1">
      <alignment horizontal="left"/>
    </xf>
    <xf numFmtId="0" fontId="6" fillId="0" borderId="11" xfId="0" applyFont="1" applyBorder="1"/>
    <xf numFmtId="0" fontId="6" fillId="0" borderId="0" xfId="0" applyFont="1" applyFill="1" applyAlignment="1">
      <alignment horizontal="left"/>
    </xf>
    <xf numFmtId="0" fontId="5" fillId="0" borderId="0" xfId="0" applyFont="1"/>
    <xf numFmtId="2" fontId="6" fillId="0" borderId="10" xfId="40" applyNumberFormat="1" applyFont="1" applyFill="1" applyBorder="1" applyAlignment="1">
      <alignment horizontal="center"/>
    </xf>
    <xf numFmtId="2" fontId="6" fillId="0" borderId="25" xfId="40" applyNumberFormat="1" applyFont="1" applyFill="1" applyBorder="1" applyAlignment="1">
      <alignment horizontal="center"/>
    </xf>
    <xf numFmtId="166" fontId="6" fillId="0" borderId="0" xfId="0" applyNumberFormat="1" applyFont="1" applyBorder="1"/>
    <xf numFmtId="0" fontId="6" fillId="0" borderId="0" xfId="0" applyFont="1" applyAlignment="1"/>
    <xf numFmtId="0" fontId="5" fillId="0" borderId="26" xfId="0" applyFont="1" applyBorder="1"/>
    <xf numFmtId="0" fontId="5" fillId="0" borderId="26" xfId="0" applyFont="1" applyBorder="1" applyAlignment="1">
      <alignment horizontal="center"/>
    </xf>
    <xf numFmtId="0" fontId="0" fillId="0" borderId="0" xfId="0" applyAlignment="1">
      <alignment horizontal="center"/>
    </xf>
    <xf numFmtId="0" fontId="5" fillId="0" borderId="22" xfId="0" applyFont="1" applyBorder="1"/>
    <xf numFmtId="47" fontId="0" fillId="0" borderId="0" xfId="0" applyNumberFormat="1"/>
    <xf numFmtId="0" fontId="6" fillId="0" borderId="0" xfId="0" applyFont="1" applyFill="1" applyBorder="1"/>
    <xf numFmtId="1" fontId="6" fillId="0" borderId="0" xfId="0" applyNumberFormat="1" applyFont="1" applyAlignment="1">
      <alignment horizontal="center"/>
    </xf>
    <xf numFmtId="0" fontId="6" fillId="0" borderId="22" xfId="0" applyFont="1" applyFill="1" applyBorder="1"/>
    <xf numFmtId="0" fontId="6" fillId="0" borderId="22" xfId="0" applyFont="1" applyFill="1" applyBorder="1" applyAlignment="1">
      <alignment horizontal="center"/>
    </xf>
    <xf numFmtId="47" fontId="6" fillId="0" borderId="0" xfId="0" applyNumberFormat="1" applyFont="1" applyAlignment="1">
      <alignment horizontal="center"/>
    </xf>
    <xf numFmtId="0" fontId="6" fillId="0" borderId="0" xfId="0" applyFont="1" applyFill="1"/>
    <xf numFmtId="166" fontId="6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11" xfId="0" applyFont="1" applyBorder="1" applyAlignment="1"/>
    <xf numFmtId="0" fontId="6" fillId="0" borderId="11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5" fillId="0" borderId="27" xfId="0" applyFont="1" applyBorder="1"/>
    <xf numFmtId="0" fontId="6" fillId="0" borderId="24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2" fontId="6" fillId="0" borderId="12" xfId="0" applyNumberFormat="1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6" fillId="0" borderId="0" xfId="0" applyFont="1" applyAlignment="1">
      <alignment horizontal="left"/>
    </xf>
    <xf numFmtId="2" fontId="6" fillId="0" borderId="29" xfId="40" applyNumberFormat="1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0" fillId="0" borderId="0" xfId="0" applyAlignment="1">
      <alignment horizontal="left"/>
    </xf>
    <xf numFmtId="1" fontId="7" fillId="0" borderId="0" xfId="0" applyNumberFormat="1" applyFont="1" applyAlignment="1">
      <alignment horizontal="left"/>
    </xf>
    <xf numFmtId="0" fontId="0" fillId="0" borderId="0" xfId="0" applyFill="1"/>
    <xf numFmtId="0" fontId="8" fillId="0" borderId="0" xfId="0" applyFont="1"/>
    <xf numFmtId="16" fontId="0" fillId="0" borderId="0" xfId="0" applyNumberFormat="1" applyAlignment="1">
      <alignment horizontal="center"/>
    </xf>
    <xf numFmtId="2" fontId="6" fillId="0" borderId="30" xfId="40" applyNumberFormat="1" applyFont="1" applyFill="1" applyBorder="1" applyAlignment="1">
      <alignment horizontal="center"/>
    </xf>
    <xf numFmtId="2" fontId="0" fillId="0" borderId="0" xfId="0" applyNumberFormat="1"/>
    <xf numFmtId="166" fontId="0" fillId="0" borderId="0" xfId="0" applyNumberFormat="1"/>
    <xf numFmtId="0" fontId="6" fillId="0" borderId="0" xfId="37" applyFont="1" applyBorder="1"/>
    <xf numFmtId="2" fontId="6" fillId="24" borderId="11" xfId="40" applyNumberFormat="1" applyFont="1" applyFill="1" applyBorder="1" applyAlignment="1">
      <alignment horizontal="center"/>
    </xf>
    <xf numFmtId="0" fontId="4" fillId="0" borderId="0" xfId="0" applyFont="1"/>
    <xf numFmtId="166" fontId="6" fillId="0" borderId="0" xfId="0" applyNumberFormat="1" applyFont="1" applyAlignment="1">
      <alignment horizontal="right"/>
    </xf>
    <xf numFmtId="0" fontId="28" fillId="0" borderId="0" xfId="0" applyFont="1"/>
    <xf numFmtId="0" fontId="4" fillId="0" borderId="0" xfId="0" applyFont="1" applyAlignment="1">
      <alignment horizontal="left"/>
    </xf>
    <xf numFmtId="47" fontId="29" fillId="0" borderId="0" xfId="0" applyNumberFormat="1" applyFont="1"/>
    <xf numFmtId="0" fontId="11" fillId="0" borderId="0" xfId="44"/>
    <xf numFmtId="0" fontId="11" fillId="0" borderId="0" xfId="45"/>
    <xf numFmtId="0" fontId="11" fillId="0" borderId="0" xfId="46"/>
    <xf numFmtId="0" fontId="5" fillId="0" borderId="33" xfId="0" applyFont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5" fillId="0" borderId="33" xfId="0" applyFont="1" applyBorder="1"/>
    <xf numFmtId="2" fontId="5" fillId="0" borderId="33" xfId="0" applyNumberFormat="1" applyFont="1" applyBorder="1" applyAlignment="1">
      <alignment horizontal="center"/>
    </xf>
    <xf numFmtId="0" fontId="5" fillId="0" borderId="33" xfId="0" quotePrefix="1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33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center"/>
    </xf>
    <xf numFmtId="2" fontId="6" fillId="0" borderId="33" xfId="0" applyNumberFormat="1" applyFont="1" applyFill="1" applyBorder="1" applyAlignment="1">
      <alignment horizontal="center"/>
    </xf>
    <xf numFmtId="1" fontId="6" fillId="0" borderId="33" xfId="0" applyNumberFormat="1" applyFont="1" applyBorder="1" applyAlignment="1">
      <alignment horizontal="center"/>
    </xf>
    <xf numFmtId="2" fontId="6" fillId="0" borderId="33" xfId="0" applyNumberFormat="1" applyFont="1" applyBorder="1" applyAlignment="1">
      <alignment horizontal="center"/>
    </xf>
    <xf numFmtId="0" fontId="6" fillId="0" borderId="33" xfId="0" applyFont="1" applyFill="1" applyBorder="1"/>
    <xf numFmtId="0" fontId="6" fillId="0" borderId="33" xfId="0" applyFont="1" applyBorder="1" applyAlignment="1"/>
    <xf numFmtId="0" fontId="6" fillId="0" borderId="33" xfId="0" applyFont="1" applyBorder="1"/>
    <xf numFmtId="0" fontId="0" fillId="0" borderId="22" xfId="0" applyBorder="1"/>
    <xf numFmtId="2" fontId="0" fillId="0" borderId="22" xfId="0" applyNumberFormat="1" applyBorder="1"/>
    <xf numFmtId="2" fontId="6" fillId="0" borderId="25" xfId="0" applyNumberFormat="1" applyFont="1" applyBorder="1" applyAlignment="1">
      <alignment horizontal="center"/>
    </xf>
    <xf numFmtId="2" fontId="10" fillId="24" borderId="11" xfId="40" applyNumberFormat="1" applyFont="1" applyFill="1" applyBorder="1" applyAlignment="1">
      <alignment horizontal="center"/>
    </xf>
    <xf numFmtId="2" fontId="6" fillId="24" borderId="30" xfId="40" applyNumberFormat="1" applyFont="1" applyFill="1" applyBorder="1" applyAlignment="1">
      <alignment horizontal="center"/>
    </xf>
    <xf numFmtId="167" fontId="6" fillId="24" borderId="11" xfId="40" applyNumberFormat="1" applyFont="1" applyFill="1" applyBorder="1" applyAlignment="1">
      <alignment horizontal="center"/>
    </xf>
    <xf numFmtId="2" fontId="6" fillId="24" borderId="13" xfId="40" applyNumberFormat="1" applyFont="1" applyFill="1" applyBorder="1" applyAlignment="1">
      <alignment horizontal="center"/>
    </xf>
    <xf numFmtId="2" fontId="10" fillId="24" borderId="30" xfId="40" applyNumberFormat="1" applyFont="1" applyFill="1" applyBorder="1" applyAlignment="1">
      <alignment horizontal="center"/>
    </xf>
    <xf numFmtId="2" fontId="10" fillId="24" borderId="13" xfId="40" applyNumberFormat="1" applyFont="1" applyFill="1" applyBorder="1" applyAlignment="1">
      <alignment horizontal="center"/>
    </xf>
    <xf numFmtId="0" fontId="6" fillId="24" borderId="11" xfId="0" applyFont="1" applyFill="1" applyBorder="1" applyAlignment="1">
      <alignment horizontal="center"/>
    </xf>
    <xf numFmtId="2" fontId="6" fillId="24" borderId="10" xfId="40" applyNumberFormat="1" applyFont="1" applyFill="1" applyBorder="1" applyAlignment="1">
      <alignment horizontal="center"/>
    </xf>
    <xf numFmtId="164" fontId="5" fillId="0" borderId="0" xfId="0" applyNumberFormat="1" applyFont="1" applyFill="1" applyAlignment="1">
      <alignment horizontal="center"/>
    </xf>
    <xf numFmtId="164" fontId="5" fillId="0" borderId="0" xfId="0" applyNumberFormat="1" applyFont="1" applyAlignment="1">
      <alignment horizontal="center"/>
    </xf>
    <xf numFmtId="0" fontId="5" fillId="0" borderId="22" xfId="0" applyFont="1" applyBorder="1" applyAlignment="1">
      <alignment horizontal="center"/>
    </xf>
    <xf numFmtId="1" fontId="6" fillId="0" borderId="0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Fill="1" applyBorder="1" applyProtection="1"/>
    <xf numFmtId="0" fontId="6" fillId="0" borderId="0" xfId="0" applyFont="1" applyBorder="1" applyProtection="1"/>
    <xf numFmtId="2" fontId="6" fillId="0" borderId="0" xfId="0" applyNumberFormat="1" applyFont="1" applyAlignment="1">
      <alignment horizontal="left"/>
    </xf>
    <xf numFmtId="0" fontId="4" fillId="0" borderId="0" xfId="0" applyFont="1" applyFill="1" applyBorder="1" applyAlignment="1">
      <alignment horizontal="left"/>
    </xf>
    <xf numFmtId="47" fontId="30" fillId="0" borderId="0" xfId="0" applyNumberFormat="1" applyFont="1"/>
    <xf numFmtId="0" fontId="6" fillId="0" borderId="22" xfId="0" applyFont="1" applyBorder="1" applyAlignment="1">
      <alignment vertical="top"/>
    </xf>
    <xf numFmtId="0" fontId="5" fillId="0" borderId="27" xfId="0" applyFont="1" applyBorder="1" applyAlignment="1">
      <alignment horizontal="center"/>
    </xf>
    <xf numFmtId="0" fontId="31" fillId="0" borderId="0" xfId="47" applyAlignment="1" applyProtection="1"/>
    <xf numFmtId="0" fontId="4" fillId="0" borderId="0" xfId="0" applyFont="1" applyBorder="1" applyProtection="1"/>
    <xf numFmtId="0" fontId="4" fillId="0" borderId="0" xfId="0" applyFont="1" applyFill="1" applyBorder="1" applyProtection="1"/>
    <xf numFmtId="10" fontId="6" fillId="0" borderId="0" xfId="0" applyNumberFormat="1" applyFont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0" fillId="0" borderId="11" xfId="0" applyBorder="1"/>
    <xf numFmtId="47" fontId="32" fillId="0" borderId="0" xfId="0" applyNumberFormat="1" applyFont="1"/>
    <xf numFmtId="164" fontId="33" fillId="0" borderId="0" xfId="0" applyNumberFormat="1" applyFont="1" applyAlignment="1">
      <alignment horizontal="center"/>
    </xf>
    <xf numFmtId="164" fontId="33" fillId="0" borderId="0" xfId="0" applyNumberFormat="1" applyFont="1" applyFill="1" applyAlignment="1">
      <alignment horizontal="center"/>
    </xf>
    <xf numFmtId="164" fontId="33" fillId="0" borderId="22" xfId="0" applyNumberFormat="1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35" xfId="0" applyFont="1" applyFill="1" applyBorder="1"/>
    <xf numFmtId="0" fontId="6" fillId="0" borderId="35" xfId="0" applyFont="1" applyFill="1" applyBorder="1" applyAlignment="1">
      <alignment horizontal="center"/>
    </xf>
    <xf numFmtId="2" fontId="6" fillId="0" borderId="35" xfId="0" applyNumberFormat="1" applyFont="1" applyFill="1" applyBorder="1" applyAlignment="1">
      <alignment horizontal="center"/>
    </xf>
    <xf numFmtId="1" fontId="6" fillId="0" borderId="35" xfId="0" applyNumberFormat="1" applyFont="1" applyBorder="1" applyAlignment="1">
      <alignment horizontal="center"/>
    </xf>
    <xf numFmtId="2" fontId="6" fillId="0" borderId="35" xfId="0" applyNumberFormat="1" applyFont="1" applyBorder="1" applyAlignment="1">
      <alignment horizontal="center"/>
    </xf>
    <xf numFmtId="0" fontId="6" fillId="0" borderId="36" xfId="0" applyFont="1" applyFill="1" applyBorder="1" applyAlignment="1">
      <alignment horizontal="center"/>
    </xf>
    <xf numFmtId="2" fontId="6" fillId="0" borderId="36" xfId="0" applyNumberFormat="1" applyFont="1" applyFill="1" applyBorder="1" applyAlignment="1">
      <alignment horizontal="center"/>
    </xf>
    <xf numFmtId="1" fontId="6" fillId="0" borderId="36" xfId="0" applyNumberFormat="1" applyFont="1" applyBorder="1" applyAlignment="1">
      <alignment horizontal="center"/>
    </xf>
    <xf numFmtId="2" fontId="6" fillId="0" borderId="36" xfId="0" applyNumberFormat="1" applyFont="1" applyBorder="1" applyAlignment="1">
      <alignment horizontal="center"/>
    </xf>
    <xf numFmtId="0" fontId="6" fillId="0" borderId="36" xfId="0" applyFont="1" applyFill="1" applyBorder="1"/>
    <xf numFmtId="47" fontId="6" fillId="0" borderId="0" xfId="0" applyNumberFormat="1" applyFont="1"/>
    <xf numFmtId="2" fontId="6" fillId="0" borderId="0" xfId="40" applyNumberFormat="1" applyFont="1" applyFill="1" applyBorder="1" applyAlignment="1">
      <alignment horizontal="center"/>
    </xf>
    <xf numFmtId="0" fontId="5" fillId="0" borderId="22" xfId="0" quotePrefix="1" applyFont="1" applyBorder="1" applyAlignment="1">
      <alignment horizontal="center"/>
    </xf>
    <xf numFmtId="0" fontId="34" fillId="0" borderId="0" xfId="48" applyFont="1" applyFill="1" applyBorder="1" applyAlignment="1">
      <alignment horizontal="left" vertical="top"/>
    </xf>
    <xf numFmtId="2" fontId="6" fillId="0" borderId="0" xfId="0" applyNumberFormat="1" applyFont="1" applyFill="1" applyBorder="1" applyAlignment="1">
      <alignment horizontal="center"/>
    </xf>
    <xf numFmtId="1" fontId="6" fillId="0" borderId="33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2" fontId="6" fillId="0" borderId="0" xfId="40" applyNumberFormat="1" applyFont="1" applyFill="1" applyBorder="1" applyAlignment="1">
      <alignment horizontal="left"/>
    </xf>
    <xf numFmtId="1" fontId="6" fillId="0" borderId="0" xfId="40" applyNumberFormat="1" applyFont="1" applyFill="1" applyBorder="1" applyAlignment="1">
      <alignment horizontal="center"/>
    </xf>
    <xf numFmtId="164" fontId="5" fillId="0" borderId="0" xfId="0" quotePrefix="1" applyNumberFormat="1" applyFont="1" applyAlignment="1">
      <alignment horizontal="center"/>
    </xf>
    <xf numFmtId="0" fontId="6" fillId="25" borderId="0" xfId="47" applyFont="1" applyFill="1" applyAlignment="1" applyProtection="1">
      <alignment horizontal="left" vertical="center"/>
    </xf>
    <xf numFmtId="166" fontId="6" fillId="0" borderId="0" xfId="0" applyNumberFormat="1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6" fillId="0" borderId="37" xfId="0" applyFont="1" applyFill="1" applyBorder="1" applyAlignment="1">
      <alignment horizontal="left"/>
    </xf>
    <xf numFmtId="0" fontId="6" fillId="0" borderId="37" xfId="0" applyFont="1" applyFill="1" applyBorder="1" applyAlignment="1">
      <alignment horizontal="center"/>
    </xf>
    <xf numFmtId="2" fontId="6" fillId="0" borderId="37" xfId="0" applyNumberFormat="1" applyFont="1" applyFill="1" applyBorder="1" applyAlignment="1">
      <alignment horizontal="center"/>
    </xf>
    <xf numFmtId="1" fontId="6" fillId="0" borderId="37" xfId="0" applyNumberFormat="1" applyFont="1" applyBorder="1" applyAlignment="1">
      <alignment horizontal="center"/>
    </xf>
    <xf numFmtId="2" fontId="6" fillId="0" borderId="37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left"/>
    </xf>
    <xf numFmtId="0" fontId="6" fillId="0" borderId="0" xfId="0" applyFont="1" applyBorder="1" applyAlignment="1">
      <alignment horizontal="left"/>
    </xf>
    <xf numFmtId="2" fontId="6" fillId="0" borderId="27" xfId="0" applyNumberFormat="1" applyFont="1" applyBorder="1" applyAlignment="1">
      <alignment horizontal="center"/>
    </xf>
    <xf numFmtId="2" fontId="6" fillId="0" borderId="38" xfId="0" applyNumberFormat="1" applyFont="1" applyBorder="1" applyAlignment="1">
      <alignment horizontal="center"/>
    </xf>
    <xf numFmtId="2" fontId="6" fillId="0" borderId="39" xfId="0" applyNumberFormat="1" applyFont="1" applyBorder="1" applyAlignment="1">
      <alignment horizontal="center"/>
    </xf>
    <xf numFmtId="2" fontId="6" fillId="0" borderId="28" xfId="0" applyNumberFormat="1" applyFont="1" applyBorder="1" applyAlignment="1">
      <alignment horizontal="center"/>
    </xf>
    <xf numFmtId="0" fontId="6" fillId="0" borderId="40" xfId="0" applyFont="1" applyFill="1" applyBorder="1"/>
    <xf numFmtId="0" fontId="6" fillId="0" borderId="40" xfId="0" applyFont="1" applyFill="1" applyBorder="1" applyAlignment="1">
      <alignment horizontal="center"/>
    </xf>
    <xf numFmtId="2" fontId="6" fillId="0" borderId="40" xfId="0" applyNumberFormat="1" applyFont="1" applyFill="1" applyBorder="1" applyAlignment="1">
      <alignment horizontal="center"/>
    </xf>
    <xf numFmtId="1" fontId="6" fillId="0" borderId="40" xfId="0" applyNumberFormat="1" applyFont="1" applyBorder="1" applyAlignment="1">
      <alignment horizontal="center"/>
    </xf>
    <xf numFmtId="2" fontId="6" fillId="0" borderId="40" xfId="0" applyNumberFormat="1" applyFont="1" applyBorder="1" applyAlignment="1">
      <alignment horizontal="center"/>
    </xf>
    <xf numFmtId="0" fontId="5" fillId="0" borderId="41" xfId="0" applyFont="1" applyBorder="1"/>
    <xf numFmtId="0" fontId="5" fillId="0" borderId="42" xfId="0" applyFont="1" applyBorder="1"/>
    <xf numFmtId="0" fontId="5" fillId="0" borderId="42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6" fillId="0" borderId="45" xfId="0" applyFont="1" applyBorder="1" applyAlignment="1">
      <alignment horizontal="center"/>
    </xf>
    <xf numFmtId="2" fontId="6" fillId="0" borderId="46" xfId="0" applyNumberFormat="1" applyFont="1" applyBorder="1" applyAlignment="1">
      <alignment horizontal="center"/>
    </xf>
    <xf numFmtId="0" fontId="52" fillId="0" borderId="0" xfId="0" applyFont="1"/>
    <xf numFmtId="0" fontId="4" fillId="0" borderId="0" xfId="37" applyFont="1" applyBorder="1"/>
    <xf numFmtId="2" fontId="6" fillId="24" borderId="12" xfId="40" applyNumberFormat="1" applyFont="1" applyFill="1" applyBorder="1" applyAlignment="1">
      <alignment horizontal="center"/>
    </xf>
    <xf numFmtId="2" fontId="6" fillId="0" borderId="56" xfId="40" applyNumberFormat="1" applyFont="1" applyFill="1" applyBorder="1" applyAlignment="1">
      <alignment horizontal="center"/>
    </xf>
    <xf numFmtId="2" fontId="6" fillId="24" borderId="56" xfId="40" applyNumberFormat="1" applyFont="1" applyFill="1" applyBorder="1" applyAlignment="1">
      <alignment horizontal="center"/>
    </xf>
    <xf numFmtId="0" fontId="6" fillId="24" borderId="11" xfId="0" applyFont="1" applyFill="1" applyBorder="1" applyAlignment="1">
      <alignment horizontal="left"/>
    </xf>
    <xf numFmtId="2" fontId="6" fillId="24" borderId="11" xfId="0" applyNumberFormat="1" applyFont="1" applyFill="1" applyBorder="1" applyAlignment="1">
      <alignment horizontal="center"/>
    </xf>
    <xf numFmtId="2" fontId="6" fillId="24" borderId="25" xfId="40" applyNumberFormat="1" applyFont="1" applyFill="1" applyBorder="1" applyAlignment="1">
      <alignment horizontal="center"/>
    </xf>
    <xf numFmtId="0" fontId="6" fillId="24" borderId="0" xfId="0" applyFont="1" applyFill="1"/>
    <xf numFmtId="0" fontId="6" fillId="24" borderId="0" xfId="0" applyFont="1" applyFill="1" applyAlignment="1">
      <alignment horizontal="center"/>
    </xf>
    <xf numFmtId="2" fontId="6" fillId="24" borderId="0" xfId="0" applyNumberFormat="1" applyFont="1" applyFill="1" applyAlignment="1">
      <alignment horizontal="center"/>
    </xf>
    <xf numFmtId="1" fontId="6" fillId="24" borderId="0" xfId="0" applyNumberFormat="1" applyFont="1" applyFill="1" applyAlignment="1">
      <alignment horizontal="center"/>
    </xf>
    <xf numFmtId="2" fontId="6" fillId="24" borderId="0" xfId="0" applyNumberFormat="1" applyFont="1" applyFill="1" applyAlignment="1">
      <alignment horizontal="left"/>
    </xf>
    <xf numFmtId="0" fontId="0" fillId="24" borderId="0" xfId="0" applyFill="1"/>
    <xf numFmtId="2" fontId="6" fillId="0" borderId="11" xfId="0" applyNumberFormat="1" applyFont="1" applyBorder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166" fontId="6" fillId="0" borderId="0" xfId="0" quotePrefix="1" applyNumberFormat="1" applyFont="1" applyBorder="1" applyAlignment="1">
      <alignment horizontal="center"/>
    </xf>
    <xf numFmtId="0" fontId="6" fillId="0" borderId="0" xfId="0" applyFont="1" applyFill="1" applyBorder="1" applyAlignment="1" applyProtection="1">
      <alignment horizontal="right"/>
    </xf>
    <xf numFmtId="164" fontId="6" fillId="0" borderId="20" xfId="0" applyNumberFormat="1" applyFont="1" applyBorder="1" applyAlignment="1">
      <alignment horizontal="center"/>
    </xf>
    <xf numFmtId="164" fontId="6" fillId="0" borderId="19" xfId="0" applyNumberFormat="1" applyFont="1" applyBorder="1" applyAlignment="1">
      <alignment horizontal="center"/>
    </xf>
    <xf numFmtId="164" fontId="33" fillId="0" borderId="20" xfId="0" applyNumberFormat="1" applyFont="1" applyBorder="1" applyAlignment="1">
      <alignment horizontal="center"/>
    </xf>
    <xf numFmtId="164" fontId="33" fillId="0" borderId="19" xfId="0" applyNumberFormat="1" applyFont="1" applyBorder="1" applyAlignment="1">
      <alignment horizontal="center"/>
    </xf>
    <xf numFmtId="164" fontId="33" fillId="0" borderId="23" xfId="0" applyNumberFormat="1" applyFont="1" applyBorder="1" applyAlignment="1">
      <alignment horizontal="center"/>
    </xf>
    <xf numFmtId="164" fontId="33" fillId="0" borderId="21" xfId="0" applyNumberFormat="1" applyFont="1" applyBorder="1" applyAlignment="1">
      <alignment horizontal="center"/>
    </xf>
    <xf numFmtId="2" fontId="6" fillId="0" borderId="57" xfId="40" applyNumberFormat="1" applyFont="1" applyFill="1" applyBorder="1" applyAlignment="1">
      <alignment horizontal="center"/>
    </xf>
    <xf numFmtId="2" fontId="6" fillId="0" borderId="58" xfId="40" applyNumberFormat="1" applyFont="1" applyFill="1" applyBorder="1" applyAlignment="1">
      <alignment horizontal="center"/>
    </xf>
    <xf numFmtId="2" fontId="6" fillId="24" borderId="58" xfId="40" applyNumberFormat="1" applyFont="1" applyFill="1" applyBorder="1" applyAlignment="1">
      <alignment horizontal="center"/>
    </xf>
    <xf numFmtId="19" fontId="6" fillId="0" borderId="0" xfId="0" applyNumberFormat="1" applyFont="1" applyAlignment="1">
      <alignment horizontal="center"/>
    </xf>
    <xf numFmtId="0" fontId="6" fillId="0" borderId="16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24" borderId="0" xfId="0" applyFont="1" applyFill="1" applyBorder="1"/>
    <xf numFmtId="0" fontId="6" fillId="24" borderId="0" xfId="0" applyFont="1" applyFill="1" applyBorder="1" applyAlignment="1">
      <alignment horizontal="center"/>
    </xf>
    <xf numFmtId="2" fontId="6" fillId="24" borderId="0" xfId="0" applyNumberFormat="1" applyFont="1" applyFill="1" applyBorder="1" applyAlignment="1">
      <alignment horizontal="center"/>
    </xf>
    <xf numFmtId="1" fontId="6" fillId="24" borderId="0" xfId="0" applyNumberFormat="1" applyFont="1" applyFill="1" applyBorder="1" applyAlignment="1">
      <alignment horizontal="center"/>
    </xf>
    <xf numFmtId="2" fontId="6" fillId="24" borderId="0" xfId="0" applyNumberFormat="1" applyFont="1" applyFill="1" applyBorder="1" applyAlignment="1">
      <alignment horizontal="left"/>
    </xf>
    <xf numFmtId="0" fontId="6" fillId="0" borderId="60" xfId="0" applyFont="1" applyBorder="1" applyAlignment="1">
      <alignment horizontal="center"/>
    </xf>
    <xf numFmtId="0" fontId="6" fillId="0" borderId="37" xfId="0" applyFont="1" applyFill="1" applyBorder="1"/>
    <xf numFmtId="2" fontId="6" fillId="0" borderId="61" xfId="0" applyNumberFormat="1" applyFont="1" applyBorder="1" applyAlignment="1">
      <alignment horizontal="center"/>
    </xf>
    <xf numFmtId="0" fontId="0" fillId="0" borderId="62" xfId="0" applyBorder="1"/>
    <xf numFmtId="0" fontId="5" fillId="0" borderId="62" xfId="0" applyFont="1" applyBorder="1"/>
    <xf numFmtId="46" fontId="53" fillId="24" borderId="0" xfId="0" applyNumberFormat="1" applyFont="1" applyFill="1" applyBorder="1" applyAlignment="1">
      <alignment horizontal="left" vertical="center" wrapText="1" indent="1"/>
    </xf>
    <xf numFmtId="2" fontId="6" fillId="0" borderId="63" xfId="40" applyNumberFormat="1" applyFont="1" applyFill="1" applyBorder="1" applyAlignment="1">
      <alignment horizontal="center"/>
    </xf>
    <xf numFmtId="2" fontId="6" fillId="0" borderId="64" xfId="40" applyNumberFormat="1" applyFont="1" applyFill="1" applyBorder="1" applyAlignment="1">
      <alignment horizontal="center"/>
    </xf>
    <xf numFmtId="2" fontId="6" fillId="0" borderId="65" xfId="40" applyNumberFormat="1" applyFont="1" applyFill="1" applyBorder="1" applyAlignment="1">
      <alignment horizontal="center"/>
    </xf>
    <xf numFmtId="2" fontId="6" fillId="0" borderId="66" xfId="40" applyNumberFormat="1" applyFont="1" applyFill="1" applyBorder="1" applyAlignment="1">
      <alignment horizontal="center"/>
    </xf>
    <xf numFmtId="2" fontId="6" fillId="0" borderId="67" xfId="40" applyNumberFormat="1" applyFont="1" applyFill="1" applyBorder="1" applyAlignment="1">
      <alignment horizontal="center"/>
    </xf>
    <xf numFmtId="2" fontId="6" fillId="24" borderId="66" xfId="40" applyNumberFormat="1" applyFont="1" applyFill="1" applyBorder="1" applyAlignment="1">
      <alignment horizontal="center"/>
    </xf>
    <xf numFmtId="2" fontId="6" fillId="24" borderId="67" xfId="40" applyNumberFormat="1" applyFont="1" applyFill="1" applyBorder="1" applyAlignment="1">
      <alignment horizontal="center"/>
    </xf>
    <xf numFmtId="2" fontId="6" fillId="0" borderId="14" xfId="40" applyNumberFormat="1" applyFont="1" applyFill="1" applyBorder="1" applyAlignment="1">
      <alignment horizontal="center"/>
    </xf>
    <xf numFmtId="2" fontId="6" fillId="0" borderId="31" xfId="40" applyNumberFormat="1" applyFont="1" applyFill="1" applyBorder="1" applyAlignment="1">
      <alignment horizontal="center"/>
    </xf>
    <xf numFmtId="2" fontId="6" fillId="24" borderId="57" xfId="40" applyNumberFormat="1" applyFont="1" applyFill="1" applyBorder="1" applyAlignment="1">
      <alignment horizontal="center"/>
    </xf>
    <xf numFmtId="2" fontId="6" fillId="0" borderId="59" xfId="40" applyNumberFormat="1" applyFont="1" applyFill="1" applyBorder="1" applyAlignment="1">
      <alignment horizontal="center"/>
    </xf>
    <xf numFmtId="2" fontId="6" fillId="0" borderId="32" xfId="40" applyNumberFormat="1" applyFont="1" applyFill="1" applyBorder="1" applyAlignment="1">
      <alignment horizontal="center"/>
    </xf>
    <xf numFmtId="0" fontId="54" fillId="57" borderId="0" xfId="0" applyFont="1" applyFill="1" applyAlignment="1">
      <alignment vertical="center" wrapText="1"/>
    </xf>
    <xf numFmtId="0" fontId="54" fillId="57" borderId="0" xfId="0" applyFont="1" applyFill="1" applyAlignment="1">
      <alignment horizontal="center" vertical="center" wrapText="1"/>
    </xf>
    <xf numFmtId="0" fontId="54" fillId="25" borderId="0" xfId="0" applyFont="1" applyFill="1" applyAlignment="1">
      <alignment vertical="center" wrapText="1"/>
    </xf>
    <xf numFmtId="0" fontId="54" fillId="25" borderId="0" xfId="0" applyFont="1" applyFill="1" applyAlignment="1">
      <alignment horizontal="center" vertical="center" wrapText="1"/>
    </xf>
    <xf numFmtId="2" fontId="6" fillId="24" borderId="14" xfId="40" applyNumberFormat="1" applyFont="1" applyFill="1" applyBorder="1" applyAlignment="1">
      <alignment horizontal="center"/>
    </xf>
    <xf numFmtId="2" fontId="6" fillId="0" borderId="68" xfId="0" applyNumberFormat="1" applyFont="1" applyBorder="1" applyAlignment="1">
      <alignment horizontal="center"/>
    </xf>
  </cellXfs>
  <cellStyles count="93">
    <cellStyle name="20% - Accent1" xfId="1" builtinId="30" customBuiltin="1"/>
    <cellStyle name="20% - Accent1 2" xfId="68"/>
    <cellStyle name="20% - Accent2" xfId="2" builtinId="34" customBuiltin="1"/>
    <cellStyle name="20% - Accent2 2" xfId="72"/>
    <cellStyle name="20% - Accent3" xfId="3" builtinId="38" customBuiltin="1"/>
    <cellStyle name="20% - Accent3 2" xfId="76"/>
    <cellStyle name="20% - Accent4" xfId="4" builtinId="42" customBuiltin="1"/>
    <cellStyle name="20% - Accent4 2" xfId="80"/>
    <cellStyle name="20% - Accent5" xfId="5" builtinId="46" customBuiltin="1"/>
    <cellStyle name="20% - Accent5 2" xfId="84"/>
    <cellStyle name="20% - Accent6" xfId="6" builtinId="50" customBuiltin="1"/>
    <cellStyle name="20% - Accent6 2" xfId="88"/>
    <cellStyle name="40% - Accent1" xfId="7" builtinId="31" customBuiltin="1"/>
    <cellStyle name="40% - Accent1 2" xfId="69"/>
    <cellStyle name="40% - Accent2" xfId="8" builtinId="35" customBuiltin="1"/>
    <cellStyle name="40% - Accent2 2" xfId="73"/>
    <cellStyle name="40% - Accent3" xfId="9" builtinId="39" customBuiltin="1"/>
    <cellStyle name="40% - Accent3 2" xfId="77"/>
    <cellStyle name="40% - Accent4" xfId="10" builtinId="43" customBuiltin="1"/>
    <cellStyle name="40% - Accent4 2" xfId="81"/>
    <cellStyle name="40% - Accent5" xfId="11" builtinId="47" customBuiltin="1"/>
    <cellStyle name="40% - Accent5 2" xfId="85"/>
    <cellStyle name="40% - Accent6" xfId="12" builtinId="51" customBuiltin="1"/>
    <cellStyle name="40% - Accent6 2" xfId="89"/>
    <cellStyle name="60% - Accent1" xfId="13" builtinId="32" customBuiltin="1"/>
    <cellStyle name="60% - Accent1 2" xfId="70"/>
    <cellStyle name="60% - Accent2" xfId="14" builtinId="36" customBuiltin="1"/>
    <cellStyle name="60% - Accent2 2" xfId="74"/>
    <cellStyle name="60% - Accent3" xfId="15" builtinId="40" customBuiltin="1"/>
    <cellStyle name="60% - Accent3 2" xfId="78"/>
    <cellStyle name="60% - Accent4" xfId="16" builtinId="44" customBuiltin="1"/>
    <cellStyle name="60% - Accent4 2" xfId="82"/>
    <cellStyle name="60% - Accent5" xfId="17" builtinId="48" customBuiltin="1"/>
    <cellStyle name="60% - Accent5 2" xfId="86"/>
    <cellStyle name="60% - Accent6" xfId="18" builtinId="52" customBuiltin="1"/>
    <cellStyle name="60% - Accent6 2" xfId="90"/>
    <cellStyle name="Accent1" xfId="19" builtinId="29" customBuiltin="1"/>
    <cellStyle name="Accent1 2" xfId="67"/>
    <cellStyle name="Accent2" xfId="20" builtinId="33" customBuiltin="1"/>
    <cellStyle name="Accent2 2" xfId="71"/>
    <cellStyle name="Accent3" xfId="21" builtinId="37" customBuiltin="1"/>
    <cellStyle name="Accent3 2" xfId="75"/>
    <cellStyle name="Accent4" xfId="22" builtinId="41" customBuiltin="1"/>
    <cellStyle name="Accent4 2" xfId="79"/>
    <cellStyle name="Accent5" xfId="23" builtinId="45" customBuiltin="1"/>
    <cellStyle name="Accent5 2" xfId="83"/>
    <cellStyle name="Accent6" xfId="24" builtinId="49" customBuiltin="1"/>
    <cellStyle name="Accent6 2" xfId="87"/>
    <cellStyle name="Bad" xfId="25" builtinId="27" customBuiltin="1"/>
    <cellStyle name="Bad 2" xfId="56"/>
    <cellStyle name="Calculation" xfId="26" builtinId="22" customBuiltin="1"/>
    <cellStyle name="Calculation 2" xfId="60"/>
    <cellStyle name="Check Cell" xfId="27" builtinId="23" customBuiltin="1"/>
    <cellStyle name="Check Cell 2" xfId="62"/>
    <cellStyle name="Explanatory Text" xfId="28" builtinId="53" customBuiltin="1"/>
    <cellStyle name="Explanatory Text 2" xfId="65"/>
    <cellStyle name="Good" xfId="29" builtinId="26" customBuiltin="1"/>
    <cellStyle name="Good 2" xfId="55"/>
    <cellStyle name="Heading 1" xfId="30" builtinId="16" customBuiltin="1"/>
    <cellStyle name="Heading 1 2" xfId="51"/>
    <cellStyle name="Heading 2" xfId="31" builtinId="17" customBuiltin="1"/>
    <cellStyle name="Heading 2 2" xfId="52"/>
    <cellStyle name="Heading 3" xfId="32" builtinId="18" customBuiltin="1"/>
    <cellStyle name="Heading 3 2" xfId="53"/>
    <cellStyle name="Heading 4" xfId="33" builtinId="19" customBuiltin="1"/>
    <cellStyle name="Heading 4 2" xfId="54"/>
    <cellStyle name="Hyperlink" xfId="47" builtinId="8"/>
    <cellStyle name="Hyperlink 2" xfId="92"/>
    <cellStyle name="Input" xfId="34" builtinId="20" customBuiltin="1"/>
    <cellStyle name="Input 2" xfId="58"/>
    <cellStyle name="Linked Cell" xfId="35" builtinId="24" customBuiltin="1"/>
    <cellStyle name="Linked Cell 2" xfId="61"/>
    <cellStyle name="Neutral" xfId="36" builtinId="28" customBuiltin="1"/>
    <cellStyle name="Neutral 2" xfId="57"/>
    <cellStyle name="Normal" xfId="0" builtinId="0"/>
    <cellStyle name="Normal 2" xfId="37"/>
    <cellStyle name="Normal 3" xfId="49"/>
    <cellStyle name="Normal 4" xfId="48"/>
    <cellStyle name="Normal 5" xfId="91"/>
    <cellStyle name="Normal_MASTER~MASS" xfId="46"/>
    <cellStyle name="Normal_M-W~MASS" xfId="44"/>
    <cellStyle name="Normal_YOUTH~MASS" xfId="45"/>
    <cellStyle name="Note" xfId="38" builtinId="10" customBuiltin="1"/>
    <cellStyle name="Note 2" xfId="64"/>
    <cellStyle name="Output" xfId="39" builtinId="21" customBuiltin="1"/>
    <cellStyle name="Output 2" xfId="59"/>
    <cellStyle name="Percent" xfId="40" builtinId="5"/>
    <cellStyle name="Title" xfId="41" builtinId="15" customBuiltin="1"/>
    <cellStyle name="Title 2" xfId="50"/>
    <cellStyle name="Total" xfId="42" builtinId="25" customBuiltin="1"/>
    <cellStyle name="Total 2" xfId="66"/>
    <cellStyle name="Warning Text" xfId="43" builtinId="11" customBuiltin="1"/>
    <cellStyle name="Warning Text 2" xfId="63"/>
  </cellStyles>
  <dxfs count="0"/>
  <tableStyles count="0" defaultTableStyle="TableStyleMedium9" defaultPivotStyle="PivotStyleLight16"/>
  <colors>
    <mruColors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hyperlink" Target="http://services.biathlonresults.com/athletes.aspx?IbuId=BTUSA11702199701" TargetMode="External"/><Relationship Id="rId1" Type="http://schemas.openxmlformats.org/officeDocument/2006/relationships/hyperlink" Target="http://services.biathlonresults.com/athletes.aspx?IbuId=BTUSA10602199901" TargetMode="Externa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http://services.biathlonresults.com/athletes.aspx?IbuId=BTUSA11702199701" TargetMode="Externa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http://services.biathlonresults.com/athletes.aspx?IbuId=BTUSA11702199701" TargetMode="Externa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http://services.biathlonresults.com/athletes.aspx?IbuId=BTUSA11702199701" TargetMode="Externa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835"/>
  <sheetViews>
    <sheetView tabSelected="1" topLeftCell="K1" workbookViewId="0">
      <selection activeCell="Y1" sqref="Y1"/>
    </sheetView>
  </sheetViews>
  <sheetFormatPr defaultRowHeight="13.2" x14ac:dyDescent="0.25"/>
  <cols>
    <col min="1" max="1" width="5.6640625" customWidth="1"/>
    <col min="2" max="2" width="24.6640625" customWidth="1"/>
    <col min="3" max="4" width="6.6640625" customWidth="1"/>
    <col min="5" max="5" width="6.6640625" style="71" customWidth="1"/>
    <col min="6" max="7" width="10.6640625" customWidth="1"/>
    <col min="10" max="10" width="5.6640625" customWidth="1"/>
    <col min="11" max="11" width="24.6640625" customWidth="1"/>
    <col min="12" max="14" width="6.6640625" customWidth="1"/>
    <col min="15" max="16" width="10.6640625" customWidth="1"/>
    <col min="19" max="19" width="5.6640625" customWidth="1"/>
    <col min="20" max="20" width="24.6640625" customWidth="1"/>
    <col min="21" max="23" width="6.6640625" customWidth="1"/>
    <col min="24" max="25" width="10.6640625" customWidth="1"/>
    <col min="28" max="28" width="5.6640625" customWidth="1"/>
    <col min="29" max="29" width="24.6640625" customWidth="1"/>
    <col min="30" max="32" width="6.6640625" customWidth="1"/>
    <col min="33" max="34" width="10.6640625" customWidth="1"/>
  </cols>
  <sheetData>
    <row r="1" spans="1:36" ht="13.8" thickBot="1" x14ac:dyDescent="0.3">
      <c r="A1" s="97"/>
      <c r="B1" s="43" t="s">
        <v>1012</v>
      </c>
      <c r="C1" s="97"/>
      <c r="D1" s="97"/>
      <c r="E1" s="98"/>
      <c r="F1" s="97"/>
      <c r="G1" s="97"/>
      <c r="H1" s="97"/>
      <c r="I1" s="97"/>
      <c r="K1" s="43" t="s">
        <v>1013</v>
      </c>
      <c r="S1" s="221"/>
      <c r="T1" s="222" t="s">
        <v>1011</v>
      </c>
      <c r="U1" s="221"/>
      <c r="V1" s="221"/>
      <c r="W1" s="221"/>
      <c r="X1" s="221"/>
      <c r="Y1" s="221"/>
      <c r="Z1" s="221"/>
      <c r="AA1" s="97"/>
      <c r="AB1" s="97"/>
      <c r="AC1" s="35" t="s">
        <v>1010</v>
      </c>
    </row>
    <row r="2" spans="1:36" x14ac:dyDescent="0.25">
      <c r="A2" s="85" t="s">
        <v>2</v>
      </c>
      <c r="B2" s="85" t="s">
        <v>83</v>
      </c>
      <c r="C2" s="83" t="s">
        <v>1</v>
      </c>
      <c r="D2" s="83" t="s">
        <v>60</v>
      </c>
      <c r="E2" s="86" t="s">
        <v>20</v>
      </c>
      <c r="F2" s="87" t="s">
        <v>21</v>
      </c>
      <c r="G2" s="83" t="s">
        <v>105</v>
      </c>
      <c r="H2" s="83" t="s">
        <v>54</v>
      </c>
      <c r="I2" s="83" t="s">
        <v>82</v>
      </c>
      <c r="J2" s="85" t="s">
        <v>2</v>
      </c>
      <c r="K2" s="40" t="s">
        <v>732</v>
      </c>
      <c r="L2" s="83" t="s">
        <v>1</v>
      </c>
      <c r="M2" s="83" t="s">
        <v>60</v>
      </c>
      <c r="N2" s="83" t="s">
        <v>20</v>
      </c>
      <c r="O2" s="83" t="s">
        <v>21</v>
      </c>
      <c r="P2" s="83" t="s">
        <v>105</v>
      </c>
      <c r="Q2" s="120" t="s">
        <v>54</v>
      </c>
      <c r="R2" s="41" t="s">
        <v>82</v>
      </c>
      <c r="S2" s="174" t="s">
        <v>2</v>
      </c>
      <c r="T2" s="175" t="s">
        <v>0</v>
      </c>
      <c r="U2" s="176" t="s">
        <v>1</v>
      </c>
      <c r="V2" s="176" t="s">
        <v>60</v>
      </c>
      <c r="W2" s="176" t="s">
        <v>20</v>
      </c>
      <c r="X2" s="176" t="s">
        <v>960</v>
      </c>
      <c r="Y2" s="177" t="s">
        <v>1353</v>
      </c>
      <c r="Z2" s="178" t="s">
        <v>82</v>
      </c>
      <c r="AA2" s="61" t="s">
        <v>54</v>
      </c>
      <c r="AB2" s="57" t="s">
        <v>2</v>
      </c>
      <c r="AC2" s="40" t="s">
        <v>49</v>
      </c>
      <c r="AD2" s="41" t="s">
        <v>1</v>
      </c>
      <c r="AE2" s="41" t="s">
        <v>60</v>
      </c>
      <c r="AF2" s="41" t="s">
        <v>20</v>
      </c>
      <c r="AG2" s="41" t="s">
        <v>21</v>
      </c>
      <c r="AH2" s="41" t="s">
        <v>105</v>
      </c>
      <c r="AI2" s="41" t="s">
        <v>54</v>
      </c>
      <c r="AJ2" s="61" t="s">
        <v>82</v>
      </c>
    </row>
    <row r="3" spans="1:36" x14ac:dyDescent="0.25">
      <c r="A3" s="88">
        <v>1</v>
      </c>
      <c r="B3" s="89" t="s">
        <v>843</v>
      </c>
      <c r="C3" s="90" t="s">
        <v>6</v>
      </c>
      <c r="D3" s="91" t="s">
        <v>67</v>
      </c>
      <c r="E3" s="92">
        <v>1</v>
      </c>
      <c r="F3" s="93">
        <v>43.817120259708126</v>
      </c>
      <c r="G3" s="93">
        <v>44.502163815680298</v>
      </c>
      <c r="H3" s="93"/>
      <c r="I3" s="93"/>
      <c r="J3" s="88">
        <v>1</v>
      </c>
      <c r="K3" s="94"/>
      <c r="L3" s="90"/>
      <c r="M3" s="91"/>
      <c r="N3" s="92"/>
      <c r="O3" s="93"/>
      <c r="P3" s="93"/>
      <c r="Q3" s="93"/>
      <c r="R3" s="165"/>
      <c r="S3" s="179">
        <v>1</v>
      </c>
      <c r="T3" s="94" t="s">
        <v>84</v>
      </c>
      <c r="U3" s="90" t="s">
        <v>6</v>
      </c>
      <c r="V3" s="91" t="s">
        <v>57</v>
      </c>
      <c r="W3" s="92">
        <v>21</v>
      </c>
      <c r="X3" s="93">
        <v>100.00430567075759</v>
      </c>
      <c r="Y3" s="93">
        <v>101.63879498690311</v>
      </c>
      <c r="Z3" s="180">
        <v>99.998814430247052</v>
      </c>
      <c r="AA3" s="168"/>
      <c r="AB3" s="90"/>
      <c r="AC3" s="89"/>
      <c r="AD3" s="90"/>
      <c r="AE3" s="91"/>
      <c r="AF3" s="92"/>
      <c r="AG3" s="93"/>
      <c r="AH3" s="93"/>
      <c r="AI3" s="93"/>
      <c r="AJ3" s="93"/>
    </row>
    <row r="4" spans="1:36" x14ac:dyDescent="0.25">
      <c r="A4" s="88">
        <v>2</v>
      </c>
      <c r="B4" s="89" t="s">
        <v>896</v>
      </c>
      <c r="C4" s="90" t="s">
        <v>6</v>
      </c>
      <c r="D4" s="91" t="s">
        <v>69</v>
      </c>
      <c r="E4" s="92">
        <v>0</v>
      </c>
      <c r="F4" s="93">
        <v>32.042348423221817</v>
      </c>
      <c r="G4" s="93">
        <v>32.042348423221817</v>
      </c>
      <c r="H4" s="93"/>
      <c r="I4" s="93"/>
      <c r="J4" s="88">
        <v>2</v>
      </c>
      <c r="K4" s="94"/>
      <c r="L4" s="90"/>
      <c r="M4" s="91"/>
      <c r="N4" s="92"/>
      <c r="O4" s="93"/>
      <c r="P4" s="93"/>
      <c r="Q4" s="93"/>
      <c r="R4" s="165"/>
      <c r="S4" s="179">
        <f>S3+1</f>
        <v>2</v>
      </c>
      <c r="T4" s="94" t="s">
        <v>7</v>
      </c>
      <c r="U4" s="90" t="s">
        <v>6</v>
      </c>
      <c r="V4" s="91" t="s">
        <v>57</v>
      </c>
      <c r="W4" s="92">
        <v>19</v>
      </c>
      <c r="X4" s="93">
        <v>95.350976065584277</v>
      </c>
      <c r="Y4" s="93">
        <v>101.55169366318722</v>
      </c>
      <c r="Z4" s="180">
        <v>99.913118519467943</v>
      </c>
      <c r="AA4" s="168"/>
      <c r="AB4" s="90"/>
      <c r="AC4" s="94"/>
      <c r="AD4" s="90"/>
      <c r="AE4" s="91"/>
      <c r="AF4" s="92"/>
      <c r="AG4" s="93"/>
      <c r="AH4" s="93"/>
      <c r="AI4" s="93"/>
      <c r="AJ4" s="93"/>
    </row>
    <row r="5" spans="1:36" x14ac:dyDescent="0.25">
      <c r="A5" s="88">
        <v>3</v>
      </c>
      <c r="B5" s="89" t="s">
        <v>68</v>
      </c>
      <c r="C5" s="90" t="s">
        <v>6</v>
      </c>
      <c r="D5" s="91" t="s">
        <v>69</v>
      </c>
      <c r="E5" s="92">
        <v>0</v>
      </c>
      <c r="F5" s="93">
        <v>67.18098222519626</v>
      </c>
      <c r="G5" s="93">
        <v>67.18098222519626</v>
      </c>
      <c r="H5" s="93"/>
      <c r="I5" s="93"/>
      <c r="J5" s="88">
        <v>3</v>
      </c>
      <c r="K5" s="94"/>
      <c r="L5" s="90"/>
      <c r="M5" s="91"/>
      <c r="N5" s="92"/>
      <c r="O5" s="93"/>
      <c r="P5" s="93"/>
      <c r="Q5" s="93"/>
      <c r="R5" s="165"/>
      <c r="S5" s="179">
        <f t="shared" ref="S5:S68" si="0">S4+1</f>
        <v>3</v>
      </c>
      <c r="T5" s="94" t="s">
        <v>189</v>
      </c>
      <c r="U5" s="90" t="s">
        <v>6</v>
      </c>
      <c r="V5" s="91" t="s">
        <v>65</v>
      </c>
      <c r="W5" s="92">
        <v>18</v>
      </c>
      <c r="X5" s="93">
        <v>93.909537275665315</v>
      </c>
      <c r="Y5" s="93">
        <v>100.5960050355997</v>
      </c>
      <c r="Z5" s="180">
        <v>98.972850290830081</v>
      </c>
      <c r="AA5" s="168"/>
      <c r="AB5" s="90"/>
      <c r="AC5" s="94"/>
      <c r="AD5" s="90"/>
      <c r="AE5" s="91"/>
      <c r="AF5" s="92"/>
      <c r="AG5" s="93"/>
      <c r="AH5" s="93"/>
      <c r="AI5" s="93"/>
      <c r="AJ5" s="93"/>
    </row>
    <row r="6" spans="1:36" x14ac:dyDescent="0.25">
      <c r="A6" s="88">
        <v>4</v>
      </c>
      <c r="B6" s="94" t="s">
        <v>921</v>
      </c>
      <c r="C6" s="90" t="s">
        <v>6</v>
      </c>
      <c r="D6" s="90" t="s">
        <v>61</v>
      </c>
      <c r="E6" s="92">
        <v>0</v>
      </c>
      <c r="F6" s="93">
        <v>35.829740635167489</v>
      </c>
      <c r="G6" s="93">
        <v>35.829740635167489</v>
      </c>
      <c r="H6" s="93"/>
      <c r="I6" s="93"/>
      <c r="J6" s="88">
        <v>4</v>
      </c>
      <c r="K6" s="94"/>
      <c r="L6" s="90"/>
      <c r="M6" s="91"/>
      <c r="N6" s="92"/>
      <c r="O6" s="93"/>
      <c r="P6" s="93"/>
      <c r="Q6" s="93"/>
      <c r="R6" s="165"/>
      <c r="S6" s="179">
        <f t="shared" si="0"/>
        <v>4</v>
      </c>
      <c r="T6" s="94" t="s">
        <v>70</v>
      </c>
      <c r="U6" s="90" t="s">
        <v>6</v>
      </c>
      <c r="V6" s="91" t="s">
        <v>58</v>
      </c>
      <c r="W6" s="92">
        <v>20</v>
      </c>
      <c r="X6" s="93">
        <v>94.642791354956501</v>
      </c>
      <c r="Y6" s="93">
        <v>97.96061948991985</v>
      </c>
      <c r="Z6" s="180">
        <v>96.379987691774744</v>
      </c>
      <c r="AA6" s="168"/>
      <c r="AB6" s="90"/>
      <c r="AC6" s="94"/>
      <c r="AD6" s="90"/>
      <c r="AE6" s="91"/>
      <c r="AF6" s="92"/>
      <c r="AG6" s="93"/>
      <c r="AH6" s="93"/>
      <c r="AI6" s="93"/>
      <c r="AJ6" s="93"/>
    </row>
    <row r="7" spans="1:36" x14ac:dyDescent="0.25">
      <c r="A7" s="88">
        <v>5</v>
      </c>
      <c r="B7" s="94" t="s">
        <v>914</v>
      </c>
      <c r="C7" s="90" t="s">
        <v>6</v>
      </c>
      <c r="D7" s="91" t="s">
        <v>63</v>
      </c>
      <c r="E7" s="92">
        <v>0</v>
      </c>
      <c r="F7" s="93">
        <v>51.513881346722151</v>
      </c>
      <c r="G7" s="93">
        <v>51.513881346722151</v>
      </c>
      <c r="H7" s="93"/>
      <c r="I7" s="93"/>
      <c r="J7" s="88">
        <v>5</v>
      </c>
      <c r="K7" s="94"/>
      <c r="L7" s="90"/>
      <c r="M7" s="91"/>
      <c r="N7" s="92"/>
      <c r="O7" s="93"/>
      <c r="P7" s="93"/>
      <c r="Q7" s="93"/>
      <c r="R7" s="165"/>
      <c r="S7" s="179">
        <f t="shared" si="0"/>
        <v>5</v>
      </c>
      <c r="T7" s="94" t="s">
        <v>50</v>
      </c>
      <c r="U7" s="90" t="s">
        <v>6</v>
      </c>
      <c r="V7" s="91" t="s">
        <v>64</v>
      </c>
      <c r="W7" s="92">
        <v>11</v>
      </c>
      <c r="X7" s="93">
        <v>94.460912223772951</v>
      </c>
      <c r="Y7" s="93">
        <v>96.368824810966856</v>
      </c>
      <c r="Z7" s="180">
        <v>94.813877224485296</v>
      </c>
      <c r="AA7" s="168"/>
      <c r="AB7" s="90"/>
      <c r="AC7" s="89"/>
      <c r="AD7" s="90"/>
      <c r="AE7" s="91"/>
      <c r="AF7" s="92"/>
      <c r="AG7" s="93"/>
      <c r="AH7" s="93"/>
      <c r="AI7" s="93"/>
      <c r="AJ7" s="93"/>
    </row>
    <row r="8" spans="1:36" x14ac:dyDescent="0.25">
      <c r="A8" s="88">
        <v>6</v>
      </c>
      <c r="B8" s="89" t="s">
        <v>744</v>
      </c>
      <c r="C8" s="90" t="s">
        <v>6</v>
      </c>
      <c r="D8" s="91" t="s">
        <v>69</v>
      </c>
      <c r="E8" s="92">
        <v>0</v>
      </c>
      <c r="F8" s="93">
        <v>54.563008709734852</v>
      </c>
      <c r="G8" s="93">
        <v>54.563008709734852</v>
      </c>
      <c r="H8" s="93"/>
      <c r="I8" s="93"/>
      <c r="J8" s="88">
        <v>6</v>
      </c>
      <c r="K8" s="94"/>
      <c r="L8" s="90"/>
      <c r="M8" s="91"/>
      <c r="N8" s="92"/>
      <c r="O8" s="93"/>
      <c r="P8" s="93"/>
      <c r="Q8" s="93"/>
      <c r="R8" s="165"/>
      <c r="S8" s="179">
        <f t="shared" si="0"/>
        <v>6</v>
      </c>
      <c r="T8" s="94" t="s">
        <v>762</v>
      </c>
      <c r="U8" s="90" t="s">
        <v>6</v>
      </c>
      <c r="V8" s="91" t="s">
        <v>58</v>
      </c>
      <c r="W8" s="92">
        <v>12</v>
      </c>
      <c r="X8" s="93">
        <v>94.093188352610781</v>
      </c>
      <c r="Y8" s="93">
        <v>96.185590589461611</v>
      </c>
      <c r="Z8" s="180">
        <v>94.633599556731212</v>
      </c>
      <c r="AA8" s="168"/>
      <c r="AB8" s="90"/>
      <c r="AC8" s="94"/>
      <c r="AD8" s="90"/>
      <c r="AE8" s="91"/>
      <c r="AF8" s="92"/>
      <c r="AG8" s="93"/>
      <c r="AH8" s="93"/>
      <c r="AI8" s="93"/>
      <c r="AJ8" s="93"/>
    </row>
    <row r="9" spans="1:36" x14ac:dyDescent="0.25">
      <c r="A9" s="88">
        <v>7</v>
      </c>
      <c r="B9" s="94" t="s">
        <v>84</v>
      </c>
      <c r="C9" s="90" t="s">
        <v>6</v>
      </c>
      <c r="D9" s="90" t="s">
        <v>57</v>
      </c>
      <c r="E9" s="92">
        <v>8</v>
      </c>
      <c r="F9" s="93">
        <v>100.00430567075759</v>
      </c>
      <c r="G9" s="93">
        <v>99.386238853803533</v>
      </c>
      <c r="H9" s="93"/>
      <c r="I9" s="93"/>
      <c r="J9" s="88">
        <v>7</v>
      </c>
      <c r="K9" s="94"/>
      <c r="L9" s="90"/>
      <c r="M9" s="91"/>
      <c r="N9" s="92"/>
      <c r="O9" s="93"/>
      <c r="P9" s="93"/>
      <c r="Q9" s="93"/>
      <c r="R9" s="165"/>
      <c r="S9" s="179">
        <f t="shared" si="0"/>
        <v>7</v>
      </c>
      <c r="T9" s="94" t="s">
        <v>795</v>
      </c>
      <c r="U9" s="90" t="s">
        <v>6</v>
      </c>
      <c r="V9" s="91" t="s">
        <v>63</v>
      </c>
      <c r="W9" s="92">
        <v>10</v>
      </c>
      <c r="X9" s="93">
        <v>91.99586802493603</v>
      </c>
      <c r="Y9" s="93">
        <v>95.726891544224614</v>
      </c>
      <c r="Z9" s="180">
        <v>94.182301794790064</v>
      </c>
      <c r="AA9" s="168"/>
      <c r="AB9" s="90"/>
      <c r="AC9" s="89"/>
      <c r="AD9" s="90"/>
      <c r="AE9" s="91"/>
      <c r="AF9" s="92"/>
      <c r="AG9" s="93"/>
      <c r="AH9" s="93"/>
      <c r="AI9" s="93"/>
      <c r="AJ9" s="93"/>
    </row>
    <row r="10" spans="1:36" x14ac:dyDescent="0.25">
      <c r="A10" s="88">
        <v>8</v>
      </c>
      <c r="B10" s="89" t="s">
        <v>927</v>
      </c>
      <c r="C10" s="90" t="s">
        <v>6</v>
      </c>
      <c r="D10" s="91" t="s">
        <v>79</v>
      </c>
      <c r="E10" s="92">
        <v>0</v>
      </c>
      <c r="F10" s="93">
        <v>30.005700538378754</v>
      </c>
      <c r="G10" s="93">
        <v>30.005700538378754</v>
      </c>
      <c r="H10" s="93"/>
      <c r="I10" s="93"/>
      <c r="J10" s="88">
        <v>8</v>
      </c>
      <c r="K10" s="94"/>
      <c r="L10" s="90"/>
      <c r="M10" s="91"/>
      <c r="N10" s="92"/>
      <c r="O10" s="93"/>
      <c r="P10" s="93"/>
      <c r="Q10" s="93"/>
      <c r="R10" s="165"/>
      <c r="S10" s="179">
        <f t="shared" si="0"/>
        <v>8</v>
      </c>
      <c r="T10" s="94" t="s">
        <v>756</v>
      </c>
      <c r="U10" s="90" t="s">
        <v>16</v>
      </c>
      <c r="V10" s="91" t="s">
        <v>58</v>
      </c>
      <c r="W10" s="92">
        <v>13</v>
      </c>
      <c r="X10" s="93">
        <v>85.052444447965044</v>
      </c>
      <c r="Y10" s="93">
        <v>95.669902269592725</v>
      </c>
      <c r="Z10" s="180">
        <v>94.126232063747281</v>
      </c>
      <c r="AA10" s="168"/>
      <c r="AB10" s="90"/>
      <c r="AC10" s="89"/>
      <c r="AD10" s="90"/>
      <c r="AE10" s="91"/>
      <c r="AF10" s="92"/>
      <c r="AG10" s="93"/>
      <c r="AH10" s="93"/>
      <c r="AI10" s="93"/>
      <c r="AJ10" s="93"/>
    </row>
    <row r="11" spans="1:36" x14ac:dyDescent="0.25">
      <c r="A11" s="88">
        <v>9</v>
      </c>
      <c r="B11" s="89" t="s">
        <v>891</v>
      </c>
      <c r="C11" s="90" t="s">
        <v>6</v>
      </c>
      <c r="D11" s="91" t="s">
        <v>64</v>
      </c>
      <c r="E11" s="92">
        <v>0</v>
      </c>
      <c r="F11" s="93">
        <v>26.03514013511095</v>
      </c>
      <c r="G11" s="93">
        <v>26.03514013511095</v>
      </c>
      <c r="H11" s="93"/>
      <c r="I11" s="93"/>
      <c r="J11" s="88">
        <v>9</v>
      </c>
      <c r="K11" s="94"/>
      <c r="L11" s="90"/>
      <c r="M11" s="91"/>
      <c r="N11" s="92"/>
      <c r="O11" s="93"/>
      <c r="P11" s="93"/>
      <c r="Q11" s="93"/>
      <c r="R11" s="165"/>
      <c r="S11" s="179">
        <f t="shared" si="0"/>
        <v>9</v>
      </c>
      <c r="T11" s="94" t="s">
        <v>460</v>
      </c>
      <c r="U11" s="90" t="s">
        <v>6</v>
      </c>
      <c r="V11" s="91" t="s">
        <v>58</v>
      </c>
      <c r="W11" s="92">
        <v>11</v>
      </c>
      <c r="X11" s="93">
        <v>92.189833981686178</v>
      </c>
      <c r="Y11" s="93">
        <v>94.265158124545763</v>
      </c>
      <c r="Z11" s="180">
        <v>92.744153998962773</v>
      </c>
      <c r="AA11" s="168"/>
      <c r="AB11" s="90"/>
      <c r="AC11" s="89"/>
      <c r="AD11" s="90"/>
      <c r="AE11" s="91"/>
      <c r="AF11" s="92"/>
      <c r="AG11" s="93"/>
      <c r="AH11" s="93"/>
      <c r="AI11" s="93"/>
      <c r="AJ11" s="93"/>
    </row>
    <row r="12" spans="1:36" x14ac:dyDescent="0.25">
      <c r="A12" s="88">
        <v>10</v>
      </c>
      <c r="B12" s="94" t="s">
        <v>866</v>
      </c>
      <c r="C12" s="90" t="s">
        <v>6</v>
      </c>
      <c r="D12" s="91" t="s">
        <v>59</v>
      </c>
      <c r="E12" s="92">
        <v>0</v>
      </c>
      <c r="F12" s="93">
        <v>32.802716333284081</v>
      </c>
      <c r="G12" s="93">
        <v>32.802716333284081</v>
      </c>
      <c r="H12" s="93"/>
      <c r="I12" s="93"/>
      <c r="J12" s="88">
        <v>10</v>
      </c>
      <c r="K12" s="94"/>
      <c r="L12" s="90"/>
      <c r="M12" s="91"/>
      <c r="N12" s="92"/>
      <c r="O12" s="93"/>
      <c r="P12" s="93"/>
      <c r="Q12" s="93"/>
      <c r="R12" s="165"/>
      <c r="S12" s="179">
        <f t="shared" si="0"/>
        <v>10</v>
      </c>
      <c r="T12" s="94" t="s">
        <v>838</v>
      </c>
      <c r="U12" s="90" t="s">
        <v>6</v>
      </c>
      <c r="V12" s="91" t="s">
        <v>62</v>
      </c>
      <c r="W12" s="92">
        <v>8</v>
      </c>
      <c r="X12" s="93">
        <v>90.307748533563512</v>
      </c>
      <c r="Y12" s="93">
        <v>92.499917148815257</v>
      </c>
      <c r="Z12" s="180">
        <v>91.007395856764319</v>
      </c>
      <c r="AA12" s="168"/>
      <c r="AB12" s="90"/>
      <c r="AC12" s="94"/>
      <c r="AD12" s="90"/>
      <c r="AE12" s="91"/>
      <c r="AF12" s="92"/>
      <c r="AG12" s="93"/>
      <c r="AH12" s="93"/>
      <c r="AI12" s="93"/>
      <c r="AJ12" s="93"/>
    </row>
    <row r="13" spans="1:36" x14ac:dyDescent="0.25">
      <c r="A13" s="88">
        <v>11</v>
      </c>
      <c r="B13" s="89" t="s">
        <v>778</v>
      </c>
      <c r="C13" s="90" t="s">
        <v>6</v>
      </c>
      <c r="D13" s="91" t="s">
        <v>79</v>
      </c>
      <c r="E13" s="92">
        <v>0</v>
      </c>
      <c r="F13" s="93">
        <v>44.981378680545006</v>
      </c>
      <c r="G13" s="93">
        <v>44.981378680545006</v>
      </c>
      <c r="H13" s="93"/>
      <c r="I13" s="93"/>
      <c r="J13" s="88">
        <v>11</v>
      </c>
      <c r="K13" s="94"/>
      <c r="L13" s="90"/>
      <c r="M13" s="91"/>
      <c r="N13" s="92"/>
      <c r="O13" s="93"/>
      <c r="P13" s="93"/>
      <c r="Q13" s="93"/>
      <c r="R13" s="165"/>
      <c r="S13" s="179">
        <f t="shared" si="0"/>
        <v>11</v>
      </c>
      <c r="T13" s="94" t="s">
        <v>765</v>
      </c>
      <c r="U13" s="90" t="s">
        <v>16</v>
      </c>
      <c r="V13" s="91" t="s">
        <v>61</v>
      </c>
      <c r="W13" s="92">
        <v>14</v>
      </c>
      <c r="X13" s="93">
        <v>87.998149406139206</v>
      </c>
      <c r="Y13" s="93">
        <v>93.668439084605637</v>
      </c>
      <c r="Z13" s="180">
        <v>92.157063247349114</v>
      </c>
      <c r="AA13" s="168"/>
      <c r="AB13" s="90"/>
      <c r="AC13" s="94"/>
      <c r="AD13" s="90"/>
      <c r="AE13" s="91"/>
      <c r="AF13" s="92"/>
      <c r="AG13" s="93"/>
      <c r="AH13" s="93"/>
      <c r="AI13" s="93"/>
      <c r="AJ13" s="93"/>
    </row>
    <row r="14" spans="1:36" x14ac:dyDescent="0.25">
      <c r="A14" s="88">
        <v>12</v>
      </c>
      <c r="B14" s="89" t="s">
        <v>696</v>
      </c>
      <c r="C14" s="90" t="s">
        <v>6</v>
      </c>
      <c r="D14" s="91" t="s">
        <v>63</v>
      </c>
      <c r="E14" s="92">
        <v>0</v>
      </c>
      <c r="F14" s="93">
        <v>51.935276668834355</v>
      </c>
      <c r="G14" s="93">
        <v>51.935276668834355</v>
      </c>
      <c r="H14" s="93"/>
      <c r="I14" s="93"/>
      <c r="J14" s="88">
        <v>12</v>
      </c>
      <c r="K14" s="94"/>
      <c r="L14" s="90"/>
      <c r="M14" s="91"/>
      <c r="N14" s="92"/>
      <c r="O14" s="93"/>
      <c r="P14" s="93"/>
      <c r="Q14" s="93"/>
      <c r="R14" s="165"/>
      <c r="S14" s="179">
        <f t="shared" si="0"/>
        <v>12</v>
      </c>
      <c r="T14" s="94" t="s">
        <v>104</v>
      </c>
      <c r="U14" s="90" t="s">
        <v>16</v>
      </c>
      <c r="V14" s="91" t="s">
        <v>58</v>
      </c>
      <c r="W14" s="92">
        <v>6</v>
      </c>
      <c r="X14" s="93">
        <v>87.280515799112706</v>
      </c>
      <c r="Y14" s="93">
        <v>90.590297795368514</v>
      </c>
      <c r="Z14" s="180">
        <v>89.128588936804917</v>
      </c>
      <c r="AA14" s="168"/>
      <c r="AB14" s="90"/>
      <c r="AC14" s="94"/>
      <c r="AD14" s="90"/>
      <c r="AE14" s="91"/>
      <c r="AF14" s="92"/>
      <c r="AG14" s="93"/>
      <c r="AH14" s="93"/>
      <c r="AI14" s="93"/>
      <c r="AJ14" s="93"/>
    </row>
    <row r="15" spans="1:36" x14ac:dyDescent="0.25">
      <c r="A15" s="88">
        <v>13</v>
      </c>
      <c r="B15" s="94" t="s">
        <v>1002</v>
      </c>
      <c r="C15" s="90" t="s">
        <v>6</v>
      </c>
      <c r="D15" s="91" t="s">
        <v>59</v>
      </c>
      <c r="E15" s="92">
        <v>1</v>
      </c>
      <c r="F15" s="93">
        <v>49.890115442943276</v>
      </c>
      <c r="G15" s="93">
        <v>49.468628955391111</v>
      </c>
      <c r="H15" s="93"/>
      <c r="I15" s="93"/>
      <c r="J15" s="88">
        <v>13</v>
      </c>
      <c r="K15" s="94"/>
      <c r="L15" s="90"/>
      <c r="M15" s="91"/>
      <c r="N15" s="92"/>
      <c r="O15" s="93"/>
      <c r="P15" s="93"/>
      <c r="Q15" s="93"/>
      <c r="R15" s="165"/>
      <c r="S15" s="179">
        <f t="shared" si="0"/>
        <v>13</v>
      </c>
      <c r="T15" s="94" t="s">
        <v>759</v>
      </c>
      <c r="U15" s="90" t="s">
        <v>6</v>
      </c>
      <c r="V15" s="91" t="s">
        <v>87</v>
      </c>
      <c r="W15" s="92">
        <v>6</v>
      </c>
      <c r="X15" s="93">
        <v>90.055069712413157</v>
      </c>
      <c r="Y15" s="93">
        <v>90.488521205766915</v>
      </c>
      <c r="Z15" s="180">
        <v>89.028454551128419</v>
      </c>
      <c r="AA15" s="168"/>
      <c r="AB15" s="90"/>
      <c r="AC15" s="94"/>
      <c r="AD15" s="90"/>
      <c r="AE15" s="91"/>
      <c r="AF15" s="92"/>
      <c r="AG15" s="93"/>
      <c r="AH15" s="93"/>
      <c r="AI15" s="93"/>
      <c r="AJ15" s="93"/>
    </row>
    <row r="16" spans="1:36" x14ac:dyDescent="0.25">
      <c r="A16" s="88">
        <v>14</v>
      </c>
      <c r="B16" s="94" t="s">
        <v>449</v>
      </c>
      <c r="C16" s="90" t="s">
        <v>6</v>
      </c>
      <c r="D16" s="91" t="s">
        <v>69</v>
      </c>
      <c r="E16" s="92">
        <v>0</v>
      </c>
      <c r="F16" s="93">
        <v>55.404980572977784</v>
      </c>
      <c r="G16" s="93">
        <v>55.404980572977784</v>
      </c>
      <c r="H16" s="93"/>
      <c r="I16" s="93"/>
      <c r="J16" s="88">
        <v>14</v>
      </c>
      <c r="K16" s="94"/>
      <c r="L16" s="90"/>
      <c r="M16" s="91"/>
      <c r="N16" s="92"/>
      <c r="O16" s="93"/>
      <c r="P16" s="93"/>
      <c r="Q16" s="93"/>
      <c r="R16" s="165"/>
      <c r="S16" s="179">
        <f t="shared" si="0"/>
        <v>14</v>
      </c>
      <c r="T16" s="94" t="s">
        <v>714</v>
      </c>
      <c r="U16" s="90" t="s">
        <v>16</v>
      </c>
      <c r="V16" s="91" t="s">
        <v>64</v>
      </c>
      <c r="W16" s="92">
        <v>16</v>
      </c>
      <c r="X16" s="93">
        <v>87.176205670220071</v>
      </c>
      <c r="Y16" s="93">
        <v>90.164082879317021</v>
      </c>
      <c r="Z16" s="180">
        <v>88.709251160288304</v>
      </c>
      <c r="AA16" s="168"/>
      <c r="AB16" s="90"/>
      <c r="AC16" s="94"/>
      <c r="AD16" s="90"/>
      <c r="AE16" s="91"/>
      <c r="AF16" s="92"/>
      <c r="AG16" s="93"/>
      <c r="AH16" s="93"/>
      <c r="AI16" s="93"/>
      <c r="AJ16" s="93"/>
    </row>
    <row r="17" spans="1:36" x14ac:dyDescent="0.25">
      <c r="A17" s="88">
        <v>15</v>
      </c>
      <c r="B17" s="89" t="s">
        <v>700</v>
      </c>
      <c r="C17" s="90" t="s">
        <v>6</v>
      </c>
      <c r="D17" s="91" t="s">
        <v>58</v>
      </c>
      <c r="E17" s="92">
        <v>0</v>
      </c>
      <c r="F17" s="93">
        <v>47.751602901196883</v>
      </c>
      <c r="G17" s="93">
        <v>47.751602901196883</v>
      </c>
      <c r="H17" s="93"/>
      <c r="I17" s="93"/>
      <c r="J17" s="88">
        <v>15</v>
      </c>
      <c r="K17" s="94"/>
      <c r="L17" s="90"/>
      <c r="M17" s="91"/>
      <c r="N17" s="92"/>
      <c r="O17" s="93"/>
      <c r="P17" s="93"/>
      <c r="Q17" s="93"/>
      <c r="R17" s="165"/>
      <c r="S17" s="179">
        <f t="shared" si="0"/>
        <v>15</v>
      </c>
      <c r="T17" s="94" t="s">
        <v>1028</v>
      </c>
      <c r="U17" s="90" t="s">
        <v>16</v>
      </c>
      <c r="V17" s="91" t="s">
        <v>58</v>
      </c>
      <c r="W17" s="92">
        <v>10</v>
      </c>
      <c r="X17" s="93">
        <v>0</v>
      </c>
      <c r="Y17" s="93">
        <v>89.140521308048847</v>
      </c>
      <c r="Z17" s="180">
        <v>87.702205143692296</v>
      </c>
      <c r="AA17" s="168"/>
      <c r="AB17" s="90"/>
      <c r="AC17" s="94"/>
      <c r="AD17" s="90"/>
      <c r="AE17" s="91"/>
      <c r="AF17" s="92"/>
      <c r="AG17" s="93"/>
      <c r="AH17" s="93"/>
      <c r="AI17" s="93"/>
      <c r="AJ17" s="93"/>
    </row>
    <row r="18" spans="1:36" x14ac:dyDescent="0.25">
      <c r="A18" s="88">
        <v>16</v>
      </c>
      <c r="B18" s="89" t="s">
        <v>970</v>
      </c>
      <c r="C18" s="90" t="s">
        <v>6</v>
      </c>
      <c r="D18" s="91" t="s">
        <v>87</v>
      </c>
      <c r="E18" s="92">
        <v>0</v>
      </c>
      <c r="F18" s="93">
        <v>41.854328923749364</v>
      </c>
      <c r="G18" s="93">
        <v>41.854328923749364</v>
      </c>
      <c r="H18" s="93"/>
      <c r="I18" s="93"/>
      <c r="J18" s="88">
        <v>16</v>
      </c>
      <c r="K18" s="94"/>
      <c r="L18" s="90"/>
      <c r="M18" s="91"/>
      <c r="N18" s="92"/>
      <c r="O18" s="93"/>
      <c r="P18" s="93"/>
      <c r="Q18" s="93"/>
      <c r="R18" s="165"/>
      <c r="S18" s="179">
        <f t="shared" si="0"/>
        <v>16</v>
      </c>
      <c r="T18" s="94" t="s">
        <v>173</v>
      </c>
      <c r="U18" s="90" t="s">
        <v>6</v>
      </c>
      <c r="V18" s="91" t="s">
        <v>88</v>
      </c>
      <c r="W18" s="92">
        <v>8</v>
      </c>
      <c r="X18" s="93">
        <v>89.585588407213393</v>
      </c>
      <c r="Y18" s="93">
        <v>88.875371523232701</v>
      </c>
      <c r="Z18" s="180">
        <v>87.441333651350547</v>
      </c>
      <c r="AA18" s="168"/>
      <c r="AB18" s="90"/>
      <c r="AC18" s="94"/>
      <c r="AD18" s="90"/>
      <c r="AE18" s="91"/>
      <c r="AF18" s="92"/>
      <c r="AG18" s="93"/>
      <c r="AH18" s="93"/>
      <c r="AI18" s="93"/>
      <c r="AJ18" s="93"/>
    </row>
    <row r="19" spans="1:36" x14ac:dyDescent="0.25">
      <c r="A19" s="88">
        <v>17</v>
      </c>
      <c r="B19" s="94" t="s">
        <v>1028</v>
      </c>
      <c r="C19" s="90" t="s">
        <v>16</v>
      </c>
      <c r="D19" s="91" t="s">
        <v>58</v>
      </c>
      <c r="E19" s="92">
        <v>4</v>
      </c>
      <c r="F19" s="93">
        <v>0</v>
      </c>
      <c r="G19" s="93">
        <v>85.646563457473988</v>
      </c>
      <c r="H19" s="93"/>
      <c r="I19" s="93"/>
      <c r="J19" s="88">
        <v>17</v>
      </c>
      <c r="K19" s="94"/>
      <c r="L19" s="90"/>
      <c r="M19" s="91"/>
      <c r="N19" s="92"/>
      <c r="O19" s="93"/>
      <c r="P19" s="93"/>
      <c r="Q19" s="93"/>
      <c r="R19" s="165"/>
      <c r="S19" s="179">
        <f t="shared" si="0"/>
        <v>17</v>
      </c>
      <c r="T19" s="94" t="s">
        <v>1022</v>
      </c>
      <c r="U19" s="90" t="s">
        <v>6</v>
      </c>
      <c r="V19" s="91" t="s">
        <v>59</v>
      </c>
      <c r="W19" s="92">
        <v>0</v>
      </c>
      <c r="X19" s="93">
        <v>0</v>
      </c>
      <c r="Y19" s="93">
        <v>88.75896896468646</v>
      </c>
      <c r="Z19" s="180">
        <v>87.326809292292864</v>
      </c>
      <c r="AA19" s="168"/>
      <c r="AB19" s="90"/>
      <c r="AC19" s="94"/>
      <c r="AD19" s="90"/>
      <c r="AE19" s="91"/>
      <c r="AF19" s="92"/>
      <c r="AG19" s="93"/>
      <c r="AH19" s="93"/>
      <c r="AI19" s="93"/>
      <c r="AJ19" s="93"/>
    </row>
    <row r="20" spans="1:36" x14ac:dyDescent="0.25">
      <c r="A20" s="88">
        <v>18</v>
      </c>
      <c r="B20" s="89" t="s">
        <v>845</v>
      </c>
      <c r="C20" s="90" t="s">
        <v>6</v>
      </c>
      <c r="D20" s="91" t="s">
        <v>58</v>
      </c>
      <c r="E20" s="92">
        <v>1</v>
      </c>
      <c r="F20" s="93">
        <v>54.303932065615079</v>
      </c>
      <c r="G20" s="93">
        <v>43.557289566299225</v>
      </c>
      <c r="H20" s="93"/>
      <c r="I20" s="93"/>
      <c r="J20" s="88">
        <v>18</v>
      </c>
      <c r="K20" s="94"/>
      <c r="L20" s="90"/>
      <c r="M20" s="91"/>
      <c r="N20" s="92"/>
      <c r="O20" s="93"/>
      <c r="P20" s="93"/>
      <c r="Q20" s="93"/>
      <c r="R20" s="165"/>
      <c r="S20" s="179">
        <f t="shared" si="0"/>
        <v>18</v>
      </c>
      <c r="T20" s="94" t="s">
        <v>805</v>
      </c>
      <c r="U20" s="90" t="s">
        <v>16</v>
      </c>
      <c r="V20" s="91" t="s">
        <v>69</v>
      </c>
      <c r="W20" s="92">
        <v>8</v>
      </c>
      <c r="X20" s="93">
        <v>74.181042242341434</v>
      </c>
      <c r="Y20" s="93">
        <v>88.175647007594392</v>
      </c>
      <c r="Z20" s="180">
        <v>86.752899456507677</v>
      </c>
      <c r="AA20" s="168"/>
      <c r="AB20" s="90"/>
      <c r="AC20" s="94"/>
      <c r="AD20" s="90"/>
      <c r="AE20" s="91"/>
      <c r="AF20" s="92"/>
      <c r="AG20" s="93"/>
      <c r="AH20" s="93"/>
      <c r="AI20" s="93"/>
      <c r="AJ20" s="93"/>
    </row>
    <row r="21" spans="1:36" x14ac:dyDescent="0.25">
      <c r="A21" s="88">
        <v>19</v>
      </c>
      <c r="B21" s="89" t="s">
        <v>878</v>
      </c>
      <c r="C21" s="90" t="s">
        <v>6</v>
      </c>
      <c r="D21" s="91" t="s">
        <v>87</v>
      </c>
      <c r="E21" s="92">
        <v>0</v>
      </c>
      <c r="F21" s="93">
        <v>26.164378235281418</v>
      </c>
      <c r="G21" s="93">
        <v>26.164378235281418</v>
      </c>
      <c r="H21" s="93"/>
      <c r="I21" s="93"/>
      <c r="J21" s="88">
        <v>19</v>
      </c>
      <c r="K21" s="94"/>
      <c r="L21" s="90"/>
      <c r="M21" s="91"/>
      <c r="N21" s="92"/>
      <c r="O21" s="93"/>
      <c r="P21" s="93"/>
      <c r="Q21" s="93"/>
      <c r="R21" s="165"/>
      <c r="S21" s="179">
        <f t="shared" si="0"/>
        <v>19</v>
      </c>
      <c r="T21" s="94" t="s">
        <v>103</v>
      </c>
      <c r="U21" s="90" t="s">
        <v>6</v>
      </c>
      <c r="V21" s="91" t="s">
        <v>63</v>
      </c>
      <c r="W21" s="92">
        <v>6</v>
      </c>
      <c r="X21" s="93">
        <v>89.964188620219048</v>
      </c>
      <c r="Y21" s="93">
        <v>88.168900774706728</v>
      </c>
      <c r="Z21" s="180">
        <v>86.746262076649671</v>
      </c>
      <c r="AA21" s="168"/>
      <c r="AB21" s="90"/>
      <c r="AC21" s="94"/>
      <c r="AD21" s="90"/>
      <c r="AE21" s="91"/>
      <c r="AF21" s="92"/>
      <c r="AG21" s="93"/>
      <c r="AH21" s="93"/>
      <c r="AI21" s="93"/>
      <c r="AJ21" s="93"/>
    </row>
    <row r="22" spans="1:36" x14ac:dyDescent="0.25">
      <c r="A22" s="88">
        <v>20</v>
      </c>
      <c r="B22" s="94" t="s">
        <v>818</v>
      </c>
      <c r="C22" s="90" t="s">
        <v>6</v>
      </c>
      <c r="D22" s="90" t="s">
        <v>63</v>
      </c>
      <c r="E22" s="92">
        <v>0</v>
      </c>
      <c r="F22" s="93">
        <v>62.817150612854775</v>
      </c>
      <c r="G22" s="93">
        <v>62.817150612854775</v>
      </c>
      <c r="H22" s="93"/>
      <c r="I22" s="93"/>
      <c r="J22" s="88">
        <v>20</v>
      </c>
      <c r="K22" s="94"/>
      <c r="L22" s="90"/>
      <c r="M22" s="91"/>
      <c r="N22" s="92"/>
      <c r="O22" s="93"/>
      <c r="P22" s="93"/>
      <c r="Q22" s="93"/>
      <c r="R22" s="165"/>
      <c r="S22" s="179">
        <f t="shared" si="0"/>
        <v>20</v>
      </c>
      <c r="T22" s="94" t="s">
        <v>1119</v>
      </c>
      <c r="U22" s="90" t="s">
        <v>6</v>
      </c>
      <c r="V22" s="91" t="s">
        <v>58</v>
      </c>
      <c r="W22" s="92">
        <v>5</v>
      </c>
      <c r="X22" s="93">
        <v>0</v>
      </c>
      <c r="Y22" s="93">
        <v>87.909174813972726</v>
      </c>
      <c r="Z22" s="180">
        <v>86.490726892928706</v>
      </c>
      <c r="AA22" s="168"/>
      <c r="AB22" s="90"/>
      <c r="AC22" s="94"/>
      <c r="AD22" s="90"/>
      <c r="AE22" s="91"/>
      <c r="AF22" s="92"/>
      <c r="AG22" s="93"/>
      <c r="AH22" s="93"/>
      <c r="AI22" s="93"/>
      <c r="AJ22" s="93"/>
    </row>
    <row r="23" spans="1:36" x14ac:dyDescent="0.25">
      <c r="A23" s="88">
        <v>21</v>
      </c>
      <c r="B23" s="89" t="s">
        <v>857</v>
      </c>
      <c r="C23" s="90" t="s">
        <v>6</v>
      </c>
      <c r="D23" s="91" t="s">
        <v>89</v>
      </c>
      <c r="E23" s="92">
        <v>0</v>
      </c>
      <c r="F23" s="93">
        <v>49.631093114644997</v>
      </c>
      <c r="G23" s="93">
        <v>49.631093114644997</v>
      </c>
      <c r="H23" s="93"/>
      <c r="I23" s="93"/>
      <c r="J23" s="88">
        <v>21</v>
      </c>
      <c r="K23" s="94"/>
      <c r="L23" s="90"/>
      <c r="M23" s="91"/>
      <c r="N23" s="92"/>
      <c r="O23" s="93"/>
      <c r="P23" s="93"/>
      <c r="Q23" s="93"/>
      <c r="R23" s="165"/>
      <c r="S23" s="179">
        <f t="shared" si="0"/>
        <v>21</v>
      </c>
      <c r="T23" s="94" t="s">
        <v>102</v>
      </c>
      <c r="U23" s="90" t="s">
        <v>6</v>
      </c>
      <c r="V23" s="91" t="s">
        <v>63</v>
      </c>
      <c r="W23" s="92">
        <v>3</v>
      </c>
      <c r="X23" s="93">
        <v>86.807963708513867</v>
      </c>
      <c r="Y23" s="93">
        <v>86.170020521356093</v>
      </c>
      <c r="Z23" s="180">
        <v>84.779634515305091</v>
      </c>
      <c r="AA23" s="168"/>
      <c r="AB23" s="90"/>
      <c r="AC23" s="95"/>
      <c r="AD23" s="88"/>
      <c r="AE23" s="150"/>
      <c r="AF23" s="92"/>
      <c r="AG23" s="93"/>
      <c r="AH23" s="93"/>
      <c r="AI23" s="93"/>
      <c r="AJ23" s="93"/>
    </row>
    <row r="24" spans="1:36" x14ac:dyDescent="0.25">
      <c r="A24" s="88">
        <v>22</v>
      </c>
      <c r="B24" s="89" t="s">
        <v>733</v>
      </c>
      <c r="C24" s="90" t="s">
        <v>6</v>
      </c>
      <c r="D24" s="91" t="s">
        <v>63</v>
      </c>
      <c r="E24" s="92">
        <v>0</v>
      </c>
      <c r="F24" s="93">
        <v>65.363286458323827</v>
      </c>
      <c r="G24" s="93">
        <v>65.363286458323827</v>
      </c>
      <c r="H24" s="93"/>
      <c r="I24" s="93"/>
      <c r="J24" s="88">
        <v>22</v>
      </c>
      <c r="K24" s="94"/>
      <c r="L24" s="90"/>
      <c r="M24" s="91"/>
      <c r="N24" s="92"/>
      <c r="O24" s="93"/>
      <c r="P24" s="93"/>
      <c r="Q24" s="93"/>
      <c r="R24" s="165"/>
      <c r="S24" s="179">
        <f t="shared" si="0"/>
        <v>22</v>
      </c>
      <c r="T24" s="94" t="s">
        <v>1034</v>
      </c>
      <c r="U24" s="90" t="s">
        <v>16</v>
      </c>
      <c r="V24" s="91" t="s">
        <v>63</v>
      </c>
      <c r="W24" s="92">
        <v>6</v>
      </c>
      <c r="X24" s="93">
        <v>0</v>
      </c>
      <c r="Y24" s="93">
        <v>85.144041542216456</v>
      </c>
      <c r="Z24" s="180">
        <v>83.7702100966317</v>
      </c>
      <c r="AA24" s="168"/>
      <c r="AB24" s="90"/>
      <c r="AC24" s="94"/>
      <c r="AD24" s="90"/>
      <c r="AE24" s="150"/>
      <c r="AF24" s="92"/>
      <c r="AG24" s="93"/>
      <c r="AH24" s="93"/>
      <c r="AI24" s="93"/>
      <c r="AJ24" s="93"/>
    </row>
    <row r="25" spans="1:36" x14ac:dyDescent="0.25">
      <c r="A25" s="88">
        <v>23</v>
      </c>
      <c r="B25" s="94" t="s">
        <v>801</v>
      </c>
      <c r="C25" s="90" t="s">
        <v>6</v>
      </c>
      <c r="D25" s="90" t="s">
        <v>62</v>
      </c>
      <c r="E25" s="92">
        <v>0</v>
      </c>
      <c r="F25" s="93">
        <v>32.342782710051459</v>
      </c>
      <c r="G25" s="93">
        <v>32.342782710051459</v>
      </c>
      <c r="H25" s="93"/>
      <c r="I25" s="93"/>
      <c r="J25" s="88">
        <v>23</v>
      </c>
      <c r="K25" s="94"/>
      <c r="L25" s="90"/>
      <c r="M25" s="91"/>
      <c r="N25" s="92"/>
      <c r="O25" s="93"/>
      <c r="P25" s="93"/>
      <c r="Q25" s="93"/>
      <c r="R25" s="165"/>
      <c r="S25" s="179">
        <f t="shared" si="0"/>
        <v>23</v>
      </c>
      <c r="T25" s="94" t="s">
        <v>839</v>
      </c>
      <c r="U25" s="90" t="s">
        <v>16</v>
      </c>
      <c r="V25" s="91" t="s">
        <v>87</v>
      </c>
      <c r="W25" s="92">
        <v>7</v>
      </c>
      <c r="X25" s="93">
        <v>66.795927850866093</v>
      </c>
      <c r="Y25" s="93">
        <v>84.738335910778829</v>
      </c>
      <c r="Z25" s="180">
        <v>83.371050679632845</v>
      </c>
      <c r="AA25" s="168"/>
      <c r="AB25" s="90"/>
      <c r="AC25" s="94"/>
      <c r="AD25" s="90"/>
      <c r="AE25" s="91"/>
      <c r="AF25" s="92"/>
      <c r="AG25" s="93"/>
      <c r="AH25" s="93"/>
      <c r="AI25" s="93"/>
      <c r="AJ25" s="93"/>
    </row>
    <row r="26" spans="1:36" x14ac:dyDescent="0.25">
      <c r="A26" s="88">
        <v>24</v>
      </c>
      <c r="B26" s="94" t="s">
        <v>930</v>
      </c>
      <c r="C26" s="90" t="s">
        <v>6</v>
      </c>
      <c r="D26" s="91" t="s">
        <v>933</v>
      </c>
      <c r="E26" s="92">
        <v>0</v>
      </c>
      <c r="F26" s="93">
        <v>18.618733858802432</v>
      </c>
      <c r="G26" s="93">
        <v>18.618733858802432</v>
      </c>
      <c r="H26" s="93"/>
      <c r="I26" s="93"/>
      <c r="J26" s="88">
        <v>24</v>
      </c>
      <c r="K26" s="94"/>
      <c r="L26" s="90"/>
      <c r="M26" s="91"/>
      <c r="N26" s="92"/>
      <c r="O26" s="93"/>
      <c r="P26" s="93"/>
      <c r="Q26" s="93"/>
      <c r="R26" s="165"/>
      <c r="S26" s="179">
        <f t="shared" si="0"/>
        <v>24</v>
      </c>
      <c r="T26" s="94" t="s">
        <v>1035</v>
      </c>
      <c r="U26" s="90" t="s">
        <v>16</v>
      </c>
      <c r="V26" s="91" t="s">
        <v>61</v>
      </c>
      <c r="W26" s="92">
        <v>4</v>
      </c>
      <c r="X26" s="93">
        <v>0</v>
      </c>
      <c r="Y26" s="93">
        <v>83.906390246483255</v>
      </c>
      <c r="Z26" s="180">
        <v>82.552528774580139</v>
      </c>
      <c r="AA26" s="168"/>
      <c r="AB26" s="90"/>
      <c r="AC26" s="94"/>
      <c r="AD26" s="90"/>
      <c r="AE26" s="91"/>
      <c r="AF26" s="92"/>
      <c r="AG26" s="93"/>
      <c r="AH26" s="93"/>
      <c r="AI26" s="93"/>
      <c r="AJ26" s="93"/>
    </row>
    <row r="27" spans="1:36" x14ac:dyDescent="0.25">
      <c r="A27" s="88">
        <v>25</v>
      </c>
      <c r="B27" s="89" t="s">
        <v>1044</v>
      </c>
      <c r="C27" s="90" t="s">
        <v>16</v>
      </c>
      <c r="D27" s="91" t="s">
        <v>61</v>
      </c>
      <c r="E27" s="92">
        <v>2</v>
      </c>
      <c r="F27" s="93">
        <v>0</v>
      </c>
      <c r="G27" s="93">
        <v>63.550692728661048</v>
      </c>
      <c r="H27" s="93"/>
      <c r="I27" s="93"/>
      <c r="J27" s="88">
        <v>25</v>
      </c>
      <c r="K27" s="94"/>
      <c r="L27" s="90"/>
      <c r="M27" s="91"/>
      <c r="N27" s="92"/>
      <c r="O27" s="93"/>
      <c r="P27" s="93"/>
      <c r="Q27" s="93"/>
      <c r="R27" s="165"/>
      <c r="S27" s="179">
        <f t="shared" si="0"/>
        <v>25</v>
      </c>
      <c r="T27" s="94" t="s">
        <v>808</v>
      </c>
      <c r="U27" s="90" t="s">
        <v>16</v>
      </c>
      <c r="V27" s="91" t="s">
        <v>63</v>
      </c>
      <c r="W27" s="92">
        <v>13</v>
      </c>
      <c r="X27" s="93">
        <v>67.576996559312562</v>
      </c>
      <c r="Y27" s="93">
        <v>83.800411458842063</v>
      </c>
      <c r="Z27" s="180">
        <v>82.448259994925294</v>
      </c>
      <c r="AA27" s="168"/>
      <c r="AB27" s="90"/>
      <c r="AC27" s="94"/>
      <c r="AD27" s="90"/>
      <c r="AE27" s="91"/>
      <c r="AF27" s="92"/>
      <c r="AG27" s="93"/>
      <c r="AH27" s="93"/>
      <c r="AI27" s="93"/>
      <c r="AJ27" s="93"/>
    </row>
    <row r="28" spans="1:36" x14ac:dyDescent="0.25">
      <c r="A28" s="88">
        <v>26</v>
      </c>
      <c r="B28" s="94" t="s">
        <v>118</v>
      </c>
      <c r="C28" s="90" t="s">
        <v>6</v>
      </c>
      <c r="D28" s="91" t="s">
        <v>59</v>
      </c>
      <c r="E28" s="92">
        <v>0</v>
      </c>
      <c r="F28" s="93">
        <v>50.672970719908648</v>
      </c>
      <c r="G28" s="93">
        <v>50.672970719908648</v>
      </c>
      <c r="H28" s="93"/>
      <c r="I28" s="93"/>
      <c r="J28" s="88">
        <v>26</v>
      </c>
      <c r="K28" s="94"/>
      <c r="L28" s="90"/>
      <c r="M28" s="91"/>
      <c r="N28" s="92"/>
      <c r="O28" s="93"/>
      <c r="P28" s="93"/>
      <c r="Q28" s="93"/>
      <c r="R28" s="165"/>
      <c r="S28" s="179">
        <f t="shared" si="0"/>
        <v>26</v>
      </c>
      <c r="T28" s="94" t="s">
        <v>292</v>
      </c>
      <c r="U28" s="90" t="s">
        <v>16</v>
      </c>
      <c r="V28" s="91" t="s">
        <v>57</v>
      </c>
      <c r="W28" s="92">
        <v>3</v>
      </c>
      <c r="X28" s="93">
        <v>83.303741186886441</v>
      </c>
      <c r="Y28" s="93">
        <v>83.721794699054229</v>
      </c>
      <c r="Z28" s="180">
        <v>82.370911746413057</v>
      </c>
      <c r="AA28" s="168"/>
      <c r="AB28" s="90"/>
      <c r="AC28" s="89"/>
      <c r="AD28" s="90"/>
      <c r="AE28" s="91"/>
      <c r="AF28" s="92"/>
      <c r="AG28" s="93"/>
      <c r="AH28" s="93"/>
      <c r="AI28" s="93"/>
      <c r="AJ28" s="93"/>
    </row>
    <row r="29" spans="1:36" x14ac:dyDescent="0.25">
      <c r="A29" s="88">
        <v>27</v>
      </c>
      <c r="B29" s="89" t="s">
        <v>1007</v>
      </c>
      <c r="C29" s="90" t="s">
        <v>6</v>
      </c>
      <c r="D29" s="91" t="s">
        <v>67</v>
      </c>
      <c r="E29" s="92">
        <v>0</v>
      </c>
      <c r="F29" s="93">
        <v>57.073595074319748</v>
      </c>
      <c r="G29" s="93">
        <v>57.073595074319748</v>
      </c>
      <c r="H29" s="93"/>
      <c r="I29" s="93"/>
      <c r="J29" s="88">
        <v>27</v>
      </c>
      <c r="K29" s="94"/>
      <c r="L29" s="90"/>
      <c r="M29" s="91"/>
      <c r="N29" s="92"/>
      <c r="O29" s="93"/>
      <c r="P29" s="93"/>
      <c r="Q29" s="93"/>
      <c r="R29" s="165"/>
      <c r="S29" s="179">
        <f t="shared" si="0"/>
        <v>27</v>
      </c>
      <c r="T29" s="94" t="s">
        <v>718</v>
      </c>
      <c r="U29" s="90" t="s">
        <v>6</v>
      </c>
      <c r="V29" s="91" t="s">
        <v>61</v>
      </c>
      <c r="W29" s="92">
        <v>15</v>
      </c>
      <c r="X29" s="93">
        <v>79.62720219965918</v>
      </c>
      <c r="Y29" s="93">
        <v>83.670422657929791</v>
      </c>
      <c r="Z29" s="180">
        <v>82.320368612681818</v>
      </c>
      <c r="AA29" s="168"/>
      <c r="AB29" s="90"/>
      <c r="AC29" s="94"/>
      <c r="AD29" s="90"/>
      <c r="AE29" s="91"/>
      <c r="AF29" s="92"/>
      <c r="AG29" s="93"/>
      <c r="AH29" s="93"/>
      <c r="AI29" s="93"/>
      <c r="AJ29" s="93"/>
    </row>
    <row r="30" spans="1:36" x14ac:dyDescent="0.25">
      <c r="A30" s="88">
        <v>28</v>
      </c>
      <c r="B30" s="89" t="s">
        <v>871</v>
      </c>
      <c r="C30" s="90" t="s">
        <v>6</v>
      </c>
      <c r="D30" s="91" t="s">
        <v>62</v>
      </c>
      <c r="E30" s="92">
        <v>0</v>
      </c>
      <c r="F30" s="93">
        <v>32.087570918742237</v>
      </c>
      <c r="G30" s="93">
        <v>32.087570918742237</v>
      </c>
      <c r="H30" s="93"/>
      <c r="I30" s="93"/>
      <c r="J30" s="88">
        <v>28</v>
      </c>
      <c r="K30" s="94"/>
      <c r="L30" s="90"/>
      <c r="M30" s="91"/>
      <c r="N30" s="92"/>
      <c r="O30" s="93"/>
      <c r="P30" s="93"/>
      <c r="Q30" s="93"/>
      <c r="R30" s="165"/>
      <c r="S30" s="179">
        <f t="shared" si="0"/>
        <v>28</v>
      </c>
      <c r="T30" s="94" t="s">
        <v>846</v>
      </c>
      <c r="U30" s="90" t="s">
        <v>16</v>
      </c>
      <c r="V30" s="91" t="s">
        <v>66</v>
      </c>
      <c r="W30" s="92">
        <v>9</v>
      </c>
      <c r="X30" s="93">
        <v>72.812737226805623</v>
      </c>
      <c r="Y30" s="93">
        <v>83.663652824095436</v>
      </c>
      <c r="Z30" s="180">
        <v>82.313708012687371</v>
      </c>
      <c r="AA30" s="168"/>
      <c r="AB30" s="90"/>
      <c r="AC30" s="94"/>
      <c r="AD30" s="90"/>
      <c r="AE30" s="91"/>
      <c r="AF30" s="92"/>
      <c r="AG30" s="93"/>
      <c r="AH30" s="93"/>
      <c r="AI30" s="93"/>
      <c r="AJ30" s="93"/>
    </row>
    <row r="31" spans="1:36" x14ac:dyDescent="0.25">
      <c r="A31" s="88">
        <v>29</v>
      </c>
      <c r="B31" s="89" t="s">
        <v>429</v>
      </c>
      <c r="C31" s="90" t="s">
        <v>6</v>
      </c>
      <c r="D31" s="91" t="s">
        <v>63</v>
      </c>
      <c r="E31" s="92">
        <v>0</v>
      </c>
      <c r="F31" s="93">
        <v>53.795488982777009</v>
      </c>
      <c r="G31" s="93">
        <v>53.795488982777009</v>
      </c>
      <c r="H31" s="93"/>
      <c r="I31" s="93"/>
      <c r="J31" s="88">
        <v>29</v>
      </c>
      <c r="K31" s="94"/>
      <c r="L31" s="90"/>
      <c r="M31" s="91"/>
      <c r="N31" s="92"/>
      <c r="O31" s="93"/>
      <c r="P31" s="93"/>
      <c r="Q31" s="93"/>
      <c r="R31" s="165"/>
      <c r="S31" s="179">
        <f t="shared" si="0"/>
        <v>29</v>
      </c>
      <c r="T31" s="94" t="s">
        <v>9</v>
      </c>
      <c r="U31" s="90" t="s">
        <v>6</v>
      </c>
      <c r="V31" s="91" t="s">
        <v>57</v>
      </c>
      <c r="W31" s="92">
        <v>7</v>
      </c>
      <c r="X31" s="93">
        <v>78.23350033640854</v>
      </c>
      <c r="Y31" s="93">
        <v>83.338928809898022</v>
      </c>
      <c r="Z31" s="180">
        <v>81.994223543780038</v>
      </c>
      <c r="AA31" s="168"/>
      <c r="AB31" s="90"/>
      <c r="AC31" s="94"/>
      <c r="AD31" s="90"/>
      <c r="AE31" s="91"/>
      <c r="AF31" s="92"/>
      <c r="AG31" s="93"/>
      <c r="AH31" s="93"/>
      <c r="AI31" s="93"/>
      <c r="AJ31" s="93"/>
    </row>
    <row r="32" spans="1:36" x14ac:dyDescent="0.25">
      <c r="A32" s="88">
        <v>30</v>
      </c>
      <c r="B32" s="89" t="s">
        <v>1001</v>
      </c>
      <c r="C32" s="90" t="s">
        <v>6</v>
      </c>
      <c r="D32" s="91" t="s">
        <v>59</v>
      </c>
      <c r="E32" s="92">
        <v>1</v>
      </c>
      <c r="F32" s="93">
        <v>0</v>
      </c>
      <c r="G32" s="93">
        <v>52.04987588558172</v>
      </c>
      <c r="H32" s="93"/>
      <c r="I32" s="93"/>
      <c r="J32" s="88">
        <v>30</v>
      </c>
      <c r="K32" s="94"/>
      <c r="L32" s="90"/>
      <c r="M32" s="91"/>
      <c r="N32" s="92"/>
      <c r="O32" s="93"/>
      <c r="P32" s="93"/>
      <c r="Q32" s="93"/>
      <c r="R32" s="165"/>
      <c r="S32" s="179">
        <f t="shared" si="0"/>
        <v>30</v>
      </c>
      <c r="T32" s="94" t="s">
        <v>772</v>
      </c>
      <c r="U32" s="90" t="s">
        <v>16</v>
      </c>
      <c r="V32" s="91" t="s">
        <v>63</v>
      </c>
      <c r="W32" s="92">
        <v>11</v>
      </c>
      <c r="X32" s="93">
        <v>72.044863189139662</v>
      </c>
      <c r="Y32" s="93">
        <v>83.11557898127414</v>
      </c>
      <c r="Z32" s="180">
        <v>81.774477549462944</v>
      </c>
      <c r="AA32" s="168"/>
      <c r="AB32" s="90"/>
      <c r="AC32" s="94"/>
      <c r="AD32" s="90"/>
      <c r="AE32" s="91"/>
      <c r="AF32" s="92"/>
      <c r="AG32" s="93"/>
      <c r="AH32" s="93"/>
      <c r="AI32" s="93"/>
      <c r="AJ32" s="93"/>
    </row>
    <row r="33" spans="1:36" x14ac:dyDescent="0.25">
      <c r="A33" s="88">
        <v>31</v>
      </c>
      <c r="B33" s="94" t="s">
        <v>1037</v>
      </c>
      <c r="C33" s="90" t="s">
        <v>16</v>
      </c>
      <c r="D33" s="91" t="s">
        <v>67</v>
      </c>
      <c r="E33" s="92">
        <v>2</v>
      </c>
      <c r="F33" s="93">
        <v>0</v>
      </c>
      <c r="G33" s="93">
        <v>72.650782880097523</v>
      </c>
      <c r="H33" s="93"/>
      <c r="I33" s="93"/>
      <c r="J33" s="88">
        <v>31</v>
      </c>
      <c r="K33" s="94"/>
      <c r="L33" s="90"/>
      <c r="M33" s="91"/>
      <c r="N33" s="92"/>
      <c r="O33" s="93"/>
      <c r="P33" s="93"/>
      <c r="Q33" s="93"/>
      <c r="R33" s="165"/>
      <c r="S33" s="179">
        <f t="shared" si="0"/>
        <v>31</v>
      </c>
      <c r="T33" s="94" t="s">
        <v>847</v>
      </c>
      <c r="U33" s="90" t="s">
        <v>16</v>
      </c>
      <c r="V33" s="91" t="s">
        <v>66</v>
      </c>
      <c r="W33" s="92">
        <v>8</v>
      </c>
      <c r="X33" s="93">
        <v>64.150558601474174</v>
      </c>
      <c r="Y33" s="93">
        <v>82.16829903019395</v>
      </c>
      <c r="Z33" s="180">
        <v>80.842482320143603</v>
      </c>
      <c r="AA33" s="168"/>
      <c r="AB33" s="90"/>
      <c r="AC33" s="94"/>
      <c r="AD33" s="90"/>
      <c r="AE33" s="91"/>
      <c r="AF33" s="92"/>
      <c r="AG33" s="93"/>
      <c r="AH33" s="93"/>
      <c r="AI33" s="93"/>
      <c r="AJ33" s="93"/>
    </row>
    <row r="34" spans="1:36" x14ac:dyDescent="0.25">
      <c r="A34" s="88">
        <v>32</v>
      </c>
      <c r="B34" s="89" t="s">
        <v>790</v>
      </c>
      <c r="C34" s="90" t="s">
        <v>6</v>
      </c>
      <c r="D34" s="91" t="s">
        <v>88</v>
      </c>
      <c r="E34" s="92">
        <v>0</v>
      </c>
      <c r="F34" s="93">
        <v>57.678604572299705</v>
      </c>
      <c r="G34" s="93">
        <v>57.678604572299705</v>
      </c>
      <c r="H34" s="93"/>
      <c r="I34" s="93"/>
      <c r="J34" s="88">
        <v>32</v>
      </c>
      <c r="K34" s="94"/>
      <c r="L34" s="90"/>
      <c r="M34" s="91"/>
      <c r="N34" s="92"/>
      <c r="O34" s="93"/>
      <c r="P34" s="93"/>
      <c r="Q34" s="93"/>
      <c r="R34" s="165"/>
      <c r="S34" s="179">
        <f t="shared" si="0"/>
        <v>32</v>
      </c>
      <c r="T34" s="94" t="s">
        <v>713</v>
      </c>
      <c r="U34" s="90" t="s">
        <v>16</v>
      </c>
      <c r="V34" s="91" t="s">
        <v>87</v>
      </c>
      <c r="W34" s="92">
        <v>6</v>
      </c>
      <c r="X34" s="93">
        <v>78.60794886388625</v>
      </c>
      <c r="Y34" s="93">
        <v>81.547058940732953</v>
      </c>
      <c r="Z34" s="180">
        <v>80.231266175455474</v>
      </c>
      <c r="AA34" s="168"/>
      <c r="AB34" s="90"/>
      <c r="AC34" s="94"/>
      <c r="AD34" s="90"/>
      <c r="AE34" s="91"/>
      <c r="AF34" s="92"/>
      <c r="AG34" s="93"/>
      <c r="AH34" s="93"/>
      <c r="AI34" s="93"/>
      <c r="AJ34" s="93"/>
    </row>
    <row r="35" spans="1:36" x14ac:dyDescent="0.25">
      <c r="A35" s="88">
        <v>33</v>
      </c>
      <c r="B35" s="94" t="s">
        <v>1036</v>
      </c>
      <c r="C35" s="90" t="s">
        <v>16</v>
      </c>
      <c r="D35" s="90" t="s">
        <v>87</v>
      </c>
      <c r="E35" s="92">
        <v>2</v>
      </c>
      <c r="F35" s="93">
        <v>0</v>
      </c>
      <c r="G35" s="93">
        <v>77.328924239316308</v>
      </c>
      <c r="H35" s="93"/>
      <c r="I35" s="93"/>
      <c r="J35" s="88">
        <v>33</v>
      </c>
      <c r="K35" s="94"/>
      <c r="L35" s="90"/>
      <c r="M35" s="91"/>
      <c r="N35" s="92"/>
      <c r="O35" s="93"/>
      <c r="P35" s="93"/>
      <c r="Q35" s="93"/>
      <c r="R35" s="165"/>
      <c r="S35" s="179">
        <f t="shared" si="0"/>
        <v>33</v>
      </c>
      <c r="T35" s="94" t="s">
        <v>657</v>
      </c>
      <c r="U35" s="90" t="s">
        <v>6</v>
      </c>
      <c r="V35" s="91" t="s">
        <v>59</v>
      </c>
      <c r="W35" s="92">
        <v>2</v>
      </c>
      <c r="X35" s="93">
        <v>0</v>
      </c>
      <c r="Y35" s="93">
        <v>81.412969326183514</v>
      </c>
      <c r="Z35" s="180">
        <v>80.099340147760245</v>
      </c>
      <c r="AA35" s="168"/>
      <c r="AB35" s="90"/>
      <c r="AC35" s="94"/>
      <c r="AD35" s="90"/>
      <c r="AE35" s="91"/>
      <c r="AF35" s="92"/>
      <c r="AG35" s="93"/>
      <c r="AH35" s="93"/>
      <c r="AI35" s="93"/>
      <c r="AJ35" s="93"/>
    </row>
    <row r="36" spans="1:36" x14ac:dyDescent="0.25">
      <c r="A36" s="88">
        <v>34</v>
      </c>
      <c r="B36" s="89" t="s">
        <v>106</v>
      </c>
      <c r="C36" s="90" t="s">
        <v>6</v>
      </c>
      <c r="D36" s="91" t="s">
        <v>62</v>
      </c>
      <c r="E36" s="92">
        <v>0</v>
      </c>
      <c r="F36" s="93">
        <v>66.743668731500662</v>
      </c>
      <c r="G36" s="93">
        <v>66.743668731500662</v>
      </c>
      <c r="H36" s="93"/>
      <c r="I36" s="93"/>
      <c r="J36" s="88">
        <v>34</v>
      </c>
      <c r="K36" s="94"/>
      <c r="L36" s="90"/>
      <c r="M36" s="91"/>
      <c r="N36" s="92"/>
      <c r="O36" s="93"/>
      <c r="P36" s="93"/>
      <c r="Q36" s="93"/>
      <c r="R36" s="165"/>
      <c r="S36" s="179">
        <f t="shared" si="0"/>
        <v>34</v>
      </c>
      <c r="T36" s="94" t="s">
        <v>5</v>
      </c>
      <c r="U36" s="90" t="s">
        <v>6</v>
      </c>
      <c r="V36" s="91" t="s">
        <v>61</v>
      </c>
      <c r="W36" s="92">
        <v>2</v>
      </c>
      <c r="X36" s="93">
        <v>73.952833974019228</v>
      </c>
      <c r="Y36" s="93">
        <v>81.066899033634456</v>
      </c>
      <c r="Z36" s="180">
        <v>79.758853830809187</v>
      </c>
      <c r="AA36" s="168"/>
      <c r="AB36" s="90"/>
      <c r="AC36" s="94"/>
      <c r="AD36" s="90"/>
      <c r="AE36" s="91"/>
      <c r="AF36" s="92"/>
      <c r="AG36" s="93"/>
      <c r="AH36" s="93"/>
      <c r="AI36" s="93"/>
      <c r="AJ36" s="93"/>
    </row>
    <row r="37" spans="1:36" x14ac:dyDescent="0.25">
      <c r="A37" s="88">
        <v>35</v>
      </c>
      <c r="B37" s="89" t="s">
        <v>924</v>
      </c>
      <c r="C37" s="90" t="s">
        <v>6</v>
      </c>
      <c r="D37" s="91" t="s">
        <v>781</v>
      </c>
      <c r="E37" s="92">
        <v>0</v>
      </c>
      <c r="F37" s="93">
        <v>33.693573573651193</v>
      </c>
      <c r="G37" s="93">
        <v>33.693573573651193</v>
      </c>
      <c r="H37" s="93"/>
      <c r="I37" s="93"/>
      <c r="J37" s="88">
        <v>35</v>
      </c>
      <c r="K37" s="94"/>
      <c r="L37" s="90"/>
      <c r="M37" s="91"/>
      <c r="N37" s="92"/>
      <c r="O37" s="93"/>
      <c r="P37" s="93"/>
      <c r="Q37" s="93"/>
      <c r="R37" s="165"/>
      <c r="S37" s="179">
        <f t="shared" si="0"/>
        <v>35</v>
      </c>
      <c r="T37" s="94" t="s">
        <v>936</v>
      </c>
      <c r="U37" s="90" t="s">
        <v>6</v>
      </c>
      <c r="V37" s="91" t="s">
        <v>88</v>
      </c>
      <c r="W37" s="92">
        <v>6</v>
      </c>
      <c r="X37" s="93">
        <v>79.01318682809638</v>
      </c>
      <c r="Y37" s="93">
        <v>80.849507940914307</v>
      </c>
      <c r="Z37" s="180">
        <v>79.544970425929066</v>
      </c>
      <c r="AA37" s="168"/>
      <c r="AB37" s="90"/>
      <c r="AC37" s="94"/>
      <c r="AD37" s="90"/>
      <c r="AE37" s="91"/>
      <c r="AF37" s="92"/>
      <c r="AG37" s="93"/>
      <c r="AH37" s="93"/>
      <c r="AI37" s="93"/>
      <c r="AJ37" s="93"/>
    </row>
    <row r="38" spans="1:36" x14ac:dyDescent="0.25">
      <c r="A38" s="88">
        <v>36</v>
      </c>
      <c r="B38" s="94" t="s">
        <v>173</v>
      </c>
      <c r="C38" s="90" t="s">
        <v>6</v>
      </c>
      <c r="D38" s="90" t="s">
        <v>88</v>
      </c>
      <c r="E38" s="92">
        <v>4</v>
      </c>
      <c r="F38" s="93">
        <v>89.585588407213393</v>
      </c>
      <c r="G38" s="93">
        <v>87.864563738067233</v>
      </c>
      <c r="H38" s="93"/>
      <c r="I38" s="93"/>
      <c r="J38" s="88">
        <v>36</v>
      </c>
      <c r="K38" s="94"/>
      <c r="L38" s="90"/>
      <c r="M38" s="91"/>
      <c r="N38" s="92"/>
      <c r="O38" s="93"/>
      <c r="P38" s="93"/>
      <c r="Q38" s="93"/>
      <c r="R38" s="165"/>
      <c r="S38" s="179">
        <f t="shared" si="0"/>
        <v>36</v>
      </c>
      <c r="T38" s="94" t="s">
        <v>796</v>
      </c>
      <c r="U38" s="90" t="s">
        <v>16</v>
      </c>
      <c r="V38" s="91" t="s">
        <v>66</v>
      </c>
      <c r="W38" s="92">
        <v>6</v>
      </c>
      <c r="X38" s="93">
        <v>76.976708986449907</v>
      </c>
      <c r="Y38" s="93">
        <v>80.796985226669634</v>
      </c>
      <c r="Z38" s="180">
        <v>79.493295185625371</v>
      </c>
      <c r="AA38" s="168"/>
      <c r="AB38" s="90"/>
      <c r="AC38" s="94"/>
      <c r="AD38" s="90"/>
      <c r="AE38" s="91"/>
      <c r="AF38" s="92"/>
      <c r="AG38" s="93"/>
      <c r="AH38" s="93"/>
      <c r="AI38" s="93"/>
      <c r="AJ38" s="93"/>
    </row>
    <row r="39" spans="1:36" x14ac:dyDescent="0.25">
      <c r="A39" s="88">
        <v>37</v>
      </c>
      <c r="B39" s="94" t="s">
        <v>108</v>
      </c>
      <c r="C39" s="90" t="s">
        <v>6</v>
      </c>
      <c r="D39" s="91" t="s">
        <v>57</v>
      </c>
      <c r="E39" s="92">
        <v>0</v>
      </c>
      <c r="F39" s="93">
        <v>59.774545485164211</v>
      </c>
      <c r="G39" s="93">
        <v>59.774545485164211</v>
      </c>
      <c r="H39" s="93"/>
      <c r="I39" s="93"/>
      <c r="J39" s="88">
        <v>37</v>
      </c>
      <c r="K39" s="94"/>
      <c r="L39" s="90"/>
      <c r="M39" s="91"/>
      <c r="N39" s="92"/>
      <c r="O39" s="93"/>
      <c r="P39" s="93"/>
      <c r="Q39" s="93"/>
      <c r="R39" s="165"/>
      <c r="S39" s="179">
        <f t="shared" si="0"/>
        <v>37</v>
      </c>
      <c r="T39" s="94" t="s">
        <v>730</v>
      </c>
      <c r="U39" s="90" t="s">
        <v>16</v>
      </c>
      <c r="V39" s="91" t="s">
        <v>58</v>
      </c>
      <c r="W39" s="92">
        <v>14</v>
      </c>
      <c r="X39" s="93">
        <v>69.065089787713617</v>
      </c>
      <c r="Y39" s="93">
        <v>80.742096003138954</v>
      </c>
      <c r="Z39" s="180">
        <v>79.439291620561747</v>
      </c>
      <c r="AA39" s="168"/>
      <c r="AB39" s="90"/>
      <c r="AC39" s="94"/>
      <c r="AD39" s="90"/>
      <c r="AE39" s="91"/>
      <c r="AF39" s="92"/>
      <c r="AG39" s="93"/>
      <c r="AH39" s="93"/>
      <c r="AI39" s="93"/>
      <c r="AJ39" s="93"/>
    </row>
    <row r="40" spans="1:36" x14ac:dyDescent="0.25">
      <c r="A40" s="88">
        <v>38</v>
      </c>
      <c r="B40" s="94" t="s">
        <v>794</v>
      </c>
      <c r="C40" s="90" t="s">
        <v>16</v>
      </c>
      <c r="D40" s="91" t="s">
        <v>58</v>
      </c>
      <c r="E40" s="92">
        <v>0</v>
      </c>
      <c r="F40" s="93">
        <v>70.30014324874243</v>
      </c>
      <c r="G40" s="93">
        <v>70.30014324874243</v>
      </c>
      <c r="H40" s="93"/>
      <c r="I40" s="93"/>
      <c r="J40" s="88">
        <v>38</v>
      </c>
      <c r="K40" s="94"/>
      <c r="L40" s="90"/>
      <c r="M40" s="91"/>
      <c r="N40" s="92"/>
      <c r="O40" s="93"/>
      <c r="P40" s="93"/>
      <c r="Q40" s="93"/>
      <c r="R40" s="165"/>
      <c r="S40" s="179">
        <f t="shared" si="0"/>
        <v>38</v>
      </c>
      <c r="T40" s="94" t="s">
        <v>1341</v>
      </c>
      <c r="U40" s="90" t="s">
        <v>6</v>
      </c>
      <c r="V40" s="91" t="s">
        <v>87</v>
      </c>
      <c r="W40" s="92">
        <v>2</v>
      </c>
      <c r="X40" s="93">
        <v>0</v>
      </c>
      <c r="Y40" s="93">
        <v>80.030284883712753</v>
      </c>
      <c r="Z40" s="180">
        <v>78.738965843873231</v>
      </c>
      <c r="AA40" s="168"/>
      <c r="AB40" s="90"/>
      <c r="AC40" s="94"/>
      <c r="AD40" s="90"/>
      <c r="AE40" s="91"/>
      <c r="AF40" s="92"/>
      <c r="AG40" s="93"/>
      <c r="AH40" s="93"/>
      <c r="AI40" s="93"/>
      <c r="AJ40" s="93"/>
    </row>
    <row r="41" spans="1:36" x14ac:dyDescent="0.25">
      <c r="A41" s="88">
        <v>39</v>
      </c>
      <c r="B41" s="89" t="s">
        <v>868</v>
      </c>
      <c r="C41" s="90" t="s">
        <v>6</v>
      </c>
      <c r="D41" s="91" t="s">
        <v>62</v>
      </c>
      <c r="E41" s="92">
        <v>0</v>
      </c>
      <c r="F41" s="93">
        <v>60.925562313991691</v>
      </c>
      <c r="G41" s="93">
        <v>60.925562313991691</v>
      </c>
      <c r="H41" s="93"/>
      <c r="I41" s="93"/>
      <c r="J41" s="88">
        <v>39</v>
      </c>
      <c r="K41" s="94"/>
      <c r="L41" s="90"/>
      <c r="M41" s="91"/>
      <c r="N41" s="92"/>
      <c r="O41" s="93"/>
      <c r="P41" s="93"/>
      <c r="Q41" s="93"/>
      <c r="R41" s="165"/>
      <c r="S41" s="179">
        <f t="shared" si="0"/>
        <v>39</v>
      </c>
      <c r="T41" s="94" t="s">
        <v>394</v>
      </c>
      <c r="U41" s="90" t="s">
        <v>6</v>
      </c>
      <c r="V41" s="91" t="s">
        <v>58</v>
      </c>
      <c r="W41" s="92">
        <v>6</v>
      </c>
      <c r="X41" s="93">
        <v>77.891993104385335</v>
      </c>
      <c r="Y41" s="93">
        <v>78.929594472456102</v>
      </c>
      <c r="Z41" s="180">
        <v>77.656035490413316</v>
      </c>
      <c r="AA41" s="168"/>
      <c r="AB41" s="90"/>
      <c r="AC41" s="94"/>
      <c r="AD41" s="90"/>
      <c r="AE41" s="91"/>
      <c r="AF41" s="92"/>
      <c r="AG41" s="93"/>
      <c r="AH41" s="93"/>
      <c r="AI41" s="93"/>
      <c r="AJ41" s="93"/>
    </row>
    <row r="42" spans="1:36" x14ac:dyDescent="0.25">
      <c r="A42" s="88">
        <v>40</v>
      </c>
      <c r="B42" s="89" t="s">
        <v>726</v>
      </c>
      <c r="C42" s="90" t="s">
        <v>6</v>
      </c>
      <c r="D42" s="91" t="s">
        <v>63</v>
      </c>
      <c r="E42" s="92">
        <v>0</v>
      </c>
      <c r="F42" s="93">
        <v>52.275240292798891</v>
      </c>
      <c r="G42" s="93">
        <v>52.275240292798891</v>
      </c>
      <c r="H42" s="93"/>
      <c r="I42" s="93"/>
      <c r="J42" s="88">
        <v>40</v>
      </c>
      <c r="K42" s="94"/>
      <c r="L42" s="90"/>
      <c r="M42" s="91"/>
      <c r="N42" s="92"/>
      <c r="O42" s="93"/>
      <c r="P42" s="93"/>
      <c r="Q42" s="93"/>
      <c r="R42" s="165"/>
      <c r="S42" s="179">
        <f t="shared" si="0"/>
        <v>40</v>
      </c>
      <c r="T42" s="94" t="s">
        <v>711</v>
      </c>
      <c r="U42" s="90" t="s">
        <v>16</v>
      </c>
      <c r="V42" s="91" t="s">
        <v>58</v>
      </c>
      <c r="W42" s="92">
        <v>6</v>
      </c>
      <c r="X42" s="93">
        <v>80.808467545736889</v>
      </c>
      <c r="Y42" s="93">
        <v>78.737177087117431</v>
      </c>
      <c r="Z42" s="180">
        <v>77.466722832661787</v>
      </c>
      <c r="AA42" s="168"/>
      <c r="AB42" s="126"/>
      <c r="AC42" s="94"/>
      <c r="AD42" s="90"/>
      <c r="AE42" s="91"/>
      <c r="AF42" s="92"/>
      <c r="AG42" s="93"/>
      <c r="AH42" s="93"/>
      <c r="AI42" s="93"/>
      <c r="AJ42" s="93"/>
    </row>
    <row r="43" spans="1:36" x14ac:dyDescent="0.25">
      <c r="A43" s="88">
        <v>41</v>
      </c>
      <c r="B43" s="89" t="s">
        <v>791</v>
      </c>
      <c r="C43" s="90" t="s">
        <v>6</v>
      </c>
      <c r="D43" s="91" t="s">
        <v>88</v>
      </c>
      <c r="E43" s="92">
        <v>0</v>
      </c>
      <c r="F43" s="93">
        <v>48.261767136117484</v>
      </c>
      <c r="G43" s="93">
        <v>48.261767136117484</v>
      </c>
      <c r="H43" s="93"/>
      <c r="I43" s="93"/>
      <c r="J43" s="88">
        <v>41</v>
      </c>
      <c r="K43" s="94"/>
      <c r="L43" s="90"/>
      <c r="M43" s="91"/>
      <c r="N43" s="92"/>
      <c r="O43" s="93"/>
      <c r="P43" s="93"/>
      <c r="Q43" s="93"/>
      <c r="R43" s="165"/>
      <c r="S43" s="179">
        <f t="shared" si="0"/>
        <v>41</v>
      </c>
      <c r="T43" s="94" t="s">
        <v>1198</v>
      </c>
      <c r="U43" s="90" t="s">
        <v>6</v>
      </c>
      <c r="V43" s="91" t="s">
        <v>62</v>
      </c>
      <c r="W43" s="92">
        <v>2</v>
      </c>
      <c r="X43" s="93">
        <v>0</v>
      </c>
      <c r="Y43" s="93">
        <v>78.253025567578817</v>
      </c>
      <c r="Z43" s="180">
        <v>76.990383281757985</v>
      </c>
      <c r="AA43" s="168"/>
      <c r="AB43" s="126"/>
      <c r="AC43" s="94"/>
      <c r="AD43" s="90"/>
      <c r="AE43" s="91"/>
      <c r="AF43" s="92"/>
      <c r="AG43" s="93"/>
      <c r="AH43" s="93"/>
      <c r="AI43" s="93"/>
      <c r="AJ43" s="93"/>
    </row>
    <row r="44" spans="1:36" x14ac:dyDescent="0.25">
      <c r="A44" s="88">
        <v>42</v>
      </c>
      <c r="B44" s="89" t="s">
        <v>953</v>
      </c>
      <c r="C44" s="90" t="s">
        <v>6</v>
      </c>
      <c r="D44" s="91" t="s">
        <v>69</v>
      </c>
      <c r="E44" s="92">
        <v>0</v>
      </c>
      <c r="F44" s="93">
        <v>37.326309434737666</v>
      </c>
      <c r="G44" s="93">
        <v>37.326309434737666</v>
      </c>
      <c r="H44" s="93"/>
      <c r="I44" s="93"/>
      <c r="J44" s="88">
        <v>42</v>
      </c>
      <c r="K44" s="94"/>
      <c r="L44" s="90"/>
      <c r="M44" s="91"/>
      <c r="N44" s="92"/>
      <c r="O44" s="93"/>
      <c r="P44" s="93"/>
      <c r="Q44" s="93"/>
      <c r="R44" s="165"/>
      <c r="S44" s="179">
        <f t="shared" si="0"/>
        <v>42</v>
      </c>
      <c r="T44" s="94" t="s">
        <v>149</v>
      </c>
      <c r="U44" s="90" t="s">
        <v>6</v>
      </c>
      <c r="V44" s="91" t="s">
        <v>122</v>
      </c>
      <c r="W44" s="92">
        <v>2</v>
      </c>
      <c r="X44" s="93">
        <v>70.603296790545315</v>
      </c>
      <c r="Y44" s="93">
        <v>78.137358411899697</v>
      </c>
      <c r="Z44" s="180">
        <v>76.876582459562869</v>
      </c>
      <c r="AA44" s="168"/>
      <c r="AB44" s="126"/>
      <c r="AC44" s="94"/>
      <c r="AD44" s="90"/>
      <c r="AE44" s="91"/>
      <c r="AF44" s="92"/>
      <c r="AG44" s="93"/>
      <c r="AH44" s="93"/>
      <c r="AI44" s="93"/>
      <c r="AJ44" s="93"/>
    </row>
    <row r="45" spans="1:36" x14ac:dyDescent="0.25">
      <c r="A45" s="88">
        <v>43</v>
      </c>
      <c r="B45" s="89" t="s">
        <v>491</v>
      </c>
      <c r="C45" s="90" t="s">
        <v>6</v>
      </c>
      <c r="D45" s="91" t="s">
        <v>62</v>
      </c>
      <c r="E45" s="92">
        <v>0</v>
      </c>
      <c r="F45" s="93">
        <v>60.524290845204135</v>
      </c>
      <c r="G45" s="93">
        <v>60.524290845204135</v>
      </c>
      <c r="H45" s="93"/>
      <c r="I45" s="93"/>
      <c r="J45" s="88">
        <v>43</v>
      </c>
      <c r="K45" s="94"/>
      <c r="L45" s="90"/>
      <c r="M45" s="91"/>
      <c r="N45" s="92"/>
      <c r="O45" s="93"/>
      <c r="P45" s="93"/>
      <c r="Q45" s="93"/>
      <c r="R45" s="165"/>
      <c r="S45" s="179">
        <f t="shared" si="0"/>
        <v>43</v>
      </c>
      <c r="T45" s="94" t="s">
        <v>1037</v>
      </c>
      <c r="U45" s="90" t="s">
        <v>16</v>
      </c>
      <c r="V45" s="91" t="s">
        <v>67</v>
      </c>
      <c r="W45" s="92">
        <v>5</v>
      </c>
      <c r="X45" s="93">
        <v>0</v>
      </c>
      <c r="Y45" s="93">
        <v>78.075929982259098</v>
      </c>
      <c r="Z45" s="180">
        <v>76.816145200963291</v>
      </c>
      <c r="AA45" s="168"/>
      <c r="AB45" s="126"/>
      <c r="AC45" s="89"/>
      <c r="AD45" s="90"/>
      <c r="AE45" s="91"/>
      <c r="AF45" s="92"/>
      <c r="AG45" s="93"/>
      <c r="AH45" s="93"/>
      <c r="AI45" s="93"/>
      <c r="AJ45" s="93"/>
    </row>
    <row r="46" spans="1:36" x14ac:dyDescent="0.25">
      <c r="A46" s="88">
        <v>44</v>
      </c>
      <c r="B46" s="89" t="s">
        <v>1038</v>
      </c>
      <c r="C46" s="90" t="s">
        <v>16</v>
      </c>
      <c r="D46" s="91" t="s">
        <v>66</v>
      </c>
      <c r="E46" s="92">
        <v>2</v>
      </c>
      <c r="F46" s="93">
        <v>0</v>
      </c>
      <c r="G46" s="93">
        <v>71.913638347741283</v>
      </c>
      <c r="H46" s="93"/>
      <c r="I46" s="93"/>
      <c r="J46" s="88">
        <v>44</v>
      </c>
      <c r="K46" s="94"/>
      <c r="L46" s="90"/>
      <c r="M46" s="91"/>
      <c r="N46" s="92"/>
      <c r="O46" s="93"/>
      <c r="P46" s="93"/>
      <c r="Q46" s="93"/>
      <c r="R46" s="165"/>
      <c r="S46" s="179">
        <f t="shared" si="0"/>
        <v>44</v>
      </c>
      <c r="T46" s="94" t="s">
        <v>1335</v>
      </c>
      <c r="U46" s="90" t="s">
        <v>16</v>
      </c>
      <c r="V46" s="91" t="s">
        <v>87</v>
      </c>
      <c r="W46" s="92">
        <v>3</v>
      </c>
      <c r="X46" s="93">
        <v>0</v>
      </c>
      <c r="Y46" s="93">
        <v>77.896728732378051</v>
      </c>
      <c r="Z46" s="180">
        <v>76.639835431304661</v>
      </c>
      <c r="AA46" s="168"/>
      <c r="AB46" s="126"/>
      <c r="AC46" s="94"/>
      <c r="AD46" s="90"/>
      <c r="AE46" s="91"/>
      <c r="AF46" s="92"/>
      <c r="AG46" s="93"/>
      <c r="AH46" s="93"/>
      <c r="AI46" s="93"/>
      <c r="AJ46" s="93"/>
    </row>
    <row r="47" spans="1:36" x14ac:dyDescent="0.25">
      <c r="A47" s="88">
        <v>45</v>
      </c>
      <c r="B47" s="89" t="s">
        <v>782</v>
      </c>
      <c r="C47" s="90" t="s">
        <v>6</v>
      </c>
      <c r="D47" s="91" t="s">
        <v>62</v>
      </c>
      <c r="E47" s="92">
        <v>0</v>
      </c>
      <c r="F47" s="93">
        <v>41.547446699333868</v>
      </c>
      <c r="G47" s="93">
        <v>41.547446699333868</v>
      </c>
      <c r="H47" s="93"/>
      <c r="I47" s="93"/>
      <c r="J47" s="88">
        <v>45</v>
      </c>
      <c r="K47" s="94"/>
      <c r="L47" s="90"/>
      <c r="M47" s="91"/>
      <c r="N47" s="92"/>
      <c r="O47" s="93"/>
      <c r="P47" s="93"/>
      <c r="Q47" s="93"/>
      <c r="R47" s="165"/>
      <c r="S47" s="179">
        <f t="shared" si="0"/>
        <v>45</v>
      </c>
      <c r="T47" s="94" t="s">
        <v>1128</v>
      </c>
      <c r="U47" s="90" t="s">
        <v>6</v>
      </c>
      <c r="V47" s="91" t="s">
        <v>58</v>
      </c>
      <c r="W47" s="92">
        <v>4</v>
      </c>
      <c r="X47" s="93">
        <v>0</v>
      </c>
      <c r="Y47" s="93">
        <v>77.679449517896188</v>
      </c>
      <c r="Z47" s="180">
        <v>76.426062099464971</v>
      </c>
      <c r="AA47" s="168"/>
      <c r="AB47" s="126"/>
      <c r="AC47" s="89"/>
      <c r="AD47" s="90"/>
      <c r="AE47" s="91"/>
      <c r="AF47" s="92"/>
      <c r="AG47" s="93"/>
      <c r="AH47" s="93"/>
      <c r="AI47" s="93"/>
      <c r="AJ47" s="93"/>
    </row>
    <row r="48" spans="1:36" x14ac:dyDescent="0.25">
      <c r="A48" s="88">
        <v>46</v>
      </c>
      <c r="B48" s="89" t="s">
        <v>838</v>
      </c>
      <c r="C48" s="90" t="s">
        <v>6</v>
      </c>
      <c r="D48" s="91" t="s">
        <v>62</v>
      </c>
      <c r="E48" s="92">
        <v>3</v>
      </c>
      <c r="F48" s="93">
        <v>90.307748533563512</v>
      </c>
      <c r="G48" s="93">
        <v>90.444732452419089</v>
      </c>
      <c r="H48" s="93"/>
      <c r="I48" s="93"/>
      <c r="J48" s="88">
        <v>46</v>
      </c>
      <c r="K48" s="94"/>
      <c r="L48" s="90"/>
      <c r="M48" s="91"/>
      <c r="N48" s="92"/>
      <c r="O48" s="93"/>
      <c r="P48" s="93"/>
      <c r="Q48" s="93"/>
      <c r="R48" s="165"/>
      <c r="S48" s="179">
        <f t="shared" si="0"/>
        <v>46</v>
      </c>
      <c r="T48" s="94" t="s">
        <v>107</v>
      </c>
      <c r="U48" s="90" t="s">
        <v>6</v>
      </c>
      <c r="V48" s="91" t="s">
        <v>63</v>
      </c>
      <c r="W48" s="92">
        <v>2</v>
      </c>
      <c r="X48" s="93">
        <v>72.609368887451112</v>
      </c>
      <c r="Y48" s="93">
        <v>77.408158273189315</v>
      </c>
      <c r="Z48" s="180">
        <v>76.15914824202018</v>
      </c>
      <c r="AA48" s="168"/>
      <c r="AB48" s="126"/>
      <c r="AC48" s="94"/>
      <c r="AD48" s="90"/>
      <c r="AE48" s="91"/>
      <c r="AF48" s="92"/>
      <c r="AG48" s="93"/>
      <c r="AH48" s="93"/>
      <c r="AI48" s="93"/>
      <c r="AJ48" s="93"/>
    </row>
    <row r="49" spans="1:36" x14ac:dyDescent="0.25">
      <c r="A49" s="88">
        <v>47</v>
      </c>
      <c r="B49" s="89" t="s">
        <v>964</v>
      </c>
      <c r="C49" s="90" t="s">
        <v>6</v>
      </c>
      <c r="D49" s="91" t="s">
        <v>69</v>
      </c>
      <c r="E49" s="92">
        <v>0</v>
      </c>
      <c r="F49" s="93">
        <v>43.852882186675011</v>
      </c>
      <c r="G49" s="93">
        <v>43.852882186675011</v>
      </c>
      <c r="H49" s="93"/>
      <c r="I49" s="93"/>
      <c r="J49" s="88">
        <v>47</v>
      </c>
      <c r="K49" s="94"/>
      <c r="L49" s="90"/>
      <c r="M49" s="91"/>
      <c r="N49" s="92"/>
      <c r="O49" s="93"/>
      <c r="P49" s="93"/>
      <c r="Q49" s="93"/>
      <c r="R49" s="165"/>
      <c r="S49" s="179">
        <f t="shared" si="0"/>
        <v>47</v>
      </c>
      <c r="T49" s="94" t="s">
        <v>729</v>
      </c>
      <c r="U49" s="90" t="s">
        <v>6</v>
      </c>
      <c r="V49" s="91" t="s">
        <v>88</v>
      </c>
      <c r="W49" s="92">
        <v>12</v>
      </c>
      <c r="X49" s="93">
        <v>68.642687944653403</v>
      </c>
      <c r="Y49" s="93">
        <v>76.237455412206103</v>
      </c>
      <c r="Z49" s="180">
        <v>75.007335116298805</v>
      </c>
      <c r="AA49" s="168"/>
      <c r="AB49" s="126"/>
      <c r="AC49" s="89"/>
      <c r="AD49" s="90"/>
      <c r="AE49" s="91"/>
      <c r="AF49" s="92"/>
      <c r="AG49" s="93"/>
      <c r="AH49" s="93"/>
      <c r="AI49" s="93"/>
      <c r="AJ49" s="93"/>
    </row>
    <row r="50" spans="1:36" x14ac:dyDescent="0.25">
      <c r="A50" s="88">
        <v>48</v>
      </c>
      <c r="B50" s="89" t="s">
        <v>863</v>
      </c>
      <c r="C50" s="90" t="s">
        <v>6</v>
      </c>
      <c r="D50" s="91" t="s">
        <v>62</v>
      </c>
      <c r="E50" s="92">
        <v>0</v>
      </c>
      <c r="F50" s="93">
        <v>37.334250691874701</v>
      </c>
      <c r="G50" s="93">
        <v>37.334250691874701</v>
      </c>
      <c r="H50" s="93"/>
      <c r="I50" s="93"/>
      <c r="J50" s="88">
        <v>48</v>
      </c>
      <c r="K50" s="94"/>
      <c r="L50" s="90"/>
      <c r="M50" s="91"/>
      <c r="N50" s="92"/>
      <c r="O50" s="93"/>
      <c r="P50" s="93"/>
      <c r="Q50" s="93"/>
      <c r="R50" s="165"/>
      <c r="S50" s="179">
        <f t="shared" si="0"/>
        <v>48</v>
      </c>
      <c r="T50" s="94" t="s">
        <v>1039</v>
      </c>
      <c r="U50" s="90" t="s">
        <v>16</v>
      </c>
      <c r="V50" s="91" t="s">
        <v>61</v>
      </c>
      <c r="W50" s="92">
        <v>2</v>
      </c>
      <c r="X50" s="93">
        <v>0</v>
      </c>
      <c r="Y50" s="93">
        <v>76.063957123595685</v>
      </c>
      <c r="Z50" s="180">
        <v>74.836636288464859</v>
      </c>
      <c r="AA50" s="168"/>
      <c r="AB50" s="126"/>
      <c r="AC50" s="94"/>
      <c r="AD50" s="90"/>
      <c r="AE50" s="91"/>
      <c r="AF50" s="92"/>
      <c r="AG50" s="93"/>
      <c r="AH50" s="93"/>
      <c r="AI50" s="93"/>
      <c r="AJ50" s="93"/>
    </row>
    <row r="51" spans="1:36" x14ac:dyDescent="0.25">
      <c r="A51" s="88">
        <v>49</v>
      </c>
      <c r="B51" s="89" t="s">
        <v>7</v>
      </c>
      <c r="C51" s="90" t="s">
        <v>6</v>
      </c>
      <c r="D51" s="91" t="s">
        <v>57</v>
      </c>
      <c r="E51" s="92">
        <v>6</v>
      </c>
      <c r="F51" s="93">
        <v>95.350976065584277</v>
      </c>
      <c r="G51" s="93">
        <v>97.656939962494079</v>
      </c>
      <c r="H51" s="93"/>
      <c r="I51" s="93"/>
      <c r="J51" s="88">
        <v>49</v>
      </c>
      <c r="K51" s="94"/>
      <c r="L51" s="90"/>
      <c r="M51" s="91"/>
      <c r="N51" s="92"/>
      <c r="O51" s="93"/>
      <c r="P51" s="93"/>
      <c r="Q51" s="93"/>
      <c r="R51" s="165"/>
      <c r="S51" s="179">
        <f t="shared" si="0"/>
        <v>49</v>
      </c>
      <c r="T51" s="94" t="s">
        <v>165</v>
      </c>
      <c r="U51" s="90" t="s">
        <v>6</v>
      </c>
      <c r="V51" s="91" t="s">
        <v>62</v>
      </c>
      <c r="W51" s="92">
        <v>5</v>
      </c>
      <c r="X51" s="93">
        <v>73.863711227329304</v>
      </c>
      <c r="Y51" s="93">
        <v>75.694691737516479</v>
      </c>
      <c r="Z51" s="180">
        <v>74.4733291396266</v>
      </c>
      <c r="AA51" s="168"/>
      <c r="AB51" s="126"/>
      <c r="AC51" s="94"/>
      <c r="AD51" s="90"/>
      <c r="AE51" s="91"/>
      <c r="AF51" s="92"/>
      <c r="AG51" s="93"/>
      <c r="AH51" s="93"/>
      <c r="AI51" s="93"/>
      <c r="AJ51" s="93"/>
    </row>
    <row r="52" spans="1:36" x14ac:dyDescent="0.25">
      <c r="A52" s="88">
        <v>50</v>
      </c>
      <c r="B52" s="89" t="s">
        <v>839</v>
      </c>
      <c r="C52" s="90" t="s">
        <v>16</v>
      </c>
      <c r="D52" s="91" t="s">
        <v>87</v>
      </c>
      <c r="E52" s="92">
        <v>0</v>
      </c>
      <c r="F52" s="93">
        <v>66.795927850866093</v>
      </c>
      <c r="G52" s="93">
        <v>66.795927850866093</v>
      </c>
      <c r="H52" s="93"/>
      <c r="I52" s="93"/>
      <c r="J52" s="88">
        <v>50</v>
      </c>
      <c r="K52" s="94"/>
      <c r="L52" s="90"/>
      <c r="M52" s="91"/>
      <c r="N52" s="92"/>
      <c r="O52" s="93"/>
      <c r="P52" s="93"/>
      <c r="Q52" s="93"/>
      <c r="R52" s="165"/>
      <c r="S52" s="179">
        <f t="shared" si="0"/>
        <v>50</v>
      </c>
      <c r="T52" s="94" t="s">
        <v>947</v>
      </c>
      <c r="U52" s="90" t="s">
        <v>6</v>
      </c>
      <c r="V52" s="91" t="s">
        <v>69</v>
      </c>
      <c r="W52" s="92">
        <v>9</v>
      </c>
      <c r="X52" s="93">
        <v>0</v>
      </c>
      <c r="Y52" s="93">
        <v>75.491448780770014</v>
      </c>
      <c r="Z52" s="180">
        <v>74.273365585173181</v>
      </c>
      <c r="AA52" s="168"/>
      <c r="AB52" s="126"/>
      <c r="AC52" s="94"/>
      <c r="AD52" s="90"/>
      <c r="AE52" s="91"/>
      <c r="AF52" s="92"/>
      <c r="AG52" s="93"/>
      <c r="AH52" s="93"/>
      <c r="AI52" s="93"/>
      <c r="AJ52" s="93"/>
    </row>
    <row r="53" spans="1:36" x14ac:dyDescent="0.25">
      <c r="A53" s="88">
        <v>51</v>
      </c>
      <c r="B53" s="89" t="s">
        <v>887</v>
      </c>
      <c r="C53" s="90" t="s">
        <v>6</v>
      </c>
      <c r="D53" s="91" t="s">
        <v>159</v>
      </c>
      <c r="E53" s="92">
        <v>0</v>
      </c>
      <c r="F53" s="93">
        <v>43.084608238540156</v>
      </c>
      <c r="G53" s="93">
        <v>43.084608238540156</v>
      </c>
      <c r="H53" s="93"/>
      <c r="I53" s="93"/>
      <c r="J53" s="88">
        <v>51</v>
      </c>
      <c r="K53" s="94"/>
      <c r="L53" s="90"/>
      <c r="M53" s="91"/>
      <c r="N53" s="92"/>
      <c r="O53" s="93"/>
      <c r="P53" s="93"/>
      <c r="Q53" s="93"/>
      <c r="R53" s="165"/>
      <c r="S53" s="179">
        <f t="shared" si="0"/>
        <v>51</v>
      </c>
      <c r="T53" s="94" t="s">
        <v>712</v>
      </c>
      <c r="U53" s="90" t="s">
        <v>16</v>
      </c>
      <c r="V53" s="91" t="s">
        <v>87</v>
      </c>
      <c r="W53" s="92">
        <v>2</v>
      </c>
      <c r="X53" s="93">
        <v>82.907092027259509</v>
      </c>
      <c r="Y53" s="93">
        <v>74.905957502259213</v>
      </c>
      <c r="Z53" s="180">
        <v>73.69732143079419</v>
      </c>
      <c r="AA53" s="168"/>
      <c r="AB53" s="126"/>
      <c r="AC53" s="94"/>
      <c r="AD53" s="90"/>
      <c r="AE53" s="91"/>
      <c r="AF53" s="92"/>
      <c r="AG53" s="93"/>
      <c r="AH53" s="93"/>
      <c r="AI53" s="93"/>
      <c r="AJ53" s="93"/>
    </row>
    <row r="54" spans="1:36" x14ac:dyDescent="0.25">
      <c r="A54" s="88">
        <v>52</v>
      </c>
      <c r="B54" s="89" t="s">
        <v>823</v>
      </c>
      <c r="C54" s="90" t="s">
        <v>6</v>
      </c>
      <c r="D54" s="91" t="s">
        <v>88</v>
      </c>
      <c r="E54" s="92">
        <v>0</v>
      </c>
      <c r="F54" s="93">
        <v>38.798781792303437</v>
      </c>
      <c r="G54" s="93">
        <v>38.798781792303437</v>
      </c>
      <c r="H54" s="93"/>
      <c r="I54" s="93"/>
      <c r="J54" s="88">
        <v>52</v>
      </c>
      <c r="K54" s="94"/>
      <c r="L54" s="90"/>
      <c r="M54" s="91"/>
      <c r="N54" s="92"/>
      <c r="O54" s="93"/>
      <c r="P54" s="93"/>
      <c r="Q54" s="93"/>
      <c r="R54" s="165"/>
      <c r="S54" s="179">
        <f t="shared" si="0"/>
        <v>52</v>
      </c>
      <c r="T54" s="94" t="s">
        <v>774</v>
      </c>
      <c r="U54" s="90" t="s">
        <v>16</v>
      </c>
      <c r="V54" s="91" t="s">
        <v>63</v>
      </c>
      <c r="W54" s="92">
        <v>7</v>
      </c>
      <c r="X54" s="93">
        <v>61.077198295781812</v>
      </c>
      <c r="Y54" s="93">
        <v>74.755752272810611</v>
      </c>
      <c r="Z54" s="180">
        <v>73.549539819766437</v>
      </c>
      <c r="AA54" s="168"/>
      <c r="AB54" s="126"/>
      <c r="AC54" s="89"/>
      <c r="AD54" s="90"/>
      <c r="AE54" s="91"/>
      <c r="AF54" s="92"/>
      <c r="AG54" s="93"/>
      <c r="AH54" s="93"/>
      <c r="AI54" s="93"/>
      <c r="AJ54" s="93"/>
    </row>
    <row r="55" spans="1:36" x14ac:dyDescent="0.25">
      <c r="A55" s="88">
        <v>53</v>
      </c>
      <c r="B55" s="89" t="s">
        <v>430</v>
      </c>
      <c r="C55" s="90" t="s">
        <v>6</v>
      </c>
      <c r="D55" s="91" t="s">
        <v>57</v>
      </c>
      <c r="E55" s="92">
        <v>0</v>
      </c>
      <c r="F55" s="93">
        <v>49.495238031520621</v>
      </c>
      <c r="G55" s="93">
        <v>49.495238031520621</v>
      </c>
      <c r="H55" s="93"/>
      <c r="I55" s="93"/>
      <c r="J55" s="88">
        <v>53</v>
      </c>
      <c r="K55" s="94"/>
      <c r="L55" s="90"/>
      <c r="M55" s="91"/>
      <c r="N55" s="92"/>
      <c r="O55" s="93"/>
      <c r="P55" s="93"/>
      <c r="Q55" s="93"/>
      <c r="R55" s="165"/>
      <c r="S55" s="179">
        <f t="shared" si="0"/>
        <v>53</v>
      </c>
      <c r="T55" s="94" t="s">
        <v>164</v>
      </c>
      <c r="U55" s="90" t="s">
        <v>6</v>
      </c>
      <c r="V55" s="91" t="s">
        <v>62</v>
      </c>
      <c r="W55" s="92">
        <v>4</v>
      </c>
      <c r="X55" s="93">
        <v>67.672507412190882</v>
      </c>
      <c r="Y55" s="93">
        <v>74.645780641220099</v>
      </c>
      <c r="Z55" s="180">
        <v>73.441342622215757</v>
      </c>
      <c r="AA55" s="168"/>
      <c r="AB55" s="126"/>
      <c r="AC55" s="94"/>
      <c r="AD55" s="90"/>
      <c r="AE55" s="91"/>
      <c r="AF55" s="92"/>
      <c r="AG55" s="93"/>
      <c r="AH55" s="93"/>
      <c r="AI55" s="93"/>
      <c r="AJ55" s="93"/>
    </row>
    <row r="56" spans="1:36" x14ac:dyDescent="0.25">
      <c r="A56" s="88">
        <v>54</v>
      </c>
      <c r="B56" s="94" t="s">
        <v>830</v>
      </c>
      <c r="C56" s="90" t="s">
        <v>6</v>
      </c>
      <c r="D56" s="91" t="s">
        <v>122</v>
      </c>
      <c r="E56" s="92">
        <v>0</v>
      </c>
      <c r="F56" s="93">
        <v>46.805698483503036</v>
      </c>
      <c r="G56" s="93">
        <v>46.805698483503036</v>
      </c>
      <c r="H56" s="93"/>
      <c r="I56" s="93"/>
      <c r="J56" s="88">
        <v>54</v>
      </c>
      <c r="K56" s="94"/>
      <c r="L56" s="90"/>
      <c r="M56" s="91"/>
      <c r="N56" s="92"/>
      <c r="O56" s="93"/>
      <c r="P56" s="93"/>
      <c r="Q56" s="93"/>
      <c r="R56" s="165"/>
      <c r="S56" s="179">
        <f t="shared" si="0"/>
        <v>54</v>
      </c>
      <c r="T56" s="94" t="s">
        <v>1342</v>
      </c>
      <c r="U56" s="90" t="s">
        <v>16</v>
      </c>
      <c r="V56" s="91" t="s">
        <v>87</v>
      </c>
      <c r="W56" s="92">
        <v>2</v>
      </c>
      <c r="X56" s="93">
        <v>0</v>
      </c>
      <c r="Y56" s="93">
        <v>74.049391757773037</v>
      </c>
      <c r="Z56" s="180">
        <v>72.854576699894764</v>
      </c>
      <c r="AA56" s="168"/>
      <c r="AB56" s="126"/>
      <c r="AC56" s="89"/>
      <c r="AD56" s="90"/>
      <c r="AE56" s="91"/>
      <c r="AF56" s="92"/>
      <c r="AG56" s="93"/>
      <c r="AH56" s="93"/>
      <c r="AI56" s="93"/>
      <c r="AJ56" s="93"/>
    </row>
    <row r="57" spans="1:36" x14ac:dyDescent="0.25">
      <c r="A57" s="88">
        <v>55</v>
      </c>
      <c r="B57" s="89" t="s">
        <v>869</v>
      </c>
      <c r="C57" s="90" t="s">
        <v>6</v>
      </c>
      <c r="D57" s="91" t="s">
        <v>62</v>
      </c>
      <c r="E57" s="92">
        <v>0</v>
      </c>
      <c r="F57" s="93">
        <v>39.131184047246634</v>
      </c>
      <c r="G57" s="93">
        <v>39.131184047246634</v>
      </c>
      <c r="H57" s="93"/>
      <c r="I57" s="93"/>
      <c r="J57" s="88">
        <v>55</v>
      </c>
      <c r="K57" s="94"/>
      <c r="L57" s="90"/>
      <c r="M57" s="91"/>
      <c r="N57" s="92"/>
      <c r="O57" s="93"/>
      <c r="P57" s="93"/>
      <c r="Q57" s="93"/>
      <c r="R57" s="165"/>
      <c r="S57" s="179">
        <f t="shared" si="0"/>
        <v>55</v>
      </c>
      <c r="T57" s="94" t="s">
        <v>250</v>
      </c>
      <c r="U57" s="90" t="s">
        <v>6</v>
      </c>
      <c r="V57" s="91" t="s">
        <v>63</v>
      </c>
      <c r="W57" s="92">
        <v>4</v>
      </c>
      <c r="X57" s="93">
        <v>70.74923745396147</v>
      </c>
      <c r="Y57" s="93">
        <v>72.753494234407796</v>
      </c>
      <c r="Z57" s="180">
        <v>71.579588975214278</v>
      </c>
      <c r="AA57" s="168"/>
      <c r="AB57" s="126"/>
      <c r="AC57" s="94"/>
      <c r="AD57" s="90"/>
      <c r="AE57" s="91"/>
      <c r="AF57" s="92"/>
      <c r="AG57" s="93"/>
      <c r="AH57" s="93"/>
      <c r="AI57" s="93"/>
      <c r="AJ57" s="93"/>
    </row>
    <row r="58" spans="1:36" x14ac:dyDescent="0.25">
      <c r="A58" s="88">
        <v>56</v>
      </c>
      <c r="B58" s="89" t="s">
        <v>850</v>
      </c>
      <c r="C58" s="90" t="s">
        <v>6</v>
      </c>
      <c r="D58" s="91" t="s">
        <v>57</v>
      </c>
      <c r="E58" s="92">
        <v>0</v>
      </c>
      <c r="F58" s="93">
        <v>27.331064617126305</v>
      </c>
      <c r="G58" s="93">
        <v>27.331064617126305</v>
      </c>
      <c r="H58" s="93"/>
      <c r="I58" s="93"/>
      <c r="J58" s="88">
        <v>56</v>
      </c>
      <c r="K58" s="94"/>
      <c r="L58" s="90"/>
      <c r="M58" s="91"/>
      <c r="N58" s="92"/>
      <c r="O58" s="93"/>
      <c r="P58" s="93"/>
      <c r="Q58" s="93"/>
      <c r="R58" s="165"/>
      <c r="S58" s="179">
        <f t="shared" si="0"/>
        <v>56</v>
      </c>
      <c r="T58" s="94" t="s">
        <v>802</v>
      </c>
      <c r="U58" s="90" t="s">
        <v>6</v>
      </c>
      <c r="V58" s="91" t="s">
        <v>62</v>
      </c>
      <c r="W58" s="92">
        <v>4</v>
      </c>
      <c r="X58" s="93">
        <v>58.89129381208145</v>
      </c>
      <c r="Y58" s="93">
        <v>72.738338763967604</v>
      </c>
      <c r="Z58" s="180">
        <v>71.564678044045266</v>
      </c>
      <c r="AA58" s="168"/>
      <c r="AB58" s="126"/>
      <c r="AC58" s="94"/>
      <c r="AD58" s="90"/>
      <c r="AE58" s="91"/>
      <c r="AF58" s="92"/>
      <c r="AG58" s="93"/>
      <c r="AH58" s="93"/>
      <c r="AI58" s="93"/>
      <c r="AJ58" s="93"/>
    </row>
    <row r="59" spans="1:36" x14ac:dyDescent="0.25">
      <c r="A59" s="88">
        <v>57</v>
      </c>
      <c r="B59" s="89" t="s">
        <v>186</v>
      </c>
      <c r="C59" s="90" t="s">
        <v>6</v>
      </c>
      <c r="D59" s="91" t="s">
        <v>62</v>
      </c>
      <c r="E59" s="92">
        <v>0</v>
      </c>
      <c r="F59" s="93">
        <v>65.932000029740067</v>
      </c>
      <c r="G59" s="93">
        <v>65.932000029740067</v>
      </c>
      <c r="H59" s="93"/>
      <c r="I59" s="93"/>
      <c r="J59" s="88">
        <v>57</v>
      </c>
      <c r="K59" s="94"/>
      <c r="L59" s="90"/>
      <c r="M59" s="91"/>
      <c r="N59" s="92"/>
      <c r="O59" s="93"/>
      <c r="P59" s="93"/>
      <c r="Q59" s="93"/>
      <c r="R59" s="165"/>
      <c r="S59" s="179">
        <f t="shared" si="0"/>
        <v>57</v>
      </c>
      <c r="T59" s="94" t="s">
        <v>1040</v>
      </c>
      <c r="U59" s="90" t="s">
        <v>16</v>
      </c>
      <c r="V59" s="91" t="s">
        <v>67</v>
      </c>
      <c r="W59" s="92">
        <v>5</v>
      </c>
      <c r="X59" s="93">
        <v>0</v>
      </c>
      <c r="Y59" s="93">
        <v>72.715020901825795</v>
      </c>
      <c r="Z59" s="180">
        <v>71.541736424464574</v>
      </c>
      <c r="AA59" s="168"/>
      <c r="AB59" s="126"/>
      <c r="AC59" s="89"/>
      <c r="AD59" s="90"/>
      <c r="AE59" s="91"/>
      <c r="AF59" s="92"/>
      <c r="AG59" s="93"/>
      <c r="AH59" s="93"/>
      <c r="AI59" s="93"/>
      <c r="AJ59" s="93"/>
    </row>
    <row r="60" spans="1:36" x14ac:dyDescent="0.25">
      <c r="A60" s="88">
        <v>58</v>
      </c>
      <c r="B60" s="94" t="s">
        <v>890</v>
      </c>
      <c r="C60" s="90" t="s">
        <v>6</v>
      </c>
      <c r="D60" s="90" t="s">
        <v>781</v>
      </c>
      <c r="E60" s="92">
        <v>0</v>
      </c>
      <c r="F60" s="93">
        <v>32.476466758096421</v>
      </c>
      <c r="G60" s="93">
        <v>32.476466758096421</v>
      </c>
      <c r="H60" s="93"/>
      <c r="I60" s="93"/>
      <c r="J60" s="88">
        <v>58</v>
      </c>
      <c r="K60" s="94"/>
      <c r="L60" s="90"/>
      <c r="M60" s="91"/>
      <c r="N60" s="92"/>
      <c r="O60" s="93"/>
      <c r="P60" s="93"/>
      <c r="Q60" s="93"/>
      <c r="R60" s="165"/>
      <c r="S60" s="179">
        <f t="shared" si="0"/>
        <v>58</v>
      </c>
      <c r="T60" s="94" t="s">
        <v>760</v>
      </c>
      <c r="U60" s="90" t="s">
        <v>6</v>
      </c>
      <c r="V60" s="91" t="s">
        <v>62</v>
      </c>
      <c r="W60" s="92">
        <v>4</v>
      </c>
      <c r="X60" s="93">
        <v>67.2926081091029</v>
      </c>
      <c r="Y60" s="93">
        <v>72.379647036746519</v>
      </c>
      <c r="Z60" s="180">
        <v>71.211773944063864</v>
      </c>
      <c r="AA60" s="168"/>
      <c r="AB60" s="126"/>
      <c r="AC60" s="94"/>
      <c r="AD60" s="90"/>
      <c r="AE60" s="91"/>
      <c r="AF60" s="92"/>
      <c r="AG60" s="93"/>
      <c r="AH60" s="93"/>
      <c r="AI60" s="93"/>
      <c r="AJ60" s="93"/>
    </row>
    <row r="61" spans="1:36" x14ac:dyDescent="0.25">
      <c r="A61" s="88">
        <v>59</v>
      </c>
      <c r="B61" s="89" t="s">
        <v>713</v>
      </c>
      <c r="C61" s="90" t="s">
        <v>16</v>
      </c>
      <c r="D61" s="91" t="s">
        <v>87</v>
      </c>
      <c r="E61" s="92">
        <v>6</v>
      </c>
      <c r="F61" s="93">
        <v>78.60794886388625</v>
      </c>
      <c r="G61" s="93">
        <v>81.547058940732953</v>
      </c>
      <c r="H61" s="93"/>
      <c r="I61" s="93"/>
      <c r="J61" s="88">
        <v>59</v>
      </c>
      <c r="K61" s="94"/>
      <c r="L61" s="90"/>
      <c r="M61" s="91"/>
      <c r="N61" s="92"/>
      <c r="O61" s="93"/>
      <c r="P61" s="93"/>
      <c r="Q61" s="93"/>
      <c r="R61" s="165"/>
      <c r="S61" s="179">
        <f t="shared" si="0"/>
        <v>59</v>
      </c>
      <c r="T61" s="94" t="s">
        <v>971</v>
      </c>
      <c r="U61" s="90" t="s">
        <v>16</v>
      </c>
      <c r="V61" s="91" t="s">
        <v>87</v>
      </c>
      <c r="W61" s="92">
        <v>4</v>
      </c>
      <c r="X61" s="93">
        <v>46.260700403476264</v>
      </c>
      <c r="Y61" s="93">
        <v>72.213938248715863</v>
      </c>
      <c r="Z61" s="180">
        <v>71.048738930259603</v>
      </c>
      <c r="AA61" s="168"/>
      <c r="AB61" s="126"/>
      <c r="AC61" s="94"/>
      <c r="AD61" s="90"/>
      <c r="AE61" s="91"/>
      <c r="AF61" s="92"/>
      <c r="AG61" s="93"/>
      <c r="AH61" s="93"/>
      <c r="AI61" s="93"/>
      <c r="AJ61" s="93"/>
    </row>
    <row r="62" spans="1:36" x14ac:dyDescent="0.25">
      <c r="A62" s="88">
        <v>60</v>
      </c>
      <c r="B62" s="94" t="s">
        <v>880</v>
      </c>
      <c r="C62" s="90" t="s">
        <v>6</v>
      </c>
      <c r="D62" s="90" t="s">
        <v>88</v>
      </c>
      <c r="E62" s="92">
        <v>0</v>
      </c>
      <c r="F62" s="93">
        <v>56.590545113529153</v>
      </c>
      <c r="G62" s="93">
        <v>56.590545113529153</v>
      </c>
      <c r="H62" s="93"/>
      <c r="I62" s="93"/>
      <c r="J62" s="88">
        <v>60</v>
      </c>
      <c r="K62" s="94"/>
      <c r="L62" s="90"/>
      <c r="M62" s="91"/>
      <c r="N62" s="92"/>
      <c r="O62" s="93"/>
      <c r="P62" s="93"/>
      <c r="Q62" s="93"/>
      <c r="R62" s="165"/>
      <c r="S62" s="179">
        <f t="shared" si="0"/>
        <v>60</v>
      </c>
      <c r="T62" s="94" t="s">
        <v>1030</v>
      </c>
      <c r="U62" s="90" t="s">
        <v>16</v>
      </c>
      <c r="V62" s="91" t="s">
        <v>58</v>
      </c>
      <c r="W62" s="92">
        <v>3</v>
      </c>
      <c r="X62" s="93">
        <v>0</v>
      </c>
      <c r="Y62" s="93">
        <v>72.059582235115087</v>
      </c>
      <c r="Z62" s="180">
        <v>70.896873509558333</v>
      </c>
      <c r="AA62" s="168"/>
      <c r="AB62" s="127"/>
      <c r="AC62" s="94"/>
      <c r="AD62" s="90"/>
      <c r="AE62" s="91"/>
      <c r="AF62" s="92"/>
      <c r="AG62" s="93"/>
      <c r="AH62" s="93"/>
      <c r="AI62" s="93"/>
      <c r="AJ62" s="93"/>
    </row>
    <row r="63" spans="1:36" x14ac:dyDescent="0.25">
      <c r="A63" s="88">
        <v>61</v>
      </c>
      <c r="B63" s="89" t="s">
        <v>1032</v>
      </c>
      <c r="C63" s="90" t="s">
        <v>16</v>
      </c>
      <c r="D63" s="91" t="s">
        <v>58</v>
      </c>
      <c r="E63" s="92">
        <v>1</v>
      </c>
      <c r="F63" s="93">
        <v>0</v>
      </c>
      <c r="G63" s="93">
        <v>64.350516216877935</v>
      </c>
      <c r="H63" s="93"/>
      <c r="I63" s="93"/>
      <c r="J63" s="88">
        <v>61</v>
      </c>
      <c r="K63" s="94"/>
      <c r="L63" s="90"/>
      <c r="M63" s="91"/>
      <c r="N63" s="92"/>
      <c r="O63" s="93"/>
      <c r="P63" s="93"/>
      <c r="Q63" s="93"/>
      <c r="R63" s="165"/>
      <c r="S63" s="179">
        <f t="shared" si="0"/>
        <v>61</v>
      </c>
      <c r="T63" s="94" t="s">
        <v>113</v>
      </c>
      <c r="U63" s="90" t="s">
        <v>6</v>
      </c>
      <c r="V63" s="91" t="s">
        <v>62</v>
      </c>
      <c r="W63" s="92">
        <v>2</v>
      </c>
      <c r="X63" s="93">
        <v>69.43679629570974</v>
      </c>
      <c r="Y63" s="93">
        <v>71.663837072579554</v>
      </c>
      <c r="Z63" s="180">
        <v>70.507513845513145</v>
      </c>
      <c r="AA63" s="168"/>
      <c r="AB63" s="127"/>
      <c r="AC63" s="94"/>
      <c r="AD63" s="90"/>
      <c r="AE63" s="91"/>
      <c r="AF63" s="92"/>
      <c r="AG63" s="93"/>
      <c r="AH63" s="93"/>
      <c r="AI63" s="93"/>
      <c r="AJ63" s="93"/>
    </row>
    <row r="64" spans="1:36" x14ac:dyDescent="0.25">
      <c r="A64" s="88">
        <v>62</v>
      </c>
      <c r="B64" s="94" t="s">
        <v>756</v>
      </c>
      <c r="C64" s="90" t="s">
        <v>16</v>
      </c>
      <c r="D64" s="91" t="s">
        <v>58</v>
      </c>
      <c r="E64" s="92">
        <v>7</v>
      </c>
      <c r="F64" s="93">
        <v>85.052444447965044</v>
      </c>
      <c r="G64" s="93">
        <v>93.114680449247487</v>
      </c>
      <c r="H64" s="93"/>
      <c r="I64" s="93"/>
      <c r="J64" s="88">
        <v>62</v>
      </c>
      <c r="K64" s="94"/>
      <c r="L64" s="90"/>
      <c r="M64" s="91"/>
      <c r="N64" s="92"/>
      <c r="O64" s="93"/>
      <c r="P64" s="93"/>
      <c r="Q64" s="93"/>
      <c r="R64" s="165"/>
      <c r="S64" s="179">
        <f t="shared" si="0"/>
        <v>62</v>
      </c>
      <c r="T64" s="94" t="s">
        <v>1194</v>
      </c>
      <c r="U64" s="90" t="s">
        <v>6</v>
      </c>
      <c r="V64" s="91" t="s">
        <v>62</v>
      </c>
      <c r="W64" s="92">
        <v>4</v>
      </c>
      <c r="X64" s="93">
        <v>0</v>
      </c>
      <c r="Y64" s="93">
        <v>71.58936587715236</v>
      </c>
      <c r="Z64" s="180">
        <v>70.434244271106223</v>
      </c>
      <c r="AA64" s="168"/>
      <c r="AB64" s="127"/>
      <c r="AC64" s="94"/>
      <c r="AD64" s="90"/>
      <c r="AE64" s="91"/>
      <c r="AF64" s="92"/>
      <c r="AG64" s="93"/>
      <c r="AH64" s="93"/>
      <c r="AI64" s="93"/>
      <c r="AJ64" s="93"/>
    </row>
    <row r="65" spans="1:36" x14ac:dyDescent="0.25">
      <c r="A65" s="88">
        <v>63</v>
      </c>
      <c r="B65" s="94" t="s">
        <v>493</v>
      </c>
      <c r="C65" s="90" t="s">
        <v>6</v>
      </c>
      <c r="D65" s="91" t="s">
        <v>76</v>
      </c>
      <c r="E65" s="92">
        <v>0</v>
      </c>
      <c r="F65" s="93">
        <v>52.725599570492811</v>
      </c>
      <c r="G65" s="93">
        <v>52.725599570492811</v>
      </c>
      <c r="H65" s="93"/>
      <c r="I65" s="93"/>
      <c r="J65" s="88">
        <v>63</v>
      </c>
      <c r="K65" s="94"/>
      <c r="L65" s="90"/>
      <c r="M65" s="91"/>
      <c r="N65" s="92"/>
      <c r="O65" s="93"/>
      <c r="P65" s="93"/>
      <c r="Q65" s="93"/>
      <c r="R65" s="165"/>
      <c r="S65" s="179">
        <f t="shared" si="0"/>
        <v>63</v>
      </c>
      <c r="T65" s="94" t="s">
        <v>766</v>
      </c>
      <c r="U65" s="90" t="s">
        <v>6</v>
      </c>
      <c r="V65" s="91" t="s">
        <v>62</v>
      </c>
      <c r="W65" s="92">
        <v>2</v>
      </c>
      <c r="X65" s="93">
        <v>62.216529499468166</v>
      </c>
      <c r="Y65" s="93">
        <v>71.535707295584302</v>
      </c>
      <c r="Z65" s="180">
        <v>70.381451491129781</v>
      </c>
      <c r="AA65" s="168"/>
      <c r="AB65" s="127"/>
      <c r="AC65" s="94"/>
      <c r="AD65" s="90"/>
      <c r="AE65" s="91"/>
      <c r="AF65" s="92"/>
      <c r="AG65" s="93"/>
      <c r="AH65" s="93"/>
      <c r="AI65" s="93"/>
      <c r="AJ65" s="93"/>
    </row>
    <row r="66" spans="1:36" x14ac:dyDescent="0.25">
      <c r="A66" s="88">
        <v>64</v>
      </c>
      <c r="B66" s="89" t="s">
        <v>361</v>
      </c>
      <c r="C66" s="90" t="s">
        <v>6</v>
      </c>
      <c r="D66" s="91" t="s">
        <v>63</v>
      </c>
      <c r="E66" s="92">
        <v>0</v>
      </c>
      <c r="F66" s="93">
        <v>57.03021865485718</v>
      </c>
      <c r="G66" s="93">
        <v>57.03021865485718</v>
      </c>
      <c r="H66" s="93"/>
      <c r="I66" s="93"/>
      <c r="J66" s="88">
        <v>64</v>
      </c>
      <c r="K66" s="94"/>
      <c r="L66" s="90"/>
      <c r="M66" s="91"/>
      <c r="N66" s="92"/>
      <c r="O66" s="93"/>
      <c r="P66" s="93"/>
      <c r="Q66" s="93"/>
      <c r="R66" s="165"/>
      <c r="S66" s="179">
        <f t="shared" si="0"/>
        <v>64</v>
      </c>
      <c r="T66" s="94" t="s">
        <v>109</v>
      </c>
      <c r="U66" s="90" t="s">
        <v>6</v>
      </c>
      <c r="V66" s="91" t="s">
        <v>69</v>
      </c>
      <c r="W66" s="92">
        <v>4</v>
      </c>
      <c r="X66" s="93">
        <v>61.177974101557659</v>
      </c>
      <c r="Y66" s="93">
        <v>71.193828842253282</v>
      </c>
      <c r="Z66" s="180">
        <v>70.045089376479027</v>
      </c>
      <c r="AA66" s="168"/>
      <c r="AB66" s="127"/>
      <c r="AC66" s="94"/>
      <c r="AD66" s="90"/>
      <c r="AE66" s="91"/>
      <c r="AF66" s="92"/>
      <c r="AG66" s="93"/>
      <c r="AH66" s="93"/>
      <c r="AI66" s="93"/>
      <c r="AJ66" s="93"/>
    </row>
    <row r="67" spans="1:36" x14ac:dyDescent="0.25">
      <c r="A67" s="88">
        <v>65</v>
      </c>
      <c r="B67" s="89" t="s">
        <v>894</v>
      </c>
      <c r="C67" s="90" t="s">
        <v>16</v>
      </c>
      <c r="D67" s="91" t="s">
        <v>57</v>
      </c>
      <c r="E67" s="92">
        <v>0</v>
      </c>
      <c r="F67" s="93">
        <v>61.780631029579666</v>
      </c>
      <c r="G67" s="93">
        <v>61.780631029579666</v>
      </c>
      <c r="H67" s="93"/>
      <c r="I67" s="93"/>
      <c r="J67" s="88">
        <v>65</v>
      </c>
      <c r="K67" s="94"/>
      <c r="L67" s="90"/>
      <c r="M67" s="91"/>
      <c r="N67" s="92"/>
      <c r="O67" s="93"/>
      <c r="P67" s="93"/>
      <c r="Q67" s="93"/>
      <c r="R67" s="165"/>
      <c r="S67" s="179">
        <f t="shared" si="0"/>
        <v>65</v>
      </c>
      <c r="T67" s="94" t="s">
        <v>694</v>
      </c>
      <c r="U67" s="90" t="s">
        <v>6</v>
      </c>
      <c r="V67" s="91" t="s">
        <v>67</v>
      </c>
      <c r="W67" s="92">
        <v>2</v>
      </c>
      <c r="X67" s="93">
        <v>73.634681818425506</v>
      </c>
      <c r="Y67" s="93">
        <v>70.957866295134352</v>
      </c>
      <c r="Z67" s="180">
        <v>69.812934174669763</v>
      </c>
      <c r="AA67" s="168"/>
      <c r="AB67" s="127"/>
      <c r="AC67" s="89"/>
      <c r="AD67" s="90"/>
      <c r="AE67" s="91"/>
      <c r="AF67" s="92"/>
      <c r="AG67" s="93"/>
      <c r="AH67" s="93"/>
      <c r="AI67" s="93"/>
      <c r="AJ67" s="93"/>
    </row>
    <row r="68" spans="1:36" x14ac:dyDescent="0.25">
      <c r="A68" s="88">
        <v>66</v>
      </c>
      <c r="B68" s="89" t="s">
        <v>811</v>
      </c>
      <c r="C68" s="90" t="s">
        <v>6</v>
      </c>
      <c r="D68" s="91" t="s">
        <v>57</v>
      </c>
      <c r="E68" s="92">
        <v>0</v>
      </c>
      <c r="F68" s="93">
        <v>41.824350337179688</v>
      </c>
      <c r="G68" s="93">
        <v>41.824350337179688</v>
      </c>
      <c r="H68" s="93"/>
      <c r="I68" s="93"/>
      <c r="J68" s="88">
        <v>66</v>
      </c>
      <c r="K68" s="94"/>
      <c r="L68" s="90"/>
      <c r="M68" s="91"/>
      <c r="N68" s="92"/>
      <c r="O68" s="93"/>
      <c r="P68" s="93"/>
      <c r="Q68" s="93"/>
      <c r="R68" s="165"/>
      <c r="S68" s="179">
        <f t="shared" si="0"/>
        <v>66</v>
      </c>
      <c r="T68" s="94" t="s">
        <v>114</v>
      </c>
      <c r="U68" s="90" t="s">
        <v>6</v>
      </c>
      <c r="V68" s="91" t="s">
        <v>62</v>
      </c>
      <c r="W68" s="92">
        <v>4</v>
      </c>
      <c r="X68" s="93">
        <v>63.748424264420898</v>
      </c>
      <c r="Y68" s="93">
        <v>70.820984976582309</v>
      </c>
      <c r="Z68" s="180">
        <v>69.678261488176219</v>
      </c>
      <c r="AA68" s="168"/>
      <c r="AB68" s="127"/>
      <c r="AC68" s="96"/>
      <c r="AD68" s="90"/>
      <c r="AE68" s="150"/>
      <c r="AF68" s="92"/>
      <c r="AG68" s="93"/>
      <c r="AH68" s="93"/>
      <c r="AI68" s="93"/>
      <c r="AJ68" s="93"/>
    </row>
    <row r="69" spans="1:36" x14ac:dyDescent="0.25">
      <c r="A69" s="88">
        <v>67</v>
      </c>
      <c r="B69" s="89" t="s">
        <v>711</v>
      </c>
      <c r="C69" s="90" t="s">
        <v>16</v>
      </c>
      <c r="D69" s="91" t="s">
        <v>58</v>
      </c>
      <c r="E69" s="92">
        <v>4</v>
      </c>
      <c r="F69" s="93">
        <v>80.808467545736889</v>
      </c>
      <c r="G69" s="93">
        <v>79.623449982589136</v>
      </c>
      <c r="H69" s="93"/>
      <c r="I69" s="93"/>
      <c r="J69" s="88">
        <v>67</v>
      </c>
      <c r="K69" s="94"/>
      <c r="L69" s="90"/>
      <c r="M69" s="91"/>
      <c r="N69" s="92"/>
      <c r="O69" s="93"/>
      <c r="P69" s="93"/>
      <c r="Q69" s="93"/>
      <c r="R69" s="165"/>
      <c r="S69" s="179">
        <f t="shared" ref="S69:S132" si="1">S68+1</f>
        <v>67</v>
      </c>
      <c r="T69" s="94" t="s">
        <v>918</v>
      </c>
      <c r="U69" s="90" t="s">
        <v>6</v>
      </c>
      <c r="V69" s="91" t="s">
        <v>87</v>
      </c>
      <c r="W69" s="92">
        <v>6</v>
      </c>
      <c r="X69" s="93">
        <v>46.08889444969649</v>
      </c>
      <c r="Y69" s="93">
        <v>70.608584774214904</v>
      </c>
      <c r="Z69" s="180">
        <v>69.469288443737611</v>
      </c>
      <c r="AA69" s="168"/>
      <c r="AB69" s="127"/>
      <c r="AC69" s="94"/>
      <c r="AD69" s="90"/>
      <c r="AE69" s="150"/>
      <c r="AF69" s="92"/>
      <c r="AG69" s="93"/>
      <c r="AH69" s="93"/>
      <c r="AI69" s="93"/>
      <c r="AJ69" s="93"/>
    </row>
    <row r="70" spans="1:36" x14ac:dyDescent="0.25">
      <c r="A70" s="88">
        <v>68</v>
      </c>
      <c r="B70" s="89" t="s">
        <v>375</v>
      </c>
      <c r="C70" s="90" t="s">
        <v>6</v>
      </c>
      <c r="D70" s="91" t="s">
        <v>88</v>
      </c>
      <c r="E70" s="92">
        <v>0</v>
      </c>
      <c r="F70" s="93">
        <v>65.490025820618669</v>
      </c>
      <c r="G70" s="93">
        <v>65.490025820618669</v>
      </c>
      <c r="H70" s="93"/>
      <c r="I70" s="93"/>
      <c r="J70" s="88">
        <v>68</v>
      </c>
      <c r="K70" s="94"/>
      <c r="L70" s="90"/>
      <c r="M70" s="91"/>
      <c r="N70" s="92"/>
      <c r="O70" s="93"/>
      <c r="P70" s="93"/>
      <c r="Q70" s="93"/>
      <c r="R70" s="165"/>
      <c r="S70" s="179">
        <f t="shared" si="1"/>
        <v>68</v>
      </c>
      <c r="T70" s="94" t="s">
        <v>8</v>
      </c>
      <c r="U70" s="90" t="s">
        <v>6</v>
      </c>
      <c r="V70" s="91" t="s">
        <v>62</v>
      </c>
      <c r="W70" s="92">
        <v>5</v>
      </c>
      <c r="X70" s="93">
        <v>73.880564814842387</v>
      </c>
      <c r="Y70" s="93">
        <v>70.486486531415125</v>
      </c>
      <c r="Z70" s="180">
        <v>69.349160302454862</v>
      </c>
      <c r="AA70" s="168"/>
      <c r="AB70" s="127"/>
      <c r="AC70" s="94"/>
      <c r="AD70" s="90"/>
      <c r="AE70" s="150"/>
      <c r="AF70" s="92"/>
      <c r="AG70" s="93"/>
      <c r="AH70" s="93"/>
      <c r="AI70" s="93"/>
      <c r="AJ70" s="93"/>
    </row>
    <row r="71" spans="1:36" x14ac:dyDescent="0.25">
      <c r="A71" s="88">
        <v>69</v>
      </c>
      <c r="B71" s="94" t="s">
        <v>753</v>
      </c>
      <c r="C71" s="90" t="s">
        <v>6</v>
      </c>
      <c r="D71" s="91" t="s">
        <v>88</v>
      </c>
      <c r="E71" s="92">
        <v>0</v>
      </c>
      <c r="F71" s="93">
        <v>49.465977526914976</v>
      </c>
      <c r="G71" s="93">
        <v>49.465977526914976</v>
      </c>
      <c r="H71" s="93"/>
      <c r="I71" s="93"/>
      <c r="J71" s="88">
        <v>69</v>
      </c>
      <c r="K71" s="94"/>
      <c r="L71" s="90"/>
      <c r="M71" s="91"/>
      <c r="N71" s="92"/>
      <c r="O71" s="93"/>
      <c r="P71" s="93"/>
      <c r="Q71" s="93"/>
      <c r="R71" s="165"/>
      <c r="S71" s="179">
        <f t="shared" si="1"/>
        <v>69</v>
      </c>
      <c r="T71" s="94" t="s">
        <v>13</v>
      </c>
      <c r="U71" s="90" t="s">
        <v>6</v>
      </c>
      <c r="V71" s="91" t="s">
        <v>57</v>
      </c>
      <c r="W71" s="92">
        <v>6</v>
      </c>
      <c r="X71" s="93">
        <v>66.308290816615511</v>
      </c>
      <c r="Y71" s="93">
        <v>70.044161998059209</v>
      </c>
      <c r="Z71" s="180">
        <v>68.913972843427004</v>
      </c>
      <c r="AA71" s="168"/>
      <c r="AB71" s="127"/>
      <c r="AC71" s="94"/>
      <c r="AD71" s="90"/>
      <c r="AE71" s="150"/>
      <c r="AF71" s="92"/>
      <c r="AG71" s="93"/>
      <c r="AH71" s="93"/>
      <c r="AI71" s="93"/>
      <c r="AJ71" s="93"/>
    </row>
    <row r="72" spans="1:36" x14ac:dyDescent="0.25">
      <c r="A72" s="88">
        <v>70</v>
      </c>
      <c r="B72" s="94" t="s">
        <v>8</v>
      </c>
      <c r="C72" s="90" t="s">
        <v>6</v>
      </c>
      <c r="D72" s="91" t="s">
        <v>62</v>
      </c>
      <c r="E72" s="92">
        <v>0</v>
      </c>
      <c r="F72" s="93">
        <v>73.880564814842387</v>
      </c>
      <c r="G72" s="93">
        <v>73.880564814842387</v>
      </c>
      <c r="H72" s="93"/>
      <c r="I72" s="93"/>
      <c r="J72" s="88">
        <v>70</v>
      </c>
      <c r="K72" s="94"/>
      <c r="L72" s="90"/>
      <c r="M72" s="91"/>
      <c r="N72" s="92"/>
      <c r="O72" s="93"/>
      <c r="P72" s="93"/>
      <c r="Q72" s="93"/>
      <c r="R72" s="165"/>
      <c r="S72" s="179">
        <f t="shared" si="1"/>
        <v>70</v>
      </c>
      <c r="T72" s="94" t="s">
        <v>715</v>
      </c>
      <c r="U72" s="90" t="s">
        <v>6</v>
      </c>
      <c r="V72" s="91" t="s">
        <v>62</v>
      </c>
      <c r="W72" s="92">
        <v>6</v>
      </c>
      <c r="X72" s="93">
        <v>67.376687844768071</v>
      </c>
      <c r="Y72" s="93">
        <v>69.935718366196426</v>
      </c>
      <c r="Z72" s="180">
        <v>68.807278990748159</v>
      </c>
      <c r="AA72" s="168"/>
      <c r="AB72" s="127"/>
      <c r="AC72" s="94"/>
      <c r="AD72" s="90"/>
      <c r="AE72" s="150"/>
      <c r="AF72" s="92"/>
      <c r="AG72" s="93"/>
      <c r="AH72" s="93"/>
      <c r="AI72" s="93"/>
      <c r="AJ72" s="93"/>
    </row>
    <row r="73" spans="1:36" x14ac:dyDescent="0.25">
      <c r="A73" s="88">
        <v>71</v>
      </c>
      <c r="B73" s="89" t="s">
        <v>772</v>
      </c>
      <c r="C73" s="90" t="s">
        <v>16</v>
      </c>
      <c r="D73" s="91" t="s">
        <v>63</v>
      </c>
      <c r="E73" s="92">
        <v>2</v>
      </c>
      <c r="F73" s="93">
        <v>72.044863189139662</v>
      </c>
      <c r="G73" s="93">
        <v>83.596812974510229</v>
      </c>
      <c r="H73" s="93"/>
      <c r="I73" s="93"/>
      <c r="J73" s="88">
        <v>71</v>
      </c>
      <c r="K73" s="94"/>
      <c r="L73" s="90"/>
      <c r="M73" s="91"/>
      <c r="N73" s="92"/>
      <c r="O73" s="93"/>
      <c r="P73" s="93"/>
      <c r="Q73" s="93"/>
      <c r="R73" s="165"/>
      <c r="S73" s="179">
        <f t="shared" si="1"/>
        <v>71</v>
      </c>
      <c r="T73" s="94" t="s">
        <v>71</v>
      </c>
      <c r="U73" s="90" t="s">
        <v>6</v>
      </c>
      <c r="V73" s="91" t="s">
        <v>62</v>
      </c>
      <c r="W73" s="92">
        <v>5</v>
      </c>
      <c r="X73" s="93">
        <v>70.553654280582819</v>
      </c>
      <c r="Y73" s="93">
        <v>69.914918672446177</v>
      </c>
      <c r="Z73" s="180">
        <v>68.786814907955701</v>
      </c>
      <c r="AA73" s="168"/>
      <c r="AB73" s="127"/>
      <c r="AC73" s="94"/>
      <c r="AD73" s="90"/>
      <c r="AE73" s="150"/>
      <c r="AF73" s="92"/>
      <c r="AG73" s="93"/>
      <c r="AH73" s="93"/>
      <c r="AI73" s="93"/>
      <c r="AJ73" s="93"/>
    </row>
    <row r="74" spans="1:36" x14ac:dyDescent="0.25">
      <c r="A74" s="88">
        <v>72</v>
      </c>
      <c r="B74" s="89" t="s">
        <v>827</v>
      </c>
      <c r="C74" s="90" t="s">
        <v>6</v>
      </c>
      <c r="D74" s="91" t="s">
        <v>69</v>
      </c>
      <c r="E74" s="92">
        <v>0</v>
      </c>
      <c r="F74" s="93">
        <v>40.052560358075667</v>
      </c>
      <c r="G74" s="93">
        <v>40.052560358075667</v>
      </c>
      <c r="H74" s="93"/>
      <c r="I74" s="93"/>
      <c r="J74" s="88">
        <v>72</v>
      </c>
      <c r="K74" s="94"/>
      <c r="L74" s="90"/>
      <c r="M74" s="91"/>
      <c r="N74" s="92"/>
      <c r="O74" s="93"/>
      <c r="P74" s="93"/>
      <c r="Q74" s="93"/>
      <c r="R74" s="165"/>
      <c r="S74" s="179">
        <f t="shared" si="1"/>
        <v>72</v>
      </c>
      <c r="T74" s="94" t="s">
        <v>1038</v>
      </c>
      <c r="U74" s="90" t="s">
        <v>16</v>
      </c>
      <c r="V74" s="91" t="s">
        <v>66</v>
      </c>
      <c r="W74" s="92">
        <v>3</v>
      </c>
      <c r="X74" s="93">
        <v>0</v>
      </c>
      <c r="Y74" s="93">
        <v>69.8850450934208</v>
      </c>
      <c r="Z74" s="180">
        <v>68.757423350473047</v>
      </c>
      <c r="AA74" s="168"/>
      <c r="AB74" s="127"/>
      <c r="AC74" s="94"/>
      <c r="AD74" s="90"/>
      <c r="AE74" s="150"/>
      <c r="AF74" s="92"/>
      <c r="AG74" s="93"/>
      <c r="AH74" s="93"/>
      <c r="AI74" s="93"/>
      <c r="AJ74" s="93"/>
    </row>
    <row r="75" spans="1:36" x14ac:dyDescent="0.25">
      <c r="A75" s="88">
        <v>73</v>
      </c>
      <c r="B75" s="94" t="s">
        <v>495</v>
      </c>
      <c r="C75" s="90" t="s">
        <v>6</v>
      </c>
      <c r="D75" s="91" t="s">
        <v>76</v>
      </c>
      <c r="E75" s="92">
        <v>0</v>
      </c>
      <c r="F75" s="93">
        <v>48.808610178578434</v>
      </c>
      <c r="G75" s="93">
        <v>48.808610178578434</v>
      </c>
      <c r="H75" s="93"/>
      <c r="I75" s="93"/>
      <c r="J75" s="88">
        <v>73</v>
      </c>
      <c r="K75" s="94"/>
      <c r="L75" s="90"/>
      <c r="M75" s="91"/>
      <c r="N75" s="92"/>
      <c r="O75" s="93"/>
      <c r="P75" s="93"/>
      <c r="Q75" s="93"/>
      <c r="R75" s="165"/>
      <c r="S75" s="179">
        <f t="shared" si="1"/>
        <v>73</v>
      </c>
      <c r="T75" s="94" t="s">
        <v>1197</v>
      </c>
      <c r="U75" s="90" t="s">
        <v>6</v>
      </c>
      <c r="V75" s="91" t="s">
        <v>62</v>
      </c>
      <c r="W75" s="92">
        <v>2</v>
      </c>
      <c r="X75" s="93">
        <v>0</v>
      </c>
      <c r="Y75" s="93">
        <v>69.812924277591577</v>
      </c>
      <c r="Z75" s="180">
        <v>68.686466231396665</v>
      </c>
      <c r="AA75" s="168"/>
      <c r="AB75" s="127"/>
      <c r="AC75" s="94"/>
      <c r="AD75" s="90"/>
      <c r="AE75" s="150"/>
      <c r="AF75" s="92"/>
      <c r="AG75" s="93"/>
      <c r="AH75" s="93"/>
      <c r="AI75" s="93"/>
      <c r="AJ75" s="93"/>
    </row>
    <row r="76" spans="1:36" x14ac:dyDescent="0.25">
      <c r="A76" s="88">
        <v>74</v>
      </c>
      <c r="B76" s="89" t="s">
        <v>765</v>
      </c>
      <c r="C76" s="90" t="s">
        <v>16</v>
      </c>
      <c r="D76" s="91" t="s">
        <v>61</v>
      </c>
      <c r="E76" s="92">
        <v>4</v>
      </c>
      <c r="F76" s="93">
        <v>87.998149406139206</v>
      </c>
      <c r="G76" s="93">
        <v>87.331891379066732</v>
      </c>
      <c r="H76" s="93"/>
      <c r="I76" s="93"/>
      <c r="J76" s="88">
        <v>74</v>
      </c>
      <c r="K76" s="94"/>
      <c r="L76" s="90"/>
      <c r="M76" s="91"/>
      <c r="N76" s="92"/>
      <c r="O76" s="93"/>
      <c r="P76" s="93"/>
      <c r="Q76" s="93"/>
      <c r="R76" s="165"/>
      <c r="S76" s="179">
        <f t="shared" si="1"/>
        <v>74</v>
      </c>
      <c r="T76" s="94" t="s">
        <v>770</v>
      </c>
      <c r="U76" s="90" t="s">
        <v>6</v>
      </c>
      <c r="V76" s="91" t="s">
        <v>62</v>
      </c>
      <c r="W76" s="92">
        <v>2</v>
      </c>
      <c r="X76" s="93">
        <v>56.854090021592278</v>
      </c>
      <c r="Y76" s="93">
        <v>69.726775200015254</v>
      </c>
      <c r="Z76" s="180">
        <v>68.601707201904034</v>
      </c>
      <c r="AA76" s="168"/>
      <c r="AB76" s="127"/>
      <c r="AC76" s="94"/>
      <c r="AD76" s="90"/>
      <c r="AE76" s="91"/>
      <c r="AF76" s="92"/>
      <c r="AG76" s="93"/>
      <c r="AH76" s="93"/>
      <c r="AI76" s="93"/>
      <c r="AJ76" s="93"/>
    </row>
    <row r="77" spans="1:36" x14ac:dyDescent="0.25">
      <c r="A77" s="88">
        <v>75</v>
      </c>
      <c r="B77" s="89" t="s">
        <v>849</v>
      </c>
      <c r="C77" s="90" t="s">
        <v>16</v>
      </c>
      <c r="D77" s="91" t="s">
        <v>57</v>
      </c>
      <c r="E77" s="92">
        <v>0</v>
      </c>
      <c r="F77" s="93">
        <v>47.982287697373508</v>
      </c>
      <c r="G77" s="93">
        <v>47.982287697373508</v>
      </c>
      <c r="H77" s="93"/>
      <c r="I77" s="93"/>
      <c r="J77" s="88">
        <v>75</v>
      </c>
      <c r="K77" s="94"/>
      <c r="L77" s="90"/>
      <c r="M77" s="91"/>
      <c r="N77" s="92"/>
      <c r="O77" s="93"/>
      <c r="P77" s="93"/>
      <c r="Q77" s="93"/>
      <c r="R77" s="165"/>
      <c r="S77" s="179">
        <f t="shared" si="1"/>
        <v>75</v>
      </c>
      <c r="T77" s="94" t="s">
        <v>1337</v>
      </c>
      <c r="U77" s="90" t="s">
        <v>6</v>
      </c>
      <c r="V77" s="91" t="s">
        <v>67</v>
      </c>
      <c r="W77" s="92">
        <v>1</v>
      </c>
      <c r="X77" s="93">
        <v>0</v>
      </c>
      <c r="Y77" s="93">
        <v>69.725790980954002</v>
      </c>
      <c r="Z77" s="180">
        <v>68.600738863591118</v>
      </c>
      <c r="AA77" s="168"/>
      <c r="AB77" s="127"/>
      <c r="AC77" s="89"/>
      <c r="AD77" s="90"/>
      <c r="AE77" s="91"/>
      <c r="AF77" s="92"/>
      <c r="AG77" s="93"/>
      <c r="AH77" s="93"/>
      <c r="AI77" s="93"/>
      <c r="AJ77" s="93"/>
    </row>
    <row r="78" spans="1:36" x14ac:dyDescent="0.25">
      <c r="A78" s="88">
        <v>76</v>
      </c>
      <c r="B78" s="89" t="s">
        <v>505</v>
      </c>
      <c r="C78" s="90" t="s">
        <v>6</v>
      </c>
      <c r="D78" s="91" t="s">
        <v>57</v>
      </c>
      <c r="E78" s="92">
        <v>0</v>
      </c>
      <c r="F78" s="93">
        <v>31.311358388555671</v>
      </c>
      <c r="G78" s="93">
        <v>31.311358388555671</v>
      </c>
      <c r="H78" s="93"/>
      <c r="I78" s="93"/>
      <c r="J78" s="88">
        <v>76</v>
      </c>
      <c r="K78" s="94"/>
      <c r="L78" s="90"/>
      <c r="M78" s="91"/>
      <c r="N78" s="92"/>
      <c r="O78" s="93"/>
      <c r="P78" s="93"/>
      <c r="Q78" s="93"/>
      <c r="R78" s="165"/>
      <c r="S78" s="179">
        <f t="shared" si="1"/>
        <v>76</v>
      </c>
      <c r="T78" s="94" t="s">
        <v>106</v>
      </c>
      <c r="U78" s="90" t="s">
        <v>6</v>
      </c>
      <c r="V78" s="91" t="s">
        <v>62</v>
      </c>
      <c r="W78" s="92">
        <v>8</v>
      </c>
      <c r="X78" s="93">
        <v>66.743668731500662</v>
      </c>
      <c r="Y78" s="93">
        <v>69.509443419579057</v>
      </c>
      <c r="Z78" s="180">
        <v>68.387882152281634</v>
      </c>
      <c r="AA78" s="168"/>
      <c r="AB78" s="127"/>
      <c r="AC78" s="89"/>
      <c r="AD78" s="90"/>
      <c r="AE78" s="91"/>
      <c r="AF78" s="92"/>
      <c r="AG78" s="93"/>
      <c r="AH78" s="93"/>
      <c r="AI78" s="93"/>
      <c r="AJ78" s="93"/>
    </row>
    <row r="79" spans="1:36" x14ac:dyDescent="0.25">
      <c r="A79" s="88">
        <v>77</v>
      </c>
      <c r="B79" s="89" t="s">
        <v>859</v>
      </c>
      <c r="C79" s="90" t="s">
        <v>6</v>
      </c>
      <c r="D79" s="91" t="s">
        <v>59</v>
      </c>
      <c r="E79" s="92">
        <v>0</v>
      </c>
      <c r="F79" s="93">
        <v>42.726926272293511</v>
      </c>
      <c r="G79" s="93">
        <v>42.726926272293511</v>
      </c>
      <c r="H79" s="93"/>
      <c r="I79" s="93"/>
      <c r="J79" s="88">
        <v>77</v>
      </c>
      <c r="K79" s="94"/>
      <c r="L79" s="90"/>
      <c r="M79" s="91"/>
      <c r="N79" s="92"/>
      <c r="O79" s="93"/>
      <c r="P79" s="93"/>
      <c r="Q79" s="93"/>
      <c r="R79" s="165"/>
      <c r="S79" s="179">
        <f t="shared" si="1"/>
        <v>77</v>
      </c>
      <c r="T79" s="94" t="s">
        <v>11</v>
      </c>
      <c r="U79" s="90" t="s">
        <v>6</v>
      </c>
      <c r="V79" s="91" t="s">
        <v>65</v>
      </c>
      <c r="W79" s="92">
        <v>5</v>
      </c>
      <c r="X79" s="93">
        <v>66.843409203160235</v>
      </c>
      <c r="Y79" s="93">
        <v>69.43173611866014</v>
      </c>
      <c r="Z79" s="180">
        <v>68.311428688174075</v>
      </c>
      <c r="AA79" s="168"/>
      <c r="AB79" s="127"/>
      <c r="AC79" s="94"/>
      <c r="AD79" s="90"/>
      <c r="AE79" s="91"/>
      <c r="AF79" s="92"/>
      <c r="AG79" s="93"/>
      <c r="AH79" s="93"/>
      <c r="AI79" s="93"/>
      <c r="AJ79" s="93"/>
    </row>
    <row r="80" spans="1:36" x14ac:dyDescent="0.25">
      <c r="A80" s="88">
        <v>78</v>
      </c>
      <c r="B80" s="89" t="s">
        <v>971</v>
      </c>
      <c r="C80" s="90" t="s">
        <v>16</v>
      </c>
      <c r="D80" s="91" t="s">
        <v>87</v>
      </c>
      <c r="E80" s="92">
        <v>0</v>
      </c>
      <c r="F80" s="93">
        <v>46.260700403476264</v>
      </c>
      <c r="G80" s="93">
        <v>46.260700403476264</v>
      </c>
      <c r="H80" s="93"/>
      <c r="I80" s="93"/>
      <c r="J80" s="88">
        <v>78</v>
      </c>
      <c r="K80" s="94"/>
      <c r="L80" s="90"/>
      <c r="M80" s="91"/>
      <c r="N80" s="92"/>
      <c r="O80" s="93"/>
      <c r="P80" s="93"/>
      <c r="Q80" s="93"/>
      <c r="R80" s="165"/>
      <c r="S80" s="179">
        <f t="shared" si="1"/>
        <v>78</v>
      </c>
      <c r="T80" s="94" t="s">
        <v>1104</v>
      </c>
      <c r="U80" s="90" t="s">
        <v>16</v>
      </c>
      <c r="V80" s="91" t="s">
        <v>63</v>
      </c>
      <c r="W80" s="92">
        <v>2</v>
      </c>
      <c r="X80" s="93">
        <v>0</v>
      </c>
      <c r="Y80" s="93">
        <v>68.93892204710923</v>
      </c>
      <c r="Z80" s="180">
        <v>67.826566358824508</v>
      </c>
      <c r="AA80" s="168"/>
      <c r="AB80" s="127"/>
      <c r="AC80" s="94"/>
      <c r="AD80" s="90"/>
      <c r="AE80" s="91"/>
      <c r="AF80" s="92"/>
      <c r="AG80" s="93"/>
      <c r="AH80" s="93"/>
      <c r="AI80" s="93"/>
      <c r="AJ80" s="93"/>
    </row>
    <row r="81" spans="1:36" x14ac:dyDescent="0.25">
      <c r="A81" s="88">
        <v>79</v>
      </c>
      <c r="B81" s="89" t="s">
        <v>224</v>
      </c>
      <c r="C81" s="90" t="s">
        <v>6</v>
      </c>
      <c r="D81" s="91" t="s">
        <v>61</v>
      </c>
      <c r="E81" s="92">
        <v>0</v>
      </c>
      <c r="F81" s="93">
        <v>62.293008941503402</v>
      </c>
      <c r="G81" s="93">
        <v>62.293008941503402</v>
      </c>
      <c r="H81" s="93"/>
      <c r="I81" s="93"/>
      <c r="J81" s="88">
        <v>79</v>
      </c>
      <c r="K81" s="94"/>
      <c r="L81" s="90"/>
      <c r="M81" s="91"/>
      <c r="N81" s="92"/>
      <c r="O81" s="93"/>
      <c r="P81" s="93"/>
      <c r="Q81" s="93"/>
      <c r="R81" s="165"/>
      <c r="S81" s="179">
        <f t="shared" si="1"/>
        <v>79</v>
      </c>
      <c r="T81" s="94" t="s">
        <v>498</v>
      </c>
      <c r="U81" s="90" t="s">
        <v>6</v>
      </c>
      <c r="V81" s="91" t="s">
        <v>62</v>
      </c>
      <c r="W81" s="92">
        <v>3</v>
      </c>
      <c r="X81" s="93">
        <v>61.922713069928847</v>
      </c>
      <c r="Y81" s="93">
        <v>68.90381941310234</v>
      </c>
      <c r="Z81" s="180">
        <v>67.792030119148308</v>
      </c>
      <c r="AA81" s="168"/>
      <c r="AB81" s="127"/>
      <c r="AC81" s="94"/>
      <c r="AD81" s="90"/>
      <c r="AE81" s="91"/>
      <c r="AF81" s="92"/>
      <c r="AG81" s="93"/>
      <c r="AH81" s="93"/>
      <c r="AI81" s="93"/>
      <c r="AJ81" s="93"/>
    </row>
    <row r="82" spans="1:36" x14ac:dyDescent="0.25">
      <c r="A82" s="88">
        <v>80</v>
      </c>
      <c r="B82" s="89" t="s">
        <v>1034</v>
      </c>
      <c r="C82" s="90" t="s">
        <v>16</v>
      </c>
      <c r="D82" s="91" t="s">
        <v>63</v>
      </c>
      <c r="E82" s="92">
        <v>2</v>
      </c>
      <c r="F82" s="93">
        <v>0</v>
      </c>
      <c r="G82" s="93">
        <v>84.278844281290986</v>
      </c>
      <c r="H82" s="93"/>
      <c r="I82" s="93"/>
      <c r="J82" s="88">
        <v>80</v>
      </c>
      <c r="K82" s="94"/>
      <c r="L82" s="90"/>
      <c r="M82" s="91"/>
      <c r="N82" s="92"/>
      <c r="O82" s="93"/>
      <c r="P82" s="93"/>
      <c r="Q82" s="93"/>
      <c r="R82" s="165"/>
      <c r="S82" s="179">
        <f t="shared" si="1"/>
        <v>80</v>
      </c>
      <c r="T82" s="94" t="s">
        <v>1180</v>
      </c>
      <c r="U82" s="90" t="s">
        <v>16</v>
      </c>
      <c r="V82" s="91" t="s">
        <v>57</v>
      </c>
      <c r="W82" s="92">
        <v>2</v>
      </c>
      <c r="X82" s="93">
        <v>61.780631029579666</v>
      </c>
      <c r="Y82" s="93">
        <v>68.742242492424666</v>
      </c>
      <c r="Z82" s="180">
        <v>67.633060303448119</v>
      </c>
      <c r="AA82" s="168"/>
      <c r="AB82" s="127"/>
      <c r="AC82" s="94"/>
      <c r="AD82" s="90"/>
      <c r="AE82" s="91"/>
      <c r="AF82" s="92"/>
      <c r="AG82" s="93"/>
      <c r="AH82" s="93"/>
      <c r="AI82" s="93"/>
      <c r="AJ82" s="93"/>
    </row>
    <row r="83" spans="1:36" x14ac:dyDescent="0.25">
      <c r="A83" s="88">
        <v>81</v>
      </c>
      <c r="B83" s="94" t="s">
        <v>50</v>
      </c>
      <c r="C83" s="90" t="s">
        <v>6</v>
      </c>
      <c r="D83" s="91" t="s">
        <v>64</v>
      </c>
      <c r="E83" s="92">
        <v>4</v>
      </c>
      <c r="F83" s="93">
        <v>94.460912223772951</v>
      </c>
      <c r="G83" s="93">
        <v>93.897339942251477</v>
      </c>
      <c r="H83" s="93"/>
      <c r="I83" s="93"/>
      <c r="J83" s="88">
        <v>81</v>
      </c>
      <c r="K83" s="94"/>
      <c r="L83" s="90"/>
      <c r="M83" s="91"/>
      <c r="N83" s="92"/>
      <c r="O83" s="93"/>
      <c r="P83" s="93"/>
      <c r="Q83" s="93"/>
      <c r="R83" s="165"/>
      <c r="S83" s="179">
        <f t="shared" si="1"/>
        <v>81</v>
      </c>
      <c r="T83" s="94" t="s">
        <v>768</v>
      </c>
      <c r="U83" s="90" t="s">
        <v>6</v>
      </c>
      <c r="V83" s="91" t="s">
        <v>62</v>
      </c>
      <c r="W83" s="92">
        <v>4</v>
      </c>
      <c r="X83" s="93">
        <v>66.87248684387076</v>
      </c>
      <c r="Y83" s="93">
        <v>68.134662408354799</v>
      </c>
      <c r="Z83" s="180">
        <v>67.035283754776458</v>
      </c>
      <c r="AA83" s="168"/>
      <c r="AB83" s="127"/>
      <c r="AC83" s="94"/>
      <c r="AD83" s="90"/>
      <c r="AE83" s="91"/>
      <c r="AF83" s="92"/>
      <c r="AG83" s="93"/>
      <c r="AH83" s="93"/>
      <c r="AI83" s="93"/>
      <c r="AJ83" s="93"/>
    </row>
    <row r="84" spans="1:36" x14ac:dyDescent="0.25">
      <c r="A84" s="88">
        <v>82</v>
      </c>
      <c r="B84" s="89" t="s">
        <v>662</v>
      </c>
      <c r="C84" s="90" t="s">
        <v>6</v>
      </c>
      <c r="D84" s="91" t="s">
        <v>57</v>
      </c>
      <c r="E84" s="92">
        <v>0</v>
      </c>
      <c r="F84" s="93">
        <v>47.416718777744791</v>
      </c>
      <c r="G84" s="93">
        <v>47.416718777744791</v>
      </c>
      <c r="H84" s="93"/>
      <c r="I84" s="93"/>
      <c r="J84" s="88">
        <v>82</v>
      </c>
      <c r="K84" s="94"/>
      <c r="L84" s="90"/>
      <c r="M84" s="91"/>
      <c r="N84" s="92"/>
      <c r="O84" s="93"/>
      <c r="P84" s="93"/>
      <c r="Q84" s="93"/>
      <c r="R84" s="165"/>
      <c r="S84" s="179">
        <f t="shared" si="1"/>
        <v>82</v>
      </c>
      <c r="T84" s="94" t="s">
        <v>1124</v>
      </c>
      <c r="U84" s="90" t="s">
        <v>6</v>
      </c>
      <c r="V84" s="91" t="s">
        <v>88</v>
      </c>
      <c r="W84" s="92">
        <v>3</v>
      </c>
      <c r="X84" s="93">
        <v>0</v>
      </c>
      <c r="Y84" s="93">
        <v>68.003052657094841</v>
      </c>
      <c r="Z84" s="180">
        <v>66.905797576834743</v>
      </c>
      <c r="AA84" s="168"/>
      <c r="AB84" s="127"/>
      <c r="AC84" s="94"/>
      <c r="AD84" s="90"/>
      <c r="AE84" s="90"/>
      <c r="AF84" s="92"/>
      <c r="AG84" s="93"/>
      <c r="AH84" s="93"/>
      <c r="AI84" s="93"/>
      <c r="AJ84" s="93"/>
    </row>
    <row r="85" spans="1:36" x14ac:dyDescent="0.25">
      <c r="A85" s="88">
        <v>83</v>
      </c>
      <c r="B85" s="94" t="s">
        <v>394</v>
      </c>
      <c r="C85" s="90" t="s">
        <v>6</v>
      </c>
      <c r="D85" s="91" t="s">
        <v>58</v>
      </c>
      <c r="E85" s="92">
        <v>2</v>
      </c>
      <c r="F85" s="93">
        <v>77.891993104385335</v>
      </c>
      <c r="G85" s="93">
        <v>75.70114602398391</v>
      </c>
      <c r="H85" s="93"/>
      <c r="I85" s="93"/>
      <c r="J85" s="88">
        <v>83</v>
      </c>
      <c r="K85" s="94"/>
      <c r="L85" s="90"/>
      <c r="M85" s="91"/>
      <c r="N85" s="92"/>
      <c r="O85" s="93"/>
      <c r="P85" s="93"/>
      <c r="Q85" s="93"/>
      <c r="R85" s="165"/>
      <c r="S85" s="179">
        <f t="shared" si="1"/>
        <v>83</v>
      </c>
      <c r="T85" s="94" t="s">
        <v>786</v>
      </c>
      <c r="U85" s="90" t="s">
        <v>6</v>
      </c>
      <c r="V85" s="91" t="s">
        <v>69</v>
      </c>
      <c r="W85" s="92">
        <v>7</v>
      </c>
      <c r="X85" s="93">
        <v>63.534035635326788</v>
      </c>
      <c r="Y85" s="93">
        <v>67.851888206854341</v>
      </c>
      <c r="Z85" s="180">
        <v>66.757072222406862</v>
      </c>
      <c r="AA85" s="168"/>
      <c r="AB85" s="127"/>
      <c r="AC85" s="94"/>
      <c r="AD85" s="90"/>
      <c r="AE85" s="90"/>
      <c r="AF85" s="92"/>
      <c r="AG85" s="93"/>
      <c r="AH85" s="93"/>
      <c r="AI85" s="93"/>
      <c r="AJ85" s="93"/>
    </row>
    <row r="86" spans="1:36" x14ac:dyDescent="0.25">
      <c r="A86" s="88">
        <v>84</v>
      </c>
      <c r="B86" s="89" t="s">
        <v>806</v>
      </c>
      <c r="C86" s="90" t="s">
        <v>16</v>
      </c>
      <c r="D86" s="91" t="s">
        <v>61</v>
      </c>
      <c r="E86" s="92">
        <v>2</v>
      </c>
      <c r="F86" s="93">
        <v>66.849948914111152</v>
      </c>
      <c r="G86" s="93">
        <v>67.297156904055669</v>
      </c>
      <c r="H86" s="93"/>
      <c r="I86" s="93"/>
      <c r="J86" s="88">
        <v>84</v>
      </c>
      <c r="K86" s="94"/>
      <c r="L86" s="90"/>
      <c r="M86" s="91"/>
      <c r="N86" s="92"/>
      <c r="O86" s="93"/>
      <c r="P86" s="93"/>
      <c r="Q86" s="93"/>
      <c r="R86" s="165"/>
      <c r="S86" s="179">
        <f t="shared" si="1"/>
        <v>84</v>
      </c>
      <c r="T86" s="94" t="s">
        <v>150</v>
      </c>
      <c r="U86" s="90" t="s">
        <v>6</v>
      </c>
      <c r="V86" s="91" t="s">
        <v>58</v>
      </c>
      <c r="W86" s="92">
        <v>5</v>
      </c>
      <c r="X86" s="93">
        <v>67.09322222607787</v>
      </c>
      <c r="Y86" s="93">
        <v>67.806401634163336</v>
      </c>
      <c r="Z86" s="180">
        <v>66.712319592840757</v>
      </c>
      <c r="AA86" s="168"/>
      <c r="AB86" s="127"/>
      <c r="AC86" s="89"/>
      <c r="AD86" s="90"/>
      <c r="AE86" s="91"/>
      <c r="AF86" s="92"/>
      <c r="AG86" s="93"/>
      <c r="AH86" s="93"/>
      <c r="AI86" s="93"/>
      <c r="AJ86" s="93"/>
    </row>
    <row r="87" spans="1:36" x14ac:dyDescent="0.25">
      <c r="A87" s="88">
        <v>85</v>
      </c>
      <c r="B87" s="94" t="s">
        <v>929</v>
      </c>
      <c r="C87" s="90" t="s">
        <v>6</v>
      </c>
      <c r="D87" s="91" t="s">
        <v>781</v>
      </c>
      <c r="E87" s="92">
        <v>0</v>
      </c>
      <c r="F87" s="93">
        <v>29.450581986879591</v>
      </c>
      <c r="G87" s="93">
        <v>29.450581986879591</v>
      </c>
      <c r="H87" s="93"/>
      <c r="I87" s="93"/>
      <c r="J87" s="88">
        <v>85</v>
      </c>
      <c r="K87" s="94"/>
      <c r="L87" s="90"/>
      <c r="M87" s="91"/>
      <c r="N87" s="92"/>
      <c r="O87" s="93"/>
      <c r="P87" s="93"/>
      <c r="Q87" s="93"/>
      <c r="R87" s="165"/>
      <c r="S87" s="179">
        <f t="shared" si="1"/>
        <v>85</v>
      </c>
      <c r="T87" s="94" t="s">
        <v>733</v>
      </c>
      <c r="U87" s="90" t="s">
        <v>6</v>
      </c>
      <c r="V87" s="91" t="s">
        <v>63</v>
      </c>
      <c r="W87" s="92">
        <v>9</v>
      </c>
      <c r="X87" s="93">
        <v>65.363286458323827</v>
      </c>
      <c r="Y87" s="93">
        <v>67.751138406395825</v>
      </c>
      <c r="Z87" s="180">
        <v>66.657948058240677</v>
      </c>
      <c r="AA87" s="168"/>
      <c r="AB87" s="127"/>
      <c r="AC87" s="94"/>
      <c r="AD87" s="90"/>
      <c r="AE87" s="91"/>
      <c r="AF87" s="92"/>
      <c r="AG87" s="93"/>
      <c r="AH87" s="93"/>
      <c r="AI87" s="93"/>
      <c r="AJ87" s="93"/>
    </row>
    <row r="88" spans="1:36" x14ac:dyDescent="0.25">
      <c r="A88" s="88">
        <v>86</v>
      </c>
      <c r="B88" s="89" t="s">
        <v>786</v>
      </c>
      <c r="C88" s="90" t="s">
        <v>6</v>
      </c>
      <c r="D88" s="91" t="s">
        <v>69</v>
      </c>
      <c r="E88" s="92">
        <v>0</v>
      </c>
      <c r="F88" s="93">
        <v>63.534035635326788</v>
      </c>
      <c r="G88" s="93">
        <v>63.534035635326788</v>
      </c>
      <c r="H88" s="93"/>
      <c r="I88" s="93"/>
      <c r="J88" s="88">
        <v>86</v>
      </c>
      <c r="K88" s="94"/>
      <c r="L88" s="90"/>
      <c r="M88" s="91"/>
      <c r="N88" s="92"/>
      <c r="O88" s="93"/>
      <c r="P88" s="93"/>
      <c r="Q88" s="93"/>
      <c r="R88" s="165"/>
      <c r="S88" s="179">
        <f t="shared" si="1"/>
        <v>86</v>
      </c>
      <c r="T88" s="94" t="s">
        <v>1042</v>
      </c>
      <c r="U88" s="90" t="s">
        <v>16</v>
      </c>
      <c r="V88" s="91" t="s">
        <v>61</v>
      </c>
      <c r="W88" s="92">
        <v>2</v>
      </c>
      <c r="X88" s="93">
        <v>0</v>
      </c>
      <c r="Y88" s="93">
        <v>67.535448141821149</v>
      </c>
      <c r="Z88" s="180">
        <v>66.445738037997984</v>
      </c>
      <c r="AA88" s="168"/>
      <c r="AB88" s="127"/>
      <c r="AC88" s="94"/>
      <c r="AD88" s="90"/>
      <c r="AE88" s="91"/>
      <c r="AF88" s="92"/>
      <c r="AG88" s="93"/>
      <c r="AH88" s="93"/>
      <c r="AI88" s="93"/>
      <c r="AJ88" s="93"/>
    </row>
    <row r="89" spans="1:36" x14ac:dyDescent="0.25">
      <c r="A89" s="88">
        <v>87</v>
      </c>
      <c r="B89" s="94" t="s">
        <v>775</v>
      </c>
      <c r="C89" s="90" t="s">
        <v>6</v>
      </c>
      <c r="D89" s="91" t="s">
        <v>64</v>
      </c>
      <c r="E89" s="92">
        <v>0</v>
      </c>
      <c r="F89" s="93">
        <v>49.093852101969105</v>
      </c>
      <c r="G89" s="93">
        <v>49.093852101969105</v>
      </c>
      <c r="H89" s="93"/>
      <c r="I89" s="93"/>
      <c r="J89" s="88">
        <v>87</v>
      </c>
      <c r="K89" s="94"/>
      <c r="L89" s="90"/>
      <c r="M89" s="91"/>
      <c r="N89" s="92"/>
      <c r="O89" s="93"/>
      <c r="P89" s="93"/>
      <c r="Q89" s="93"/>
      <c r="R89" s="165"/>
      <c r="S89" s="179">
        <f t="shared" si="1"/>
        <v>87</v>
      </c>
      <c r="T89" s="94" t="s">
        <v>798</v>
      </c>
      <c r="U89" s="90" t="s">
        <v>6</v>
      </c>
      <c r="V89" s="91" t="s">
        <v>62</v>
      </c>
      <c r="W89" s="92">
        <v>1</v>
      </c>
      <c r="X89" s="93">
        <v>57.599448090635022</v>
      </c>
      <c r="Y89" s="93">
        <v>67.408374054250359</v>
      </c>
      <c r="Z89" s="180">
        <v>66.320714339089292</v>
      </c>
      <c r="AA89" s="168"/>
      <c r="AB89" s="127"/>
      <c r="AC89" s="94"/>
      <c r="AD89" s="90"/>
      <c r="AE89" s="91"/>
      <c r="AF89" s="92"/>
      <c r="AG89" s="93"/>
      <c r="AH89" s="93"/>
      <c r="AI89" s="93"/>
      <c r="AJ89" s="93"/>
    </row>
    <row r="90" spans="1:36" x14ac:dyDescent="0.25">
      <c r="A90" s="88">
        <v>88</v>
      </c>
      <c r="B90" s="89" t="s">
        <v>913</v>
      </c>
      <c r="C90" s="90" t="s">
        <v>6</v>
      </c>
      <c r="D90" s="91" t="s">
        <v>931</v>
      </c>
      <c r="E90" s="92">
        <v>0</v>
      </c>
      <c r="F90" s="93">
        <v>51.500741645093136</v>
      </c>
      <c r="G90" s="93">
        <v>51.500741645093136</v>
      </c>
      <c r="H90" s="93"/>
      <c r="I90" s="93"/>
      <c r="J90" s="88">
        <v>88</v>
      </c>
      <c r="K90" s="94"/>
      <c r="L90" s="90"/>
      <c r="M90" s="91"/>
      <c r="N90" s="92"/>
      <c r="O90" s="93"/>
      <c r="P90" s="93"/>
      <c r="Q90" s="93"/>
      <c r="R90" s="165"/>
      <c r="S90" s="179">
        <f t="shared" si="1"/>
        <v>88</v>
      </c>
      <c r="T90" s="94" t="s">
        <v>244</v>
      </c>
      <c r="U90" s="90" t="s">
        <v>6</v>
      </c>
      <c r="V90" s="91" t="s">
        <v>69</v>
      </c>
      <c r="W90" s="92">
        <v>3</v>
      </c>
      <c r="X90" s="93">
        <v>53.214075674963304</v>
      </c>
      <c r="Y90" s="93">
        <v>67.201384145130604</v>
      </c>
      <c r="Z90" s="180">
        <v>66.117064290762102</v>
      </c>
      <c r="AA90" s="168"/>
      <c r="AB90" s="127"/>
      <c r="AC90" s="94"/>
      <c r="AD90" s="90"/>
      <c r="AE90" s="91"/>
      <c r="AF90" s="92"/>
      <c r="AG90" s="93"/>
      <c r="AH90" s="93"/>
      <c r="AI90" s="93"/>
      <c r="AJ90" s="93"/>
    </row>
    <row r="91" spans="1:36" x14ac:dyDescent="0.25">
      <c r="A91" s="88">
        <v>89</v>
      </c>
      <c r="B91" s="89" t="s">
        <v>842</v>
      </c>
      <c r="C91" s="90" t="s">
        <v>6</v>
      </c>
      <c r="D91" s="91" t="s">
        <v>59</v>
      </c>
      <c r="E91" s="92">
        <v>0</v>
      </c>
      <c r="F91" s="93">
        <v>47.587615197789901</v>
      </c>
      <c r="G91" s="93">
        <v>47.587615197789901</v>
      </c>
      <c r="H91" s="93"/>
      <c r="I91" s="93"/>
      <c r="J91" s="88">
        <v>89</v>
      </c>
      <c r="K91" s="94"/>
      <c r="L91" s="90"/>
      <c r="M91" s="91"/>
      <c r="N91" s="92"/>
      <c r="O91" s="93"/>
      <c r="P91" s="93"/>
      <c r="Q91" s="93"/>
      <c r="R91" s="165"/>
      <c r="S91" s="179">
        <f t="shared" si="1"/>
        <v>89</v>
      </c>
      <c r="T91" s="94" t="s">
        <v>116</v>
      </c>
      <c r="U91" s="90" t="s">
        <v>6</v>
      </c>
      <c r="V91" s="91" t="s">
        <v>58</v>
      </c>
      <c r="W91" s="92">
        <v>6</v>
      </c>
      <c r="X91" s="93">
        <v>61.715806117498708</v>
      </c>
      <c r="Y91" s="93">
        <v>67.148574875337886</v>
      </c>
      <c r="Z91" s="180">
        <v>66.065107118592962</v>
      </c>
      <c r="AA91" s="168"/>
      <c r="AB91" s="127"/>
      <c r="AC91" s="94"/>
      <c r="AD91" s="90"/>
      <c r="AE91" s="91"/>
      <c r="AF91" s="92"/>
      <c r="AG91" s="93"/>
      <c r="AH91" s="93"/>
      <c r="AI91" s="93"/>
      <c r="AJ91" s="93"/>
    </row>
    <row r="92" spans="1:36" x14ac:dyDescent="0.25">
      <c r="A92" s="88">
        <v>90</v>
      </c>
      <c r="B92" s="89" t="s">
        <v>777</v>
      </c>
      <c r="C92" s="90" t="s">
        <v>6</v>
      </c>
      <c r="D92" s="91" t="s">
        <v>87</v>
      </c>
      <c r="E92" s="92">
        <v>0</v>
      </c>
      <c r="F92" s="93">
        <v>38.483057955341728</v>
      </c>
      <c r="G92" s="93">
        <v>38.483057955341728</v>
      </c>
      <c r="H92" s="93"/>
      <c r="I92" s="93"/>
      <c r="J92" s="88">
        <v>90</v>
      </c>
      <c r="K92" s="94"/>
      <c r="L92" s="90"/>
      <c r="M92" s="91"/>
      <c r="N92" s="92"/>
      <c r="O92" s="93"/>
      <c r="P92" s="93"/>
      <c r="Q92" s="93"/>
      <c r="R92" s="165"/>
      <c r="S92" s="179">
        <f t="shared" si="1"/>
        <v>90</v>
      </c>
      <c r="T92" s="94" t="s">
        <v>1043</v>
      </c>
      <c r="U92" s="90" t="s">
        <v>16</v>
      </c>
      <c r="V92" s="91" t="s">
        <v>59</v>
      </c>
      <c r="W92" s="92">
        <v>2</v>
      </c>
      <c r="X92" s="93">
        <v>0</v>
      </c>
      <c r="Y92" s="93">
        <v>67.125206570338918</v>
      </c>
      <c r="Z92" s="180">
        <v>66.042115870069765</v>
      </c>
      <c r="AA92" s="168"/>
      <c r="AB92" s="127"/>
      <c r="AC92" s="94"/>
      <c r="AD92" s="90"/>
      <c r="AE92" s="91"/>
      <c r="AF92" s="92"/>
      <c r="AG92" s="93"/>
      <c r="AH92" s="93"/>
      <c r="AI92" s="93"/>
      <c r="AJ92" s="93"/>
    </row>
    <row r="93" spans="1:36" x14ac:dyDescent="0.25">
      <c r="A93" s="88">
        <v>91</v>
      </c>
      <c r="B93" s="94" t="s">
        <v>398</v>
      </c>
      <c r="C93" s="90" t="s">
        <v>6</v>
      </c>
      <c r="D93" s="91" t="s">
        <v>57</v>
      </c>
      <c r="E93" s="92">
        <v>0</v>
      </c>
      <c r="F93" s="93">
        <v>60.636529782048591</v>
      </c>
      <c r="G93" s="93">
        <v>60.636529782048591</v>
      </c>
      <c r="H93" s="93"/>
      <c r="I93" s="93"/>
      <c r="J93" s="88">
        <v>91</v>
      </c>
      <c r="K93" s="94"/>
      <c r="L93" s="90"/>
      <c r="M93" s="91"/>
      <c r="N93" s="92"/>
      <c r="O93" s="93"/>
      <c r="P93" s="93"/>
      <c r="Q93" s="93"/>
      <c r="R93" s="165"/>
      <c r="S93" s="179">
        <f t="shared" si="1"/>
        <v>91</v>
      </c>
      <c r="T93" s="94" t="s">
        <v>806</v>
      </c>
      <c r="U93" s="90" t="s">
        <v>16</v>
      </c>
      <c r="V93" s="91" t="s">
        <v>61</v>
      </c>
      <c r="W93" s="92">
        <v>4</v>
      </c>
      <c r="X93" s="93">
        <v>66.849948914111152</v>
      </c>
      <c r="Y93" s="93">
        <v>67.116720141621897</v>
      </c>
      <c r="Z93" s="180">
        <v>66.033766373103006</v>
      </c>
      <c r="AA93" s="168"/>
      <c r="AB93" s="127"/>
      <c r="AC93" s="94"/>
      <c r="AD93" s="90"/>
      <c r="AE93" s="91"/>
      <c r="AF93" s="92"/>
      <c r="AG93" s="93"/>
      <c r="AH93" s="93"/>
      <c r="AI93" s="93"/>
      <c r="AJ93" s="93"/>
    </row>
    <row r="94" spans="1:36" x14ac:dyDescent="0.25">
      <c r="A94" s="88">
        <v>92</v>
      </c>
      <c r="B94" s="89" t="s">
        <v>189</v>
      </c>
      <c r="C94" s="90" t="s">
        <v>6</v>
      </c>
      <c r="D94" s="91" t="s">
        <v>65</v>
      </c>
      <c r="E94" s="92">
        <v>7</v>
      </c>
      <c r="F94" s="93">
        <v>93.909537275665315</v>
      </c>
      <c r="G94" s="93">
        <v>98.261207131612366</v>
      </c>
      <c r="H94" s="93"/>
      <c r="I94" s="93"/>
      <c r="J94" s="88">
        <v>92</v>
      </c>
      <c r="K94" s="94"/>
      <c r="L94" s="90"/>
      <c r="M94" s="91"/>
      <c r="N94" s="92"/>
      <c r="O94" s="93"/>
      <c r="P94" s="93"/>
      <c r="Q94" s="93"/>
      <c r="R94" s="165"/>
      <c r="S94" s="179">
        <f t="shared" si="1"/>
        <v>92</v>
      </c>
      <c r="T94" s="94" t="s">
        <v>1063</v>
      </c>
      <c r="U94" s="90" t="s">
        <v>6</v>
      </c>
      <c r="V94" s="91" t="s">
        <v>62</v>
      </c>
      <c r="W94" s="92">
        <v>1</v>
      </c>
      <c r="X94" s="93">
        <v>0</v>
      </c>
      <c r="Y94" s="93">
        <v>66.718029002082559</v>
      </c>
      <c r="Z94" s="180">
        <v>65.641508266511764</v>
      </c>
      <c r="AA94" s="168"/>
      <c r="AB94" s="127"/>
      <c r="AC94" s="94"/>
      <c r="AD94" s="90"/>
      <c r="AE94" s="91"/>
      <c r="AF94" s="92"/>
      <c r="AG94" s="93"/>
      <c r="AH94" s="93"/>
      <c r="AI94" s="93"/>
      <c r="AJ94" s="93"/>
    </row>
    <row r="95" spans="1:36" x14ac:dyDescent="0.25">
      <c r="A95" s="88">
        <v>93</v>
      </c>
      <c r="B95" s="89" t="s">
        <v>804</v>
      </c>
      <c r="C95" s="90" t="s">
        <v>6</v>
      </c>
      <c r="D95" s="91" t="s">
        <v>62</v>
      </c>
      <c r="E95" s="92">
        <v>0</v>
      </c>
      <c r="F95" s="93">
        <v>53.321556703368351</v>
      </c>
      <c r="G95" s="93">
        <v>53.321556703368351</v>
      </c>
      <c r="H95" s="93"/>
      <c r="I95" s="93"/>
      <c r="J95" s="88">
        <v>93</v>
      </c>
      <c r="K95" s="94"/>
      <c r="L95" s="90"/>
      <c r="M95" s="91"/>
      <c r="N95" s="92"/>
      <c r="O95" s="93"/>
      <c r="P95" s="93"/>
      <c r="Q95" s="93"/>
      <c r="R95" s="165"/>
      <c r="S95" s="179">
        <f t="shared" si="1"/>
        <v>93</v>
      </c>
      <c r="T95" s="94" t="s">
        <v>1031</v>
      </c>
      <c r="U95" s="90" t="s">
        <v>6</v>
      </c>
      <c r="V95" s="91" t="s">
        <v>58</v>
      </c>
      <c r="W95" s="92">
        <v>2</v>
      </c>
      <c r="X95" s="93">
        <v>0</v>
      </c>
      <c r="Y95" s="93">
        <v>66.706544071972274</v>
      </c>
      <c r="Z95" s="180">
        <v>65.630208650110461</v>
      </c>
      <c r="AA95" s="168"/>
      <c r="AB95" s="127"/>
      <c r="AC95" s="94"/>
      <c r="AD95" s="90"/>
      <c r="AE95" s="91"/>
      <c r="AF95" s="92"/>
      <c r="AG95" s="93"/>
      <c r="AH95" s="93"/>
      <c r="AI95" s="93"/>
      <c r="AJ95" s="93"/>
    </row>
    <row r="96" spans="1:36" x14ac:dyDescent="0.25">
      <c r="A96" s="88">
        <v>94</v>
      </c>
      <c r="B96" s="94" t="s">
        <v>773</v>
      </c>
      <c r="C96" s="90" t="s">
        <v>6</v>
      </c>
      <c r="D96" s="91" t="s">
        <v>63</v>
      </c>
      <c r="E96" s="92">
        <v>0</v>
      </c>
      <c r="F96" s="93">
        <v>44.290458705948929</v>
      </c>
      <c r="G96" s="93">
        <v>44.290458705948929</v>
      </c>
      <c r="H96" s="93"/>
      <c r="I96" s="93"/>
      <c r="J96" s="88">
        <v>94</v>
      </c>
      <c r="K96" s="94"/>
      <c r="L96" s="90"/>
      <c r="M96" s="91"/>
      <c r="N96" s="92"/>
      <c r="O96" s="93"/>
      <c r="P96" s="93"/>
      <c r="Q96" s="93"/>
      <c r="R96" s="165"/>
      <c r="S96" s="179">
        <f t="shared" si="1"/>
        <v>94</v>
      </c>
      <c r="T96" s="94" t="s">
        <v>1333</v>
      </c>
      <c r="U96" s="90" t="s">
        <v>6</v>
      </c>
      <c r="V96" s="91"/>
      <c r="W96" s="92">
        <v>3</v>
      </c>
      <c r="X96" s="93">
        <v>0</v>
      </c>
      <c r="Y96" s="93">
        <v>66.648187426044373</v>
      </c>
      <c r="Z96" s="180">
        <v>65.572793610826807</v>
      </c>
      <c r="AA96" s="168"/>
      <c r="AB96" s="127"/>
      <c r="AC96" s="94"/>
      <c r="AD96" s="90"/>
      <c r="AE96" s="91"/>
      <c r="AF96" s="92"/>
      <c r="AG96" s="93"/>
      <c r="AH96" s="93"/>
      <c r="AI96" s="93"/>
      <c r="AJ96" s="93"/>
    </row>
    <row r="97" spans="1:36" x14ac:dyDescent="0.25">
      <c r="A97" s="88">
        <v>95</v>
      </c>
      <c r="B97" s="89" t="s">
        <v>9</v>
      </c>
      <c r="C97" s="90" t="s">
        <v>6</v>
      </c>
      <c r="D97" s="91" t="s">
        <v>57</v>
      </c>
      <c r="E97" s="92">
        <v>0</v>
      </c>
      <c r="F97" s="93">
        <v>78.23350033640854</v>
      </c>
      <c r="G97" s="93">
        <v>78.23350033640854</v>
      </c>
      <c r="H97" s="93"/>
      <c r="I97" s="93"/>
      <c r="J97" s="88">
        <v>95</v>
      </c>
      <c r="K97" s="94"/>
      <c r="L97" s="90"/>
      <c r="M97" s="91"/>
      <c r="N97" s="92"/>
      <c r="O97" s="93"/>
      <c r="P97" s="93"/>
      <c r="Q97" s="93"/>
      <c r="R97" s="165"/>
      <c r="S97" s="179">
        <f t="shared" si="1"/>
        <v>95</v>
      </c>
      <c r="T97" s="94" t="s">
        <v>1199</v>
      </c>
      <c r="U97" s="90" t="s">
        <v>6</v>
      </c>
      <c r="V97" s="91" t="s">
        <v>62</v>
      </c>
      <c r="W97" s="92">
        <v>2</v>
      </c>
      <c r="X97" s="93">
        <v>0</v>
      </c>
      <c r="Y97" s="93">
        <v>66.609147016990292</v>
      </c>
      <c r="Z97" s="180">
        <v>65.534383133599263</v>
      </c>
      <c r="AA97" s="168"/>
      <c r="AB97" s="127"/>
      <c r="AC97" s="94"/>
      <c r="AD97" s="90"/>
      <c r="AE97" s="91"/>
      <c r="AF97" s="92"/>
      <c r="AG97" s="93"/>
      <c r="AH97" s="93"/>
      <c r="AI97" s="93"/>
      <c r="AJ97" s="93"/>
    </row>
    <row r="98" spans="1:36" ht="13.8" thickBot="1" x14ac:dyDescent="0.3">
      <c r="A98" s="157">
        <v>96</v>
      </c>
      <c r="B98" s="158" t="s">
        <v>107</v>
      </c>
      <c r="C98" s="159" t="s">
        <v>6</v>
      </c>
      <c r="D98" s="160" t="s">
        <v>63</v>
      </c>
      <c r="E98" s="161">
        <v>0</v>
      </c>
      <c r="F98" s="162">
        <v>72.609368887451112</v>
      </c>
      <c r="G98" s="162">
        <v>72.609368887451112</v>
      </c>
      <c r="H98" s="162"/>
      <c r="I98" s="162"/>
      <c r="J98" s="88">
        <v>96</v>
      </c>
      <c r="K98" s="94"/>
      <c r="L98" s="90"/>
      <c r="M98" s="91"/>
      <c r="N98" s="92"/>
      <c r="O98" s="93"/>
      <c r="P98" s="93"/>
      <c r="Q98" s="93"/>
      <c r="R98" s="165"/>
      <c r="S98" s="179">
        <f t="shared" si="1"/>
        <v>96</v>
      </c>
      <c r="T98" s="94" t="s">
        <v>1105</v>
      </c>
      <c r="U98" s="90" t="s">
        <v>16</v>
      </c>
      <c r="V98" s="91" t="s">
        <v>63</v>
      </c>
      <c r="W98" s="92">
        <v>3</v>
      </c>
      <c r="X98" s="93">
        <v>0</v>
      </c>
      <c r="Y98" s="93">
        <v>66.434336480460018</v>
      </c>
      <c r="Z98" s="180">
        <v>65.362393231464011</v>
      </c>
      <c r="AA98" s="168"/>
      <c r="AB98" s="127"/>
      <c r="AC98" s="94"/>
      <c r="AD98" s="90"/>
      <c r="AE98" s="91"/>
      <c r="AF98" s="92"/>
      <c r="AG98" s="93"/>
      <c r="AH98" s="93"/>
      <c r="AI98" s="93"/>
      <c r="AJ98" s="93"/>
    </row>
    <row r="99" spans="1:36" x14ac:dyDescent="0.25">
      <c r="A99" s="88">
        <v>97</v>
      </c>
      <c r="B99" s="89" t="s">
        <v>911</v>
      </c>
      <c r="C99" s="90" t="s">
        <v>6</v>
      </c>
      <c r="D99" s="91" t="s">
        <v>58</v>
      </c>
      <c r="E99" s="92">
        <v>0</v>
      </c>
      <c r="F99" s="93">
        <v>56.540337656371584</v>
      </c>
      <c r="G99" s="93">
        <v>56.540337656371584</v>
      </c>
      <c r="H99" s="93"/>
      <c r="I99" s="93"/>
      <c r="J99" s="88">
        <v>97</v>
      </c>
      <c r="K99" s="94"/>
      <c r="L99" s="90"/>
      <c r="M99" s="91"/>
      <c r="N99" s="92"/>
      <c r="O99" s="93"/>
      <c r="P99" s="93"/>
      <c r="Q99" s="93"/>
      <c r="R99" s="165"/>
      <c r="S99" s="179">
        <f t="shared" si="1"/>
        <v>97</v>
      </c>
      <c r="T99" s="94" t="s">
        <v>375</v>
      </c>
      <c r="U99" s="90" t="s">
        <v>6</v>
      </c>
      <c r="V99" s="91" t="s">
        <v>88</v>
      </c>
      <c r="W99" s="92">
        <v>4</v>
      </c>
      <c r="X99" s="93">
        <v>65.490025820618669</v>
      </c>
      <c r="Y99" s="93">
        <v>66.107489587923141</v>
      </c>
      <c r="Z99" s="180">
        <v>65.04082013766542</v>
      </c>
      <c r="AA99" s="168"/>
      <c r="AB99" s="127"/>
      <c r="AC99" s="94"/>
      <c r="AD99" s="90"/>
      <c r="AE99" s="91"/>
      <c r="AF99" s="92"/>
      <c r="AG99" s="93"/>
      <c r="AH99" s="93"/>
      <c r="AI99" s="93"/>
      <c r="AJ99" s="93"/>
    </row>
    <row r="100" spans="1:36" x14ac:dyDescent="0.25">
      <c r="A100" s="88">
        <v>98</v>
      </c>
      <c r="B100" s="89" t="s">
        <v>498</v>
      </c>
      <c r="C100" s="90" t="s">
        <v>6</v>
      </c>
      <c r="D100" s="91" t="s">
        <v>62</v>
      </c>
      <c r="E100" s="92">
        <v>0</v>
      </c>
      <c r="F100" s="93">
        <v>61.922713069928847</v>
      </c>
      <c r="G100" s="93">
        <v>61.922713069928847</v>
      </c>
      <c r="H100" s="93"/>
      <c r="I100" s="93"/>
      <c r="J100" s="88">
        <v>98</v>
      </c>
      <c r="K100" s="94"/>
      <c r="L100" s="90"/>
      <c r="M100" s="91"/>
      <c r="N100" s="92"/>
      <c r="O100" s="93"/>
      <c r="P100" s="93"/>
      <c r="Q100" s="93"/>
      <c r="R100" s="165"/>
      <c r="S100" s="179">
        <f t="shared" si="1"/>
        <v>98</v>
      </c>
      <c r="T100" s="94" t="s">
        <v>1203</v>
      </c>
      <c r="U100" s="90" t="s">
        <v>6</v>
      </c>
      <c r="V100" s="91" t="s">
        <v>62</v>
      </c>
      <c r="W100" s="92">
        <v>1</v>
      </c>
      <c r="X100" s="93">
        <v>0</v>
      </c>
      <c r="Y100" s="93">
        <v>65.849155158323867</v>
      </c>
      <c r="Z100" s="180">
        <v>64.786654032195855</v>
      </c>
      <c r="AA100" s="168"/>
      <c r="AB100" s="127"/>
      <c r="AC100" s="94"/>
      <c r="AD100" s="90"/>
      <c r="AE100" s="91"/>
      <c r="AF100" s="92"/>
      <c r="AG100" s="93"/>
      <c r="AH100" s="93"/>
      <c r="AI100" s="93"/>
      <c r="AJ100" s="93"/>
    </row>
    <row r="101" spans="1:36" x14ac:dyDescent="0.25">
      <c r="A101" s="88">
        <v>99</v>
      </c>
      <c r="B101" s="89" t="s">
        <v>102</v>
      </c>
      <c r="C101" s="90" t="s">
        <v>6</v>
      </c>
      <c r="D101" s="91" t="s">
        <v>63</v>
      </c>
      <c r="E101" s="92">
        <v>0</v>
      </c>
      <c r="F101" s="93">
        <v>86.807963708513867</v>
      </c>
      <c r="G101" s="93">
        <v>86.807963708513867</v>
      </c>
      <c r="H101" s="93"/>
      <c r="I101" s="93"/>
      <c r="J101" s="88">
        <v>99</v>
      </c>
      <c r="K101" s="94"/>
      <c r="L101" s="90"/>
      <c r="M101" s="91"/>
      <c r="N101" s="92"/>
      <c r="O101" s="93"/>
      <c r="P101" s="93"/>
      <c r="Q101" s="93"/>
      <c r="R101" s="165"/>
      <c r="S101" s="179">
        <f t="shared" si="1"/>
        <v>99</v>
      </c>
      <c r="T101" s="94" t="s">
        <v>224</v>
      </c>
      <c r="U101" s="90" t="s">
        <v>6</v>
      </c>
      <c r="V101" s="91" t="s">
        <v>61</v>
      </c>
      <c r="W101" s="92">
        <v>2</v>
      </c>
      <c r="X101" s="93">
        <v>62.293008941503402</v>
      </c>
      <c r="Y101" s="93">
        <v>65.577983659208627</v>
      </c>
      <c r="Z101" s="180">
        <v>64.519857988202119</v>
      </c>
      <c r="AA101" s="168"/>
      <c r="AB101" s="127"/>
      <c r="AC101" s="94"/>
      <c r="AD101" s="90"/>
      <c r="AE101" s="91"/>
      <c r="AF101" s="92"/>
      <c r="AG101" s="93"/>
      <c r="AH101" s="93"/>
      <c r="AI101" s="93"/>
      <c r="AJ101" s="93"/>
    </row>
    <row r="102" spans="1:36" x14ac:dyDescent="0.25">
      <c r="A102" s="88">
        <v>100</v>
      </c>
      <c r="B102" s="89" t="s">
        <v>841</v>
      </c>
      <c r="C102" s="90" t="s">
        <v>6</v>
      </c>
      <c r="D102" s="91" t="s">
        <v>67</v>
      </c>
      <c r="E102" s="92">
        <v>0</v>
      </c>
      <c r="F102" s="93">
        <v>50.297144356813462</v>
      </c>
      <c r="G102" s="93">
        <v>50.297144356813462</v>
      </c>
      <c r="H102" s="93"/>
      <c r="I102" s="93"/>
      <c r="J102" s="88">
        <v>100</v>
      </c>
      <c r="K102" s="94"/>
      <c r="L102" s="90"/>
      <c r="M102" s="91"/>
      <c r="N102" s="92"/>
      <c r="O102" s="93"/>
      <c r="P102" s="93"/>
      <c r="Q102" s="93"/>
      <c r="R102" s="165"/>
      <c r="S102" s="179">
        <f t="shared" si="1"/>
        <v>100</v>
      </c>
      <c r="T102" s="94" t="s">
        <v>155</v>
      </c>
      <c r="U102" s="90" t="s">
        <v>6</v>
      </c>
      <c r="V102" s="91" t="s">
        <v>87</v>
      </c>
      <c r="W102" s="92">
        <v>2</v>
      </c>
      <c r="X102" s="93">
        <v>66.28283754655763</v>
      </c>
      <c r="Y102" s="93">
        <v>65.348610356431891</v>
      </c>
      <c r="Z102" s="180">
        <v>64.294185710775182</v>
      </c>
      <c r="AA102" s="168"/>
      <c r="AB102" s="127"/>
      <c r="AC102" s="94"/>
      <c r="AD102" s="90"/>
      <c r="AE102" s="91"/>
      <c r="AF102" s="92"/>
      <c r="AG102" s="93"/>
      <c r="AH102" s="93"/>
      <c r="AI102" s="93"/>
      <c r="AJ102" s="93"/>
    </row>
    <row r="103" spans="1:36" x14ac:dyDescent="0.25">
      <c r="A103" s="88">
        <v>101</v>
      </c>
      <c r="B103" s="89" t="s">
        <v>481</v>
      </c>
      <c r="C103" s="90" t="s">
        <v>6</v>
      </c>
      <c r="D103" s="91" t="s">
        <v>63</v>
      </c>
      <c r="E103" s="92">
        <v>0</v>
      </c>
      <c r="F103" s="93">
        <v>53.741619608532481</v>
      </c>
      <c r="G103" s="93">
        <v>53.741619608532481</v>
      </c>
      <c r="H103" s="93"/>
      <c r="I103" s="93"/>
      <c r="J103" s="88">
        <v>101</v>
      </c>
      <c r="K103" s="94"/>
      <c r="L103" s="90"/>
      <c r="M103" s="91"/>
      <c r="N103" s="92"/>
      <c r="O103" s="93"/>
      <c r="P103" s="93"/>
      <c r="Q103" s="93"/>
      <c r="R103" s="165"/>
      <c r="S103" s="179">
        <f t="shared" si="1"/>
        <v>101</v>
      </c>
      <c r="T103" s="94" t="s">
        <v>1064</v>
      </c>
      <c r="U103" s="90" t="s">
        <v>6</v>
      </c>
      <c r="V103" s="91" t="s">
        <v>62</v>
      </c>
      <c r="W103" s="92">
        <v>2</v>
      </c>
      <c r="X103" s="93">
        <v>0</v>
      </c>
      <c r="Y103" s="93">
        <v>65.13313036771936</v>
      </c>
      <c r="Z103" s="180">
        <v>64.082182573513734</v>
      </c>
      <c r="AA103" s="168"/>
      <c r="AB103" s="127"/>
      <c r="AC103" s="94"/>
      <c r="AD103" s="90"/>
      <c r="AE103" s="91"/>
      <c r="AF103" s="92"/>
      <c r="AG103" s="93"/>
      <c r="AH103" s="93"/>
      <c r="AI103" s="93"/>
      <c r="AJ103" s="93"/>
    </row>
    <row r="104" spans="1:36" x14ac:dyDescent="0.25">
      <c r="A104" s="88">
        <v>102</v>
      </c>
      <c r="B104" s="89" t="s">
        <v>759</v>
      </c>
      <c r="C104" s="90" t="s">
        <v>6</v>
      </c>
      <c r="D104" s="91" t="s">
        <v>87</v>
      </c>
      <c r="E104" s="92">
        <v>4</v>
      </c>
      <c r="F104" s="93">
        <v>90.055069712413157</v>
      </c>
      <c r="G104" s="93">
        <v>90.135550806114651</v>
      </c>
      <c r="H104" s="93"/>
      <c r="I104" s="93"/>
      <c r="J104" s="88">
        <v>102</v>
      </c>
      <c r="K104" s="94"/>
      <c r="L104" s="90"/>
      <c r="M104" s="91"/>
      <c r="N104" s="92"/>
      <c r="O104" s="93"/>
      <c r="P104" s="93"/>
      <c r="Q104" s="93"/>
      <c r="R104" s="165"/>
      <c r="S104" s="179">
        <f t="shared" si="1"/>
        <v>102</v>
      </c>
      <c r="T104" s="94" t="s">
        <v>785</v>
      </c>
      <c r="U104" s="90" t="s">
        <v>6</v>
      </c>
      <c r="V104" s="91" t="s">
        <v>87</v>
      </c>
      <c r="W104" s="92">
        <v>7</v>
      </c>
      <c r="X104" s="93">
        <v>61.405976272712444</v>
      </c>
      <c r="Y104" s="93">
        <v>65.086386121184077</v>
      </c>
      <c r="Z104" s="180">
        <v>64.036192563148447</v>
      </c>
      <c r="AA104" s="168"/>
      <c r="AB104" s="127"/>
      <c r="AC104" s="94"/>
      <c r="AD104" s="90"/>
      <c r="AE104" s="91"/>
      <c r="AF104" s="92"/>
      <c r="AG104" s="93"/>
      <c r="AH104" s="93"/>
      <c r="AI104" s="93"/>
      <c r="AJ104" s="93"/>
    </row>
    <row r="105" spans="1:36" x14ac:dyDescent="0.25">
      <c r="A105" s="88">
        <v>103</v>
      </c>
      <c r="B105" s="89" t="s">
        <v>872</v>
      </c>
      <c r="C105" s="90" t="s">
        <v>6</v>
      </c>
      <c r="D105" s="91" t="s">
        <v>63</v>
      </c>
      <c r="E105" s="92">
        <v>0</v>
      </c>
      <c r="F105" s="93">
        <v>57.232444635729301</v>
      </c>
      <c r="G105" s="93">
        <v>57.232444635729301</v>
      </c>
      <c r="H105" s="93"/>
      <c r="I105" s="93"/>
      <c r="J105" s="88">
        <v>103</v>
      </c>
      <c r="K105" s="94"/>
      <c r="L105" s="90"/>
      <c r="M105" s="91"/>
      <c r="N105" s="92"/>
      <c r="O105" s="93"/>
      <c r="P105" s="93"/>
      <c r="Q105" s="93"/>
      <c r="R105" s="165"/>
      <c r="S105" s="179">
        <f t="shared" si="1"/>
        <v>103</v>
      </c>
      <c r="T105" s="94" t="s">
        <v>1055</v>
      </c>
      <c r="U105" s="90" t="s">
        <v>6</v>
      </c>
      <c r="V105" s="91" t="s">
        <v>67</v>
      </c>
      <c r="W105" s="92">
        <v>4</v>
      </c>
      <c r="X105" s="93">
        <v>0</v>
      </c>
      <c r="Y105" s="93">
        <v>64.554906498870309</v>
      </c>
      <c r="Z105" s="180">
        <v>63.513288566381654</v>
      </c>
      <c r="AA105" s="168"/>
      <c r="AB105" s="127"/>
      <c r="AC105" s="94"/>
      <c r="AD105" s="90"/>
      <c r="AE105" s="91"/>
      <c r="AF105" s="92"/>
      <c r="AG105" s="93"/>
      <c r="AH105" s="93"/>
      <c r="AI105" s="93"/>
      <c r="AJ105" s="93"/>
    </row>
    <row r="106" spans="1:36" x14ac:dyDescent="0.25">
      <c r="A106" s="88">
        <v>104</v>
      </c>
      <c r="B106" s="89" t="s">
        <v>999</v>
      </c>
      <c r="C106" s="90" t="s">
        <v>6</v>
      </c>
      <c r="D106" s="91" t="s">
        <v>87</v>
      </c>
      <c r="E106" s="92">
        <v>1</v>
      </c>
      <c r="F106" s="93">
        <v>54.920392320597955</v>
      </c>
      <c r="G106" s="93">
        <v>53.490303573813378</v>
      </c>
      <c r="H106" s="93"/>
      <c r="I106" s="93"/>
      <c r="J106" s="88">
        <v>104</v>
      </c>
      <c r="K106" s="94"/>
      <c r="L106" s="90"/>
      <c r="M106" s="91"/>
      <c r="N106" s="92"/>
      <c r="O106" s="93"/>
      <c r="P106" s="93"/>
      <c r="Q106" s="93"/>
      <c r="R106" s="165"/>
      <c r="S106" s="179">
        <f t="shared" si="1"/>
        <v>104</v>
      </c>
      <c r="T106" s="94" t="s">
        <v>1056</v>
      </c>
      <c r="U106" s="90" t="s">
        <v>6</v>
      </c>
      <c r="V106" s="91" t="s">
        <v>67</v>
      </c>
      <c r="W106" s="92">
        <v>7</v>
      </c>
      <c r="X106" s="93">
        <v>62.399896367972694</v>
      </c>
      <c r="Y106" s="93">
        <v>64.535013778503725</v>
      </c>
      <c r="Z106" s="180">
        <v>63.493716822612875</v>
      </c>
      <c r="AA106" s="168"/>
      <c r="AB106" s="127"/>
      <c r="AC106" s="94"/>
      <c r="AD106" s="90"/>
      <c r="AE106" s="91"/>
      <c r="AF106" s="92"/>
      <c r="AG106" s="93"/>
      <c r="AH106" s="93"/>
      <c r="AI106" s="93"/>
      <c r="AJ106" s="93"/>
    </row>
    <row r="107" spans="1:36" x14ac:dyDescent="0.25">
      <c r="A107" s="88">
        <v>105</v>
      </c>
      <c r="B107" s="89" t="s">
        <v>533</v>
      </c>
      <c r="C107" s="90" t="s">
        <v>6</v>
      </c>
      <c r="D107" s="91" t="s">
        <v>69</v>
      </c>
      <c r="E107" s="92">
        <v>0</v>
      </c>
      <c r="F107" s="93">
        <v>48.09327047457699</v>
      </c>
      <c r="G107" s="93">
        <v>48.09327047457699</v>
      </c>
      <c r="H107" s="93"/>
      <c r="I107" s="93"/>
      <c r="J107" s="88">
        <v>105</v>
      </c>
      <c r="K107" s="94"/>
      <c r="L107" s="90"/>
      <c r="M107" s="91"/>
      <c r="N107" s="92"/>
      <c r="O107" s="93"/>
      <c r="P107" s="93"/>
      <c r="Q107" s="93"/>
      <c r="R107" s="165"/>
      <c r="S107" s="179">
        <f t="shared" si="1"/>
        <v>105</v>
      </c>
      <c r="T107" s="94" t="s">
        <v>1005</v>
      </c>
      <c r="U107" s="90" t="s">
        <v>6</v>
      </c>
      <c r="V107" s="91" t="s">
        <v>59</v>
      </c>
      <c r="W107" s="92">
        <v>1</v>
      </c>
      <c r="X107" s="93">
        <v>0</v>
      </c>
      <c r="Y107" s="93">
        <v>64.457787518689074</v>
      </c>
      <c r="Z107" s="180">
        <v>63.417736637828682</v>
      </c>
      <c r="AA107" s="168"/>
      <c r="AB107" s="127"/>
      <c r="AC107" s="94"/>
      <c r="AD107" s="90"/>
      <c r="AE107" s="91"/>
      <c r="AF107" s="92"/>
      <c r="AG107" s="93"/>
      <c r="AH107" s="93"/>
      <c r="AI107" s="93"/>
      <c r="AJ107" s="93"/>
    </row>
    <row r="108" spans="1:36" x14ac:dyDescent="0.25">
      <c r="A108" s="88">
        <v>106</v>
      </c>
      <c r="B108" s="89" t="s">
        <v>799</v>
      </c>
      <c r="C108" s="90" t="s">
        <v>6</v>
      </c>
      <c r="D108" s="91" t="s">
        <v>62</v>
      </c>
      <c r="E108" s="92">
        <v>0</v>
      </c>
      <c r="F108" s="93">
        <v>27.027936653489892</v>
      </c>
      <c r="G108" s="93">
        <v>27.027936653489892</v>
      </c>
      <c r="H108" s="93"/>
      <c r="I108" s="93"/>
      <c r="J108" s="88">
        <v>106</v>
      </c>
      <c r="K108" s="94"/>
      <c r="L108" s="90"/>
      <c r="M108" s="91"/>
      <c r="N108" s="92"/>
      <c r="O108" s="93"/>
      <c r="P108" s="93"/>
      <c r="Q108" s="93"/>
      <c r="R108" s="165"/>
      <c r="S108" s="179">
        <f t="shared" si="1"/>
        <v>106</v>
      </c>
      <c r="T108" s="94" t="s">
        <v>1032</v>
      </c>
      <c r="U108" s="90" t="s">
        <v>16</v>
      </c>
      <c r="V108" s="91" t="s">
        <v>58</v>
      </c>
      <c r="W108" s="92">
        <v>1</v>
      </c>
      <c r="X108" s="93">
        <v>0</v>
      </c>
      <c r="Y108" s="93">
        <v>64.350516216877935</v>
      </c>
      <c r="Z108" s="180">
        <v>63.312196199210874</v>
      </c>
      <c r="AA108" s="168"/>
      <c r="AB108" s="127"/>
      <c r="AC108" s="94"/>
      <c r="AD108" s="90"/>
      <c r="AE108" s="91"/>
      <c r="AF108" s="92"/>
      <c r="AG108" s="93"/>
      <c r="AH108" s="93"/>
      <c r="AI108" s="93"/>
      <c r="AJ108" s="93"/>
    </row>
    <row r="109" spans="1:36" x14ac:dyDescent="0.25">
      <c r="A109" s="88">
        <v>107</v>
      </c>
      <c r="B109" s="89" t="s">
        <v>1005</v>
      </c>
      <c r="C109" s="90" t="s">
        <v>6</v>
      </c>
      <c r="D109" s="91" t="s">
        <v>59</v>
      </c>
      <c r="E109" s="92">
        <v>1</v>
      </c>
      <c r="F109" s="93">
        <v>0</v>
      </c>
      <c r="G109" s="93">
        <v>64.457787518689074</v>
      </c>
      <c r="H109" s="93"/>
      <c r="I109" s="93"/>
      <c r="J109" s="88">
        <v>107</v>
      </c>
      <c r="K109" s="94"/>
      <c r="L109" s="90"/>
      <c r="M109" s="91"/>
      <c r="N109" s="92"/>
      <c r="O109" s="93"/>
      <c r="P109" s="93"/>
      <c r="Q109" s="93"/>
      <c r="R109" s="165"/>
      <c r="S109" s="179">
        <f t="shared" si="1"/>
        <v>107</v>
      </c>
      <c r="T109" s="94" t="s">
        <v>716</v>
      </c>
      <c r="U109" s="90" t="s">
        <v>6</v>
      </c>
      <c r="V109" s="91" t="s">
        <v>62</v>
      </c>
      <c r="W109" s="92">
        <v>2</v>
      </c>
      <c r="X109" s="93">
        <v>55.959542997423206</v>
      </c>
      <c r="Y109" s="93">
        <v>64.152886435327019</v>
      </c>
      <c r="Z109" s="180">
        <v>63.117755249239494</v>
      </c>
      <c r="AA109" s="168"/>
      <c r="AB109" s="127"/>
      <c r="AC109" s="94"/>
      <c r="AD109" s="90"/>
      <c r="AE109" s="91"/>
      <c r="AF109" s="92"/>
      <c r="AG109" s="93"/>
      <c r="AH109" s="93"/>
      <c r="AI109" s="93"/>
      <c r="AJ109" s="93"/>
    </row>
    <row r="110" spans="1:36" x14ac:dyDescent="0.25">
      <c r="A110" s="88">
        <v>108</v>
      </c>
      <c r="B110" s="94" t="s">
        <v>789</v>
      </c>
      <c r="C110" s="90" t="s">
        <v>6</v>
      </c>
      <c r="D110" s="90" t="s">
        <v>88</v>
      </c>
      <c r="E110" s="92">
        <v>0</v>
      </c>
      <c r="F110" s="93">
        <v>60.953875628497315</v>
      </c>
      <c r="G110" s="93">
        <v>60.953875628497315</v>
      </c>
      <c r="H110" s="93"/>
      <c r="I110" s="93"/>
      <c r="J110" s="88">
        <v>108</v>
      </c>
      <c r="K110" s="94"/>
      <c r="L110" s="90"/>
      <c r="M110" s="91"/>
      <c r="N110" s="92"/>
      <c r="O110" s="93"/>
      <c r="P110" s="93"/>
      <c r="Q110" s="93"/>
      <c r="R110" s="165"/>
      <c r="S110" s="179">
        <f t="shared" si="1"/>
        <v>108</v>
      </c>
      <c r="T110" s="94" t="s">
        <v>68</v>
      </c>
      <c r="U110" s="90" t="s">
        <v>6</v>
      </c>
      <c r="V110" s="91" t="s">
        <v>69</v>
      </c>
      <c r="W110" s="92">
        <v>5</v>
      </c>
      <c r="X110" s="93">
        <v>67.18098222519626</v>
      </c>
      <c r="Y110" s="93">
        <v>64.014791256443473</v>
      </c>
      <c r="Z110" s="180">
        <v>62.981888288511882</v>
      </c>
      <c r="AA110" s="168"/>
      <c r="AB110" s="127"/>
      <c r="AC110" s="94"/>
      <c r="AD110" s="90"/>
      <c r="AE110" s="91"/>
      <c r="AF110" s="92"/>
      <c r="AG110" s="93"/>
      <c r="AH110" s="93"/>
      <c r="AI110" s="93"/>
      <c r="AJ110" s="93"/>
    </row>
    <row r="111" spans="1:36" x14ac:dyDescent="0.25">
      <c r="A111" s="88">
        <v>109</v>
      </c>
      <c r="B111" s="94" t="s">
        <v>460</v>
      </c>
      <c r="C111" s="90" t="s">
        <v>6</v>
      </c>
      <c r="D111" s="90" t="s">
        <v>58</v>
      </c>
      <c r="E111" s="92">
        <v>5</v>
      </c>
      <c r="F111" s="93">
        <v>92.189833981686178</v>
      </c>
      <c r="G111" s="93">
        <v>92.02450874768823</v>
      </c>
      <c r="H111" s="93"/>
      <c r="I111" s="93"/>
      <c r="J111" s="88">
        <v>109</v>
      </c>
      <c r="K111" s="94"/>
      <c r="L111" s="90"/>
      <c r="M111" s="91"/>
      <c r="N111" s="92"/>
      <c r="O111" s="93"/>
      <c r="P111" s="93"/>
      <c r="Q111" s="93"/>
      <c r="R111" s="165"/>
      <c r="S111" s="179">
        <f t="shared" si="1"/>
        <v>109</v>
      </c>
      <c r="T111" s="94" t="s">
        <v>664</v>
      </c>
      <c r="U111" s="90" t="s">
        <v>6</v>
      </c>
      <c r="V111" s="91" t="s">
        <v>62</v>
      </c>
      <c r="W111" s="92">
        <v>4</v>
      </c>
      <c r="X111" s="93">
        <v>60.9207907589808</v>
      </c>
      <c r="Y111" s="93">
        <v>63.878142447583031</v>
      </c>
      <c r="Z111" s="180">
        <v>62.847444360077759</v>
      </c>
      <c r="AA111" s="168"/>
      <c r="AB111" s="127"/>
      <c r="AC111" s="94"/>
      <c r="AD111" s="90"/>
      <c r="AE111" s="91"/>
      <c r="AF111" s="92"/>
      <c r="AG111" s="93"/>
      <c r="AH111" s="93"/>
      <c r="AI111" s="93"/>
      <c r="AJ111" s="93"/>
    </row>
    <row r="112" spans="1:36" x14ac:dyDescent="0.25">
      <c r="A112" s="88">
        <v>110</v>
      </c>
      <c r="B112" s="94" t="s">
        <v>844</v>
      </c>
      <c r="C112" s="90" t="s">
        <v>6</v>
      </c>
      <c r="D112" s="91" t="s">
        <v>67</v>
      </c>
      <c r="E112" s="92">
        <v>0</v>
      </c>
      <c r="F112" s="93">
        <v>25.976093413811761</v>
      </c>
      <c r="G112" s="93">
        <v>25.976093413811761</v>
      </c>
      <c r="H112" s="93"/>
      <c r="I112" s="93"/>
      <c r="J112" s="88">
        <v>110</v>
      </c>
      <c r="K112" s="94"/>
      <c r="L112" s="90"/>
      <c r="M112" s="91"/>
      <c r="N112" s="92"/>
      <c r="O112" s="93"/>
      <c r="P112" s="93"/>
      <c r="Q112" s="93"/>
      <c r="R112" s="165"/>
      <c r="S112" s="179">
        <f t="shared" si="1"/>
        <v>110</v>
      </c>
      <c r="T112" s="94" t="s">
        <v>807</v>
      </c>
      <c r="U112" s="90" t="s">
        <v>16</v>
      </c>
      <c r="V112" s="91" t="s">
        <v>61</v>
      </c>
      <c r="W112" s="92">
        <v>4</v>
      </c>
      <c r="X112" s="93">
        <v>57.978576795632257</v>
      </c>
      <c r="Y112" s="93">
        <v>63.705009261191265</v>
      </c>
      <c r="Z112" s="180">
        <v>62.677104743399511</v>
      </c>
      <c r="AA112" s="168"/>
      <c r="AB112" s="127"/>
      <c r="AC112" s="94"/>
      <c r="AD112" s="90"/>
      <c r="AE112" s="91"/>
      <c r="AF112" s="92"/>
      <c r="AG112" s="93"/>
      <c r="AH112" s="93"/>
      <c r="AI112" s="93"/>
      <c r="AJ112" s="93"/>
    </row>
    <row r="113" spans="1:36" x14ac:dyDescent="0.25">
      <c r="A113" s="88">
        <v>111</v>
      </c>
      <c r="B113" s="94" t="s">
        <v>436</v>
      </c>
      <c r="C113" s="90" t="s">
        <v>6</v>
      </c>
      <c r="D113" s="91" t="s">
        <v>69</v>
      </c>
      <c r="E113" s="92">
        <v>0</v>
      </c>
      <c r="F113" s="93">
        <v>49.512158141626699</v>
      </c>
      <c r="G113" s="93">
        <v>49.512158141626699</v>
      </c>
      <c r="H113" s="93"/>
      <c r="I113" s="93"/>
      <c r="J113" s="88">
        <v>111</v>
      </c>
      <c r="K113" s="94"/>
      <c r="L113" s="90"/>
      <c r="M113" s="91"/>
      <c r="N113" s="92"/>
      <c r="O113" s="93"/>
      <c r="P113" s="93"/>
      <c r="Q113" s="93"/>
      <c r="R113" s="165"/>
      <c r="S113" s="179">
        <f t="shared" si="1"/>
        <v>111</v>
      </c>
      <c r="T113" s="94" t="s">
        <v>1332</v>
      </c>
      <c r="U113" s="90" t="s">
        <v>6</v>
      </c>
      <c r="V113" s="91" t="s">
        <v>62</v>
      </c>
      <c r="W113" s="92">
        <v>3</v>
      </c>
      <c r="X113" s="93">
        <v>0</v>
      </c>
      <c r="Y113" s="93">
        <v>63.603643623384876</v>
      </c>
      <c r="Z113" s="180">
        <v>62.577374678654934</v>
      </c>
      <c r="AA113" s="168"/>
      <c r="AB113" s="127"/>
      <c r="AC113" s="94"/>
      <c r="AD113" s="90"/>
      <c r="AE113" s="91"/>
      <c r="AF113" s="92"/>
      <c r="AG113" s="93"/>
      <c r="AH113" s="93"/>
      <c r="AI113" s="93"/>
      <c r="AJ113" s="93"/>
    </row>
    <row r="114" spans="1:36" x14ac:dyDescent="0.25">
      <c r="A114" s="88">
        <v>112</v>
      </c>
      <c r="B114" s="89" t="s">
        <v>939</v>
      </c>
      <c r="C114" s="90" t="s">
        <v>6</v>
      </c>
      <c r="D114" s="91" t="s">
        <v>65</v>
      </c>
      <c r="E114" s="92">
        <v>0</v>
      </c>
      <c r="F114" s="93">
        <v>50.943424350252634</v>
      </c>
      <c r="G114" s="93">
        <v>50.943424350252634</v>
      </c>
      <c r="H114" s="93"/>
      <c r="I114" s="93"/>
      <c r="J114" s="88">
        <v>112</v>
      </c>
      <c r="K114" s="94"/>
      <c r="L114" s="90"/>
      <c r="M114" s="91"/>
      <c r="N114" s="92"/>
      <c r="O114" s="93"/>
      <c r="P114" s="93"/>
      <c r="Q114" s="93"/>
      <c r="R114" s="165"/>
      <c r="S114" s="179">
        <f t="shared" si="1"/>
        <v>112</v>
      </c>
      <c r="T114" s="94" t="s">
        <v>1044</v>
      </c>
      <c r="U114" s="90" t="s">
        <v>16</v>
      </c>
      <c r="V114" s="91" t="s">
        <v>61</v>
      </c>
      <c r="W114" s="92">
        <v>2</v>
      </c>
      <c r="X114" s="93">
        <v>0</v>
      </c>
      <c r="Y114" s="93">
        <v>63.550692728661048</v>
      </c>
      <c r="Z114" s="180">
        <v>62.525278166726736</v>
      </c>
      <c r="AA114" s="168"/>
      <c r="AB114" s="127"/>
      <c r="AC114" s="94"/>
      <c r="AD114" s="90"/>
      <c r="AE114" s="91"/>
      <c r="AF114" s="92"/>
      <c r="AG114" s="93"/>
      <c r="AH114" s="93"/>
      <c r="AI114" s="93"/>
      <c r="AJ114" s="93"/>
    </row>
    <row r="115" spans="1:36" x14ac:dyDescent="0.25">
      <c r="A115" s="88">
        <v>113</v>
      </c>
      <c r="B115" s="94" t="s">
        <v>301</v>
      </c>
      <c r="C115" s="90" t="s">
        <v>6</v>
      </c>
      <c r="D115" s="91" t="s">
        <v>96</v>
      </c>
      <c r="E115" s="92">
        <v>0</v>
      </c>
      <c r="F115" s="93">
        <v>49.337749083784765</v>
      </c>
      <c r="G115" s="93">
        <v>49.337749083784765</v>
      </c>
      <c r="H115" s="93"/>
      <c r="I115" s="93"/>
      <c r="J115" s="88">
        <v>113</v>
      </c>
      <c r="K115" s="94"/>
      <c r="L115" s="90"/>
      <c r="M115" s="91"/>
      <c r="N115" s="92"/>
      <c r="O115" s="93"/>
      <c r="P115" s="93"/>
      <c r="Q115" s="93"/>
      <c r="R115" s="165"/>
      <c r="S115" s="179">
        <f t="shared" si="1"/>
        <v>113</v>
      </c>
      <c r="T115" s="94" t="s">
        <v>108</v>
      </c>
      <c r="U115" s="90" t="s">
        <v>6</v>
      </c>
      <c r="V115" s="91" t="s">
        <v>57</v>
      </c>
      <c r="W115" s="92">
        <v>6</v>
      </c>
      <c r="X115" s="93">
        <v>59.774545485164211</v>
      </c>
      <c r="Y115" s="93">
        <v>63.336018837062468</v>
      </c>
      <c r="Z115" s="180">
        <v>62.31406811989617</v>
      </c>
      <c r="AA115" s="168"/>
      <c r="AB115" s="127"/>
      <c r="AC115" s="94"/>
      <c r="AD115" s="90"/>
      <c r="AE115" s="91"/>
      <c r="AF115" s="92"/>
      <c r="AG115" s="93"/>
      <c r="AH115" s="93"/>
      <c r="AI115" s="93"/>
      <c r="AJ115" s="93"/>
    </row>
    <row r="116" spans="1:36" x14ac:dyDescent="0.25">
      <c r="A116" s="88">
        <v>114</v>
      </c>
      <c r="B116" s="94" t="s">
        <v>810</v>
      </c>
      <c r="C116" s="90" t="s">
        <v>6</v>
      </c>
      <c r="D116" s="91" t="s">
        <v>62</v>
      </c>
      <c r="E116" s="92">
        <v>0</v>
      </c>
      <c r="F116" s="93">
        <v>36.274265135592508</v>
      </c>
      <c r="G116" s="93">
        <v>36.274265135592508</v>
      </c>
      <c r="H116" s="93"/>
      <c r="I116" s="93"/>
      <c r="J116" s="88">
        <v>114</v>
      </c>
      <c r="K116" s="94"/>
      <c r="L116" s="90"/>
      <c r="M116" s="91"/>
      <c r="N116" s="92"/>
      <c r="O116" s="93"/>
      <c r="P116" s="93"/>
      <c r="Q116" s="93"/>
      <c r="R116" s="165"/>
      <c r="S116" s="179">
        <f t="shared" si="1"/>
        <v>114</v>
      </c>
      <c r="T116" s="94" t="s">
        <v>788</v>
      </c>
      <c r="U116" s="90" t="s">
        <v>6</v>
      </c>
      <c r="V116" s="91" t="s">
        <v>88</v>
      </c>
      <c r="W116" s="92">
        <v>2</v>
      </c>
      <c r="X116" s="93">
        <v>62.02919256713249</v>
      </c>
      <c r="Y116" s="93">
        <v>63.325002778680954</v>
      </c>
      <c r="Z116" s="180">
        <v>62.303229809800229</v>
      </c>
      <c r="AA116" s="168"/>
      <c r="AB116" s="127"/>
      <c r="AC116" s="94"/>
      <c r="AD116" s="90"/>
      <c r="AE116" s="91"/>
      <c r="AF116" s="92"/>
      <c r="AG116" s="93"/>
      <c r="AH116" s="93"/>
      <c r="AI116" s="93"/>
      <c r="AJ116" s="93"/>
    </row>
    <row r="117" spans="1:36" x14ac:dyDescent="0.25">
      <c r="A117" s="88">
        <v>115</v>
      </c>
      <c r="B117" s="94" t="s">
        <v>101</v>
      </c>
      <c r="C117" s="90" t="s">
        <v>6</v>
      </c>
      <c r="D117" s="91" t="s">
        <v>69</v>
      </c>
      <c r="E117" s="92">
        <v>0</v>
      </c>
      <c r="F117" s="93">
        <v>68.20924978926152</v>
      </c>
      <c r="G117" s="93">
        <v>68.20924978926152</v>
      </c>
      <c r="H117" s="93"/>
      <c r="I117" s="93"/>
      <c r="J117" s="88">
        <v>115</v>
      </c>
      <c r="K117" s="94"/>
      <c r="L117" s="90"/>
      <c r="M117" s="91"/>
      <c r="N117" s="92"/>
      <c r="O117" s="93"/>
      <c r="P117" s="93"/>
      <c r="Q117" s="93"/>
      <c r="R117" s="165"/>
      <c r="S117" s="179">
        <f t="shared" si="1"/>
        <v>115</v>
      </c>
      <c r="T117" s="94" t="s">
        <v>1200</v>
      </c>
      <c r="U117" s="90" t="s">
        <v>6</v>
      </c>
      <c r="V117" s="91" t="s">
        <v>62</v>
      </c>
      <c r="W117" s="92">
        <v>2</v>
      </c>
      <c r="X117" s="93">
        <v>0</v>
      </c>
      <c r="Y117" s="93">
        <v>63.274631509229486</v>
      </c>
      <c r="Z117" s="180">
        <v>62.253671299910941</v>
      </c>
      <c r="AA117" s="168"/>
      <c r="AB117" s="127"/>
      <c r="AC117" s="94"/>
      <c r="AD117" s="90"/>
      <c r="AE117" s="91"/>
      <c r="AF117" s="92"/>
      <c r="AG117" s="93"/>
      <c r="AH117" s="93"/>
      <c r="AI117" s="93"/>
      <c r="AJ117" s="93"/>
    </row>
    <row r="118" spans="1:36" x14ac:dyDescent="0.25">
      <c r="A118" s="88">
        <v>116</v>
      </c>
      <c r="B118" s="94" t="s">
        <v>73</v>
      </c>
      <c r="C118" s="90" t="s">
        <v>6</v>
      </c>
      <c r="D118" s="91" t="s">
        <v>57</v>
      </c>
      <c r="E118" s="92">
        <v>0</v>
      </c>
      <c r="F118" s="93">
        <v>47.182553604157363</v>
      </c>
      <c r="G118" s="93">
        <v>47.182553604157363</v>
      </c>
      <c r="H118" s="93"/>
      <c r="I118" s="93"/>
      <c r="J118" s="88">
        <v>116</v>
      </c>
      <c r="K118" s="94"/>
      <c r="L118" s="90"/>
      <c r="M118" s="91"/>
      <c r="N118" s="92"/>
      <c r="O118" s="93"/>
      <c r="P118" s="93"/>
      <c r="Q118" s="93"/>
      <c r="R118" s="165"/>
      <c r="S118" s="179">
        <f t="shared" si="1"/>
        <v>116</v>
      </c>
      <c r="T118" s="94" t="s">
        <v>910</v>
      </c>
      <c r="U118" s="90" t="s">
        <v>6</v>
      </c>
      <c r="V118" s="91" t="s">
        <v>67</v>
      </c>
      <c r="W118" s="92">
        <v>1</v>
      </c>
      <c r="X118" s="93">
        <v>59.574050773297316</v>
      </c>
      <c r="Y118" s="93">
        <v>63.178695554941498</v>
      </c>
      <c r="Z118" s="180">
        <v>62.159283308679157</v>
      </c>
      <c r="AA118" s="168"/>
      <c r="AB118" s="127"/>
      <c r="AC118" s="94"/>
      <c r="AD118" s="90"/>
      <c r="AE118" s="91"/>
      <c r="AF118" s="92"/>
      <c r="AG118" s="93"/>
      <c r="AH118" s="93"/>
      <c r="AI118" s="93"/>
      <c r="AJ118" s="93"/>
    </row>
    <row r="119" spans="1:36" x14ac:dyDescent="0.25">
      <c r="A119" s="88">
        <v>117</v>
      </c>
      <c r="B119" s="94" t="s">
        <v>116</v>
      </c>
      <c r="C119" s="90" t="s">
        <v>6</v>
      </c>
      <c r="D119" s="91" t="s">
        <v>58</v>
      </c>
      <c r="E119" s="92">
        <v>2</v>
      </c>
      <c r="F119" s="93">
        <v>61.715806117498708</v>
      </c>
      <c r="G119" s="93">
        <v>63.412418623415896</v>
      </c>
      <c r="H119" s="93"/>
      <c r="I119" s="93"/>
      <c r="J119" s="88">
        <v>117</v>
      </c>
      <c r="K119" s="94"/>
      <c r="L119" s="90"/>
      <c r="M119" s="91"/>
      <c r="N119" s="92"/>
      <c r="O119" s="93"/>
      <c r="P119" s="93"/>
      <c r="Q119" s="93"/>
      <c r="R119" s="165"/>
      <c r="S119" s="179">
        <f t="shared" si="1"/>
        <v>117</v>
      </c>
      <c r="T119" s="94" t="s">
        <v>888</v>
      </c>
      <c r="U119" s="90" t="s">
        <v>6</v>
      </c>
      <c r="V119" s="91" t="s">
        <v>63</v>
      </c>
      <c r="W119" s="92">
        <v>7</v>
      </c>
      <c r="X119" s="93">
        <v>55.369402232529268</v>
      </c>
      <c r="Y119" s="93">
        <v>63.155924840415665</v>
      </c>
      <c r="Z119" s="180">
        <v>62.136880008279874</v>
      </c>
      <c r="AA119" s="168"/>
      <c r="AB119" s="127"/>
      <c r="AC119" s="94"/>
      <c r="AD119" s="90"/>
      <c r="AE119" s="91"/>
      <c r="AF119" s="92"/>
      <c r="AG119" s="93"/>
      <c r="AH119" s="93"/>
      <c r="AI119" s="93"/>
      <c r="AJ119" s="93"/>
    </row>
    <row r="120" spans="1:36" x14ac:dyDescent="0.25">
      <c r="A120" s="88">
        <v>118</v>
      </c>
      <c r="B120" s="89" t="s">
        <v>1046</v>
      </c>
      <c r="C120" s="90" t="s">
        <v>16</v>
      </c>
      <c r="D120" s="91" t="s">
        <v>58</v>
      </c>
      <c r="E120" s="92">
        <v>1</v>
      </c>
      <c r="F120" s="93">
        <v>0</v>
      </c>
      <c r="G120" s="93">
        <v>55.446606937245257</v>
      </c>
      <c r="H120" s="93"/>
      <c r="I120" s="93"/>
      <c r="J120" s="88">
        <v>118</v>
      </c>
      <c r="K120" s="94"/>
      <c r="L120" s="90"/>
      <c r="M120" s="91"/>
      <c r="N120" s="92"/>
      <c r="O120" s="93"/>
      <c r="P120" s="93"/>
      <c r="Q120" s="93"/>
      <c r="R120" s="165"/>
      <c r="S120" s="179">
        <f t="shared" si="1"/>
        <v>118</v>
      </c>
      <c r="T120" s="94" t="s">
        <v>901</v>
      </c>
      <c r="U120" s="90" t="s">
        <v>6</v>
      </c>
      <c r="V120" s="91" t="s">
        <v>62</v>
      </c>
      <c r="W120" s="92">
        <v>1</v>
      </c>
      <c r="X120" s="93">
        <v>0</v>
      </c>
      <c r="Y120" s="93">
        <v>63.111957497348406</v>
      </c>
      <c r="Z120" s="180">
        <v>62.093622094990558</v>
      </c>
      <c r="AA120" s="168"/>
      <c r="AB120" s="127"/>
      <c r="AC120" s="94"/>
      <c r="AD120" s="90"/>
      <c r="AE120" s="91"/>
      <c r="AF120" s="92"/>
      <c r="AG120" s="93"/>
      <c r="AH120" s="93"/>
      <c r="AI120" s="93"/>
      <c r="AJ120" s="93"/>
    </row>
    <row r="121" spans="1:36" x14ac:dyDescent="0.25">
      <c r="A121" s="88">
        <v>119</v>
      </c>
      <c r="B121" s="94" t="s">
        <v>836</v>
      </c>
      <c r="C121" s="90" t="s">
        <v>6</v>
      </c>
      <c r="D121" s="91" t="s">
        <v>62</v>
      </c>
      <c r="E121" s="92">
        <v>0</v>
      </c>
      <c r="F121" s="93">
        <v>50.486359785060678</v>
      </c>
      <c r="G121" s="93">
        <v>50.486359785060678</v>
      </c>
      <c r="H121" s="93"/>
      <c r="I121" s="93"/>
      <c r="J121" s="88">
        <v>119</v>
      </c>
      <c r="K121" s="94"/>
      <c r="L121" s="90"/>
      <c r="M121" s="91"/>
      <c r="N121" s="92"/>
      <c r="O121" s="93"/>
      <c r="P121" s="93"/>
      <c r="Q121" s="93"/>
      <c r="R121" s="165"/>
      <c r="S121" s="179">
        <f t="shared" si="1"/>
        <v>119</v>
      </c>
      <c r="T121" s="94" t="s">
        <v>398</v>
      </c>
      <c r="U121" s="90" t="s">
        <v>6</v>
      </c>
      <c r="V121" s="91" t="s">
        <v>57</v>
      </c>
      <c r="W121" s="92">
        <v>6</v>
      </c>
      <c r="X121" s="93">
        <v>60.636529782048591</v>
      </c>
      <c r="Y121" s="93">
        <v>62.910077538089332</v>
      </c>
      <c r="Z121" s="180">
        <v>61.89499954554244</v>
      </c>
      <c r="AA121" s="168"/>
      <c r="AB121" s="127"/>
      <c r="AC121" s="94"/>
      <c r="AD121" s="90"/>
      <c r="AE121" s="91"/>
      <c r="AF121" s="92"/>
      <c r="AG121" s="93"/>
      <c r="AH121" s="93"/>
      <c r="AI121" s="93"/>
      <c r="AJ121" s="93"/>
    </row>
    <row r="122" spans="1:36" x14ac:dyDescent="0.25">
      <c r="A122" s="88">
        <v>120</v>
      </c>
      <c r="B122" s="94" t="s">
        <v>824</v>
      </c>
      <c r="C122" s="90" t="s">
        <v>6</v>
      </c>
      <c r="D122" s="91" t="s">
        <v>88</v>
      </c>
      <c r="E122" s="92">
        <v>0</v>
      </c>
      <c r="F122" s="93">
        <v>45.59893970758165</v>
      </c>
      <c r="G122" s="93">
        <v>45.59893970758165</v>
      </c>
      <c r="H122" s="93"/>
      <c r="I122" s="93"/>
      <c r="J122" s="88">
        <v>120</v>
      </c>
      <c r="K122" s="94"/>
      <c r="L122" s="90"/>
      <c r="M122" s="91"/>
      <c r="N122" s="92"/>
      <c r="O122" s="93"/>
      <c r="P122" s="93"/>
      <c r="Q122" s="93"/>
      <c r="R122" s="165"/>
      <c r="S122" s="179">
        <f t="shared" si="1"/>
        <v>120</v>
      </c>
      <c r="T122" s="94" t="s">
        <v>81</v>
      </c>
      <c r="U122" s="90" t="s">
        <v>6</v>
      </c>
      <c r="V122" s="91" t="s">
        <v>57</v>
      </c>
      <c r="W122" s="92">
        <v>3</v>
      </c>
      <c r="X122" s="93">
        <v>59.764313956813048</v>
      </c>
      <c r="Y122" s="93">
        <v>62.819996484699708</v>
      </c>
      <c r="Z122" s="180">
        <v>61.80637198415949</v>
      </c>
      <c r="AA122" s="168"/>
      <c r="AB122" s="127"/>
      <c r="AC122" s="94"/>
      <c r="AD122" s="90"/>
      <c r="AE122" s="91"/>
      <c r="AF122" s="92"/>
      <c r="AG122" s="93"/>
      <c r="AH122" s="93"/>
      <c r="AI122" s="93"/>
      <c r="AJ122" s="93"/>
    </row>
    <row r="123" spans="1:36" x14ac:dyDescent="0.25">
      <c r="A123" s="88">
        <v>121</v>
      </c>
      <c r="B123" s="94" t="s">
        <v>1035</v>
      </c>
      <c r="C123" s="90" t="s">
        <v>16</v>
      </c>
      <c r="D123" s="91" t="s">
        <v>61</v>
      </c>
      <c r="E123" s="92">
        <v>0</v>
      </c>
      <c r="F123" s="93">
        <v>0</v>
      </c>
      <c r="G123" s="93">
        <v>0</v>
      </c>
      <c r="H123" s="93"/>
      <c r="I123" s="93"/>
      <c r="J123" s="88">
        <v>121</v>
      </c>
      <c r="K123" s="94"/>
      <c r="L123" s="90"/>
      <c r="M123" s="91"/>
      <c r="N123" s="92"/>
      <c r="O123" s="93"/>
      <c r="P123" s="93"/>
      <c r="Q123" s="93"/>
      <c r="R123" s="165"/>
      <c r="S123" s="179">
        <f t="shared" si="1"/>
        <v>121</v>
      </c>
      <c r="T123" s="94" t="s">
        <v>709</v>
      </c>
      <c r="U123" s="90" t="s">
        <v>6</v>
      </c>
      <c r="V123" s="91" t="s">
        <v>62</v>
      </c>
      <c r="W123" s="92">
        <v>4</v>
      </c>
      <c r="X123" s="93">
        <v>57.385103389992111</v>
      </c>
      <c r="Y123" s="93">
        <v>62.64917409512384</v>
      </c>
      <c r="Z123" s="180">
        <v>61.638305878712941</v>
      </c>
      <c r="AA123" s="168"/>
      <c r="AB123" s="127"/>
      <c r="AC123" s="94"/>
      <c r="AD123" s="90"/>
      <c r="AE123" s="91"/>
      <c r="AF123" s="92"/>
      <c r="AG123" s="93"/>
      <c r="AH123" s="93"/>
      <c r="AI123" s="93"/>
      <c r="AJ123" s="93"/>
    </row>
    <row r="124" spans="1:36" x14ac:dyDescent="0.25">
      <c r="A124" s="88">
        <v>122</v>
      </c>
      <c r="B124" s="94" t="s">
        <v>1000</v>
      </c>
      <c r="C124" s="90" t="s">
        <v>6</v>
      </c>
      <c r="D124" s="90" t="s">
        <v>62</v>
      </c>
      <c r="E124" s="92">
        <v>2</v>
      </c>
      <c r="F124" s="93">
        <v>54.233639543797466</v>
      </c>
      <c r="G124" s="93">
        <v>52.63724253082016</v>
      </c>
      <c r="H124" s="93"/>
      <c r="I124" s="93"/>
      <c r="J124" s="88">
        <v>122</v>
      </c>
      <c r="K124" s="94"/>
      <c r="L124" s="90"/>
      <c r="M124" s="91"/>
      <c r="N124" s="92"/>
      <c r="O124" s="93"/>
      <c r="P124" s="93"/>
      <c r="Q124" s="93"/>
      <c r="R124" s="165"/>
      <c r="S124" s="179">
        <f t="shared" si="1"/>
        <v>122</v>
      </c>
      <c r="T124" s="94" t="s">
        <v>1045</v>
      </c>
      <c r="U124" s="90" t="s">
        <v>16</v>
      </c>
      <c r="V124" s="91" t="s">
        <v>61</v>
      </c>
      <c r="W124" s="92">
        <v>2</v>
      </c>
      <c r="X124" s="93">
        <v>0</v>
      </c>
      <c r="Y124" s="93">
        <v>62.571315957794674</v>
      </c>
      <c r="Z124" s="180">
        <v>61.561704011997911</v>
      </c>
      <c r="AA124" s="168"/>
      <c r="AB124" s="127"/>
      <c r="AC124" s="94"/>
      <c r="AD124" s="90"/>
      <c r="AE124" s="91"/>
      <c r="AF124" s="92"/>
      <c r="AG124" s="93"/>
      <c r="AH124" s="93"/>
      <c r="AI124" s="93"/>
      <c r="AJ124" s="93"/>
    </row>
    <row r="125" spans="1:36" x14ac:dyDescent="0.25">
      <c r="A125" s="88">
        <v>123</v>
      </c>
      <c r="B125" s="94" t="s">
        <v>103</v>
      </c>
      <c r="C125" s="90" t="s">
        <v>6</v>
      </c>
      <c r="D125" s="91" t="s">
        <v>63</v>
      </c>
      <c r="E125" s="92">
        <v>4</v>
      </c>
      <c r="F125" s="93">
        <v>89.964188620219048</v>
      </c>
      <c r="G125" s="93">
        <v>87.153898367817163</v>
      </c>
      <c r="H125" s="93"/>
      <c r="I125" s="93"/>
      <c r="J125" s="88">
        <v>123</v>
      </c>
      <c r="K125" s="94"/>
      <c r="L125" s="90"/>
      <c r="M125" s="91"/>
      <c r="N125" s="92"/>
      <c r="O125" s="93"/>
      <c r="P125" s="93"/>
      <c r="Q125" s="93"/>
      <c r="R125" s="165"/>
      <c r="S125" s="179">
        <f t="shared" si="1"/>
        <v>123</v>
      </c>
      <c r="T125" s="94" t="s">
        <v>1292</v>
      </c>
      <c r="U125" s="90" t="s">
        <v>6</v>
      </c>
      <c r="V125" s="91" t="s">
        <v>62</v>
      </c>
      <c r="W125" s="92">
        <v>2</v>
      </c>
      <c r="X125" s="93">
        <v>0</v>
      </c>
      <c r="Y125" s="93">
        <v>62.561490094592344</v>
      </c>
      <c r="Z125" s="180">
        <v>61.552036692829937</v>
      </c>
      <c r="AA125" s="168"/>
      <c r="AB125" s="127"/>
      <c r="AC125" s="94"/>
      <c r="AD125" s="90"/>
      <c r="AE125" s="91"/>
      <c r="AF125" s="92"/>
      <c r="AG125" s="93"/>
      <c r="AH125" s="93"/>
      <c r="AI125" s="93"/>
      <c r="AJ125" s="93"/>
    </row>
    <row r="126" spans="1:36" x14ac:dyDescent="0.25">
      <c r="A126" s="88">
        <v>124</v>
      </c>
      <c r="B126" s="94" t="s">
        <v>1041</v>
      </c>
      <c r="C126" s="90" t="s">
        <v>16</v>
      </c>
      <c r="D126" s="90" t="s">
        <v>69</v>
      </c>
      <c r="E126" s="92">
        <v>2</v>
      </c>
      <c r="F126" s="93">
        <v>0</v>
      </c>
      <c r="G126" s="93">
        <v>66.642101248900715</v>
      </c>
      <c r="H126" s="93"/>
      <c r="I126" s="93"/>
      <c r="J126" s="88">
        <v>124</v>
      </c>
      <c r="K126" s="94"/>
      <c r="L126" s="90"/>
      <c r="M126" s="91"/>
      <c r="N126" s="92"/>
      <c r="O126" s="93"/>
      <c r="P126" s="93"/>
      <c r="Q126" s="93"/>
      <c r="R126" s="165"/>
      <c r="S126" s="179">
        <f t="shared" si="1"/>
        <v>124</v>
      </c>
      <c r="T126" s="94" t="s">
        <v>1143</v>
      </c>
      <c r="U126" s="90" t="s">
        <v>6</v>
      </c>
      <c r="V126" s="91" t="s">
        <v>61</v>
      </c>
      <c r="W126" s="92">
        <v>2</v>
      </c>
      <c r="X126" s="93">
        <v>0</v>
      </c>
      <c r="Y126" s="93">
        <v>62.321263713188017</v>
      </c>
      <c r="Z126" s="180">
        <v>61.315686455320758</v>
      </c>
      <c r="AA126" s="168"/>
      <c r="AB126" s="127"/>
      <c r="AC126" s="94"/>
      <c r="AD126" s="90"/>
      <c r="AE126" s="91"/>
      <c r="AF126" s="92"/>
      <c r="AG126" s="93"/>
      <c r="AH126" s="93"/>
      <c r="AI126" s="93"/>
      <c r="AJ126" s="93"/>
    </row>
    <row r="127" spans="1:36" x14ac:dyDescent="0.25">
      <c r="A127" s="88">
        <v>125</v>
      </c>
      <c r="B127" s="89" t="s">
        <v>917</v>
      </c>
      <c r="C127" s="90" t="s">
        <v>6</v>
      </c>
      <c r="D127" s="91" t="s">
        <v>932</v>
      </c>
      <c r="E127" s="92">
        <v>0</v>
      </c>
      <c r="F127" s="93">
        <v>45.986216168141205</v>
      </c>
      <c r="G127" s="93">
        <v>45.986216168141205</v>
      </c>
      <c r="H127" s="93"/>
      <c r="I127" s="93"/>
      <c r="J127" s="88">
        <v>125</v>
      </c>
      <c r="K127" s="94"/>
      <c r="L127" s="90"/>
      <c r="M127" s="91"/>
      <c r="N127" s="92"/>
      <c r="O127" s="93"/>
      <c r="P127" s="93"/>
      <c r="Q127" s="93"/>
      <c r="R127" s="165"/>
      <c r="S127" s="179">
        <f t="shared" si="1"/>
        <v>125</v>
      </c>
      <c r="T127" s="94" t="s">
        <v>1184</v>
      </c>
      <c r="U127" s="90" t="s">
        <v>6</v>
      </c>
      <c r="V127" s="91" t="s">
        <v>88</v>
      </c>
      <c r="W127" s="92">
        <v>1</v>
      </c>
      <c r="X127" s="93">
        <v>0</v>
      </c>
      <c r="Y127" s="93">
        <v>62.168682401549923</v>
      </c>
      <c r="Z127" s="180">
        <v>61.165567101092016</v>
      </c>
      <c r="AA127" s="168"/>
      <c r="AB127" s="127"/>
      <c r="AC127" s="94"/>
      <c r="AD127" s="90"/>
      <c r="AE127" s="91"/>
      <c r="AF127" s="92"/>
      <c r="AG127" s="93"/>
      <c r="AH127" s="93"/>
      <c r="AI127" s="93"/>
      <c r="AJ127" s="93"/>
    </row>
    <row r="128" spans="1:36" x14ac:dyDescent="0.25">
      <c r="A128" s="88">
        <v>126</v>
      </c>
      <c r="B128" s="95" t="s">
        <v>104</v>
      </c>
      <c r="C128" s="88" t="s">
        <v>16</v>
      </c>
      <c r="D128" s="88" t="s">
        <v>58</v>
      </c>
      <c r="E128" s="92">
        <v>4</v>
      </c>
      <c r="F128" s="93">
        <v>87.280515799112706</v>
      </c>
      <c r="G128" s="93">
        <v>89.981553251588309</v>
      </c>
      <c r="H128" s="93"/>
      <c r="I128" s="93"/>
      <c r="J128" s="88">
        <v>126</v>
      </c>
      <c r="K128" s="94"/>
      <c r="L128" s="90"/>
      <c r="M128" s="91"/>
      <c r="N128" s="92"/>
      <c r="O128" s="93"/>
      <c r="P128" s="93"/>
      <c r="Q128" s="93"/>
      <c r="R128" s="165"/>
      <c r="S128" s="179">
        <f t="shared" si="1"/>
        <v>126</v>
      </c>
      <c r="T128" s="94" t="s">
        <v>1189</v>
      </c>
      <c r="U128" s="90" t="s">
        <v>16</v>
      </c>
      <c r="V128" s="91" t="s">
        <v>63</v>
      </c>
      <c r="W128" s="92">
        <v>2</v>
      </c>
      <c r="X128" s="93">
        <v>0</v>
      </c>
      <c r="Y128" s="93">
        <v>62.079990025226223</v>
      </c>
      <c r="Z128" s="180">
        <v>61.07830580994316</v>
      </c>
      <c r="AA128" s="168"/>
      <c r="AB128" s="127"/>
      <c r="AC128" s="94"/>
      <c r="AD128" s="90"/>
      <c r="AE128" s="91"/>
      <c r="AF128" s="92"/>
      <c r="AG128" s="93"/>
      <c r="AH128" s="93"/>
      <c r="AI128" s="93"/>
      <c r="AJ128" s="93"/>
    </row>
    <row r="129" spans="1:36" x14ac:dyDescent="0.25">
      <c r="A129" s="88">
        <v>127</v>
      </c>
      <c r="B129" s="94" t="s">
        <v>719</v>
      </c>
      <c r="C129" s="90" t="s">
        <v>6</v>
      </c>
      <c r="D129" s="91" t="s">
        <v>66</v>
      </c>
      <c r="E129" s="92">
        <v>0</v>
      </c>
      <c r="F129" s="93">
        <v>63.109597344854912</v>
      </c>
      <c r="G129" s="93">
        <v>63.109597344854912</v>
      </c>
      <c r="H129" s="93"/>
      <c r="I129" s="93"/>
      <c r="J129" s="88">
        <v>127</v>
      </c>
      <c r="K129" s="94"/>
      <c r="L129" s="90"/>
      <c r="M129" s="91"/>
      <c r="N129" s="92"/>
      <c r="O129" s="93"/>
      <c r="P129" s="93"/>
      <c r="Q129" s="93"/>
      <c r="R129" s="165"/>
      <c r="S129" s="179">
        <f t="shared" si="1"/>
        <v>127</v>
      </c>
      <c r="T129" s="94" t="s">
        <v>767</v>
      </c>
      <c r="U129" s="90" t="s">
        <v>6</v>
      </c>
      <c r="V129" s="91" t="s">
        <v>62</v>
      </c>
      <c r="W129" s="92">
        <v>2</v>
      </c>
      <c r="X129" s="93">
        <v>60.533894385989399</v>
      </c>
      <c r="Y129" s="93">
        <v>62.040022599124001</v>
      </c>
      <c r="Z129" s="180">
        <v>61.038983273439591</v>
      </c>
      <c r="AA129" s="168"/>
      <c r="AB129" s="127"/>
      <c r="AC129" s="94"/>
      <c r="AD129" s="90"/>
      <c r="AE129" s="91"/>
      <c r="AF129" s="92"/>
      <c r="AG129" s="93"/>
      <c r="AH129" s="93"/>
      <c r="AI129" s="93"/>
      <c r="AJ129" s="93"/>
    </row>
    <row r="130" spans="1:36" x14ac:dyDescent="0.25">
      <c r="A130" s="88">
        <v>128</v>
      </c>
      <c r="B130" s="94" t="s">
        <v>846</v>
      </c>
      <c r="C130" s="90" t="s">
        <v>16</v>
      </c>
      <c r="D130" s="91" t="s">
        <v>66</v>
      </c>
      <c r="E130" s="92">
        <v>4</v>
      </c>
      <c r="F130" s="93">
        <v>72.812737226805623</v>
      </c>
      <c r="G130" s="93">
        <v>80.041551324306269</v>
      </c>
      <c r="H130" s="93"/>
      <c r="I130" s="93"/>
      <c r="J130" s="88">
        <v>128</v>
      </c>
      <c r="K130" s="94"/>
      <c r="L130" s="90"/>
      <c r="M130" s="91"/>
      <c r="N130" s="92"/>
      <c r="O130" s="93"/>
      <c r="P130" s="93"/>
      <c r="Q130" s="93"/>
      <c r="R130" s="165"/>
      <c r="S130" s="179">
        <f t="shared" si="1"/>
        <v>128</v>
      </c>
      <c r="T130" s="94" t="s">
        <v>789</v>
      </c>
      <c r="U130" s="90" t="s">
        <v>6</v>
      </c>
      <c r="V130" s="91" t="s">
        <v>88</v>
      </c>
      <c r="W130" s="92">
        <v>5</v>
      </c>
      <c r="X130" s="93">
        <v>60.953875628497315</v>
      </c>
      <c r="Y130" s="93">
        <v>61.946791691979833</v>
      </c>
      <c r="Z130" s="180">
        <v>60.947256682388662</v>
      </c>
      <c r="AA130" s="168"/>
      <c r="AB130" s="127"/>
      <c r="AC130" s="94"/>
      <c r="AD130" s="90"/>
      <c r="AE130" s="91"/>
      <c r="AF130" s="92"/>
      <c r="AG130" s="93"/>
      <c r="AH130" s="93"/>
      <c r="AI130" s="93"/>
      <c r="AJ130" s="93"/>
    </row>
    <row r="131" spans="1:36" x14ac:dyDescent="0.25">
      <c r="A131" s="88">
        <v>129</v>
      </c>
      <c r="B131" s="89" t="s">
        <v>853</v>
      </c>
      <c r="C131" s="90" t="s">
        <v>6</v>
      </c>
      <c r="D131" s="91" t="s">
        <v>61</v>
      </c>
      <c r="E131" s="92">
        <v>0</v>
      </c>
      <c r="F131" s="93">
        <v>67.014696959058867</v>
      </c>
      <c r="G131" s="93">
        <v>67.014696959058867</v>
      </c>
      <c r="H131" s="93"/>
      <c r="I131" s="93"/>
      <c r="J131" s="88">
        <v>129</v>
      </c>
      <c r="K131" s="94"/>
      <c r="L131" s="90"/>
      <c r="M131" s="91"/>
      <c r="N131" s="92"/>
      <c r="O131" s="93"/>
      <c r="P131" s="93"/>
      <c r="Q131" s="93"/>
      <c r="R131" s="165"/>
      <c r="S131" s="179">
        <f t="shared" si="1"/>
        <v>129</v>
      </c>
      <c r="T131" s="94" t="s">
        <v>286</v>
      </c>
      <c r="U131" s="90" t="s">
        <v>6</v>
      </c>
      <c r="V131" s="91" t="s">
        <v>69</v>
      </c>
      <c r="W131" s="92">
        <v>1</v>
      </c>
      <c r="X131" s="93">
        <v>65.022067464120298</v>
      </c>
      <c r="Y131" s="93">
        <v>61.819871434977102</v>
      </c>
      <c r="Z131" s="180">
        <v>60.822384331933392</v>
      </c>
      <c r="AA131" s="168"/>
      <c r="AB131" s="127"/>
      <c r="AC131" s="94"/>
      <c r="AD131" s="90"/>
      <c r="AE131" s="91"/>
      <c r="AF131" s="92"/>
      <c r="AG131" s="93"/>
      <c r="AH131" s="93"/>
      <c r="AI131" s="93"/>
      <c r="AJ131" s="93"/>
    </row>
    <row r="132" spans="1:36" x14ac:dyDescent="0.25">
      <c r="A132" s="88">
        <v>130</v>
      </c>
      <c r="B132" s="89" t="s">
        <v>793</v>
      </c>
      <c r="C132" s="90" t="s">
        <v>6</v>
      </c>
      <c r="D132" s="91" t="s">
        <v>88</v>
      </c>
      <c r="E132" s="92">
        <v>0</v>
      </c>
      <c r="F132" s="93">
        <v>49.490452611040517</v>
      </c>
      <c r="G132" s="93">
        <v>49.490452611040517</v>
      </c>
      <c r="H132" s="93"/>
      <c r="I132" s="93"/>
      <c r="J132" s="88">
        <v>130</v>
      </c>
      <c r="K132" s="94"/>
      <c r="L132" s="90"/>
      <c r="M132" s="91"/>
      <c r="N132" s="92"/>
      <c r="O132" s="93"/>
      <c r="P132" s="93"/>
      <c r="Q132" s="93"/>
      <c r="R132" s="165"/>
      <c r="S132" s="179">
        <f t="shared" si="1"/>
        <v>130</v>
      </c>
      <c r="T132" s="94" t="s">
        <v>98</v>
      </c>
      <c r="U132" s="90" t="s">
        <v>6</v>
      </c>
      <c r="V132" s="91" t="s">
        <v>67</v>
      </c>
      <c r="W132" s="92">
        <v>6</v>
      </c>
      <c r="X132" s="93">
        <v>57.073595074319748</v>
      </c>
      <c r="Y132" s="93">
        <v>61.808862869746257</v>
      </c>
      <c r="Z132" s="180">
        <v>60.81155339408329</v>
      </c>
      <c r="AA132" s="168"/>
      <c r="AB132" s="127"/>
      <c r="AC132" s="94"/>
      <c r="AD132" s="90"/>
      <c r="AE132" s="91"/>
      <c r="AF132" s="92"/>
      <c r="AG132" s="93"/>
      <c r="AH132" s="93"/>
      <c r="AI132" s="93"/>
      <c r="AJ132" s="93"/>
    </row>
    <row r="133" spans="1:36" x14ac:dyDescent="0.25">
      <c r="A133" s="88">
        <v>131</v>
      </c>
      <c r="B133" s="89" t="s">
        <v>809</v>
      </c>
      <c r="C133" s="90" t="s">
        <v>6</v>
      </c>
      <c r="D133" s="91" t="s">
        <v>63</v>
      </c>
      <c r="E133" s="92">
        <v>0</v>
      </c>
      <c r="F133" s="93">
        <v>61.993655160509867</v>
      </c>
      <c r="G133" s="93">
        <v>61.993655160509867</v>
      </c>
      <c r="H133" s="93"/>
      <c r="I133" s="93"/>
      <c r="J133" s="88">
        <v>131</v>
      </c>
      <c r="K133" s="94"/>
      <c r="L133" s="90"/>
      <c r="M133" s="91"/>
      <c r="N133" s="92"/>
      <c r="O133" s="93"/>
      <c r="P133" s="93"/>
      <c r="Q133" s="93"/>
      <c r="R133" s="165"/>
      <c r="S133" s="179">
        <f t="shared" ref="S133:S196" si="2">S132+1</f>
        <v>131</v>
      </c>
      <c r="T133" s="94" t="s">
        <v>703</v>
      </c>
      <c r="U133" s="90" t="s">
        <v>6</v>
      </c>
      <c r="V133" s="91" t="s">
        <v>57</v>
      </c>
      <c r="W133" s="92">
        <v>1</v>
      </c>
      <c r="X133" s="93">
        <v>62.314951770726339</v>
      </c>
      <c r="Y133" s="93">
        <v>61.801366437796901</v>
      </c>
      <c r="Z133" s="180">
        <v>60.804177919910366</v>
      </c>
      <c r="AA133" s="168"/>
      <c r="AB133" s="127"/>
      <c r="AC133" s="94"/>
      <c r="AD133" s="90"/>
      <c r="AE133" s="91"/>
      <c r="AF133" s="92"/>
      <c r="AG133" s="93"/>
      <c r="AH133" s="93"/>
      <c r="AI133" s="93"/>
      <c r="AJ133" s="93"/>
    </row>
    <row r="134" spans="1:36" x14ac:dyDescent="0.25">
      <c r="A134" s="88">
        <v>132</v>
      </c>
      <c r="B134" s="94" t="s">
        <v>919</v>
      </c>
      <c r="C134" s="90" t="s">
        <v>6</v>
      </c>
      <c r="D134" s="91" t="s">
        <v>80</v>
      </c>
      <c r="E134" s="92">
        <v>0</v>
      </c>
      <c r="F134" s="93">
        <v>43.629685338634573</v>
      </c>
      <c r="G134" s="93">
        <v>43.629685338634573</v>
      </c>
      <c r="H134" s="93"/>
      <c r="I134" s="93"/>
      <c r="J134" s="88">
        <v>132</v>
      </c>
      <c r="K134" s="94"/>
      <c r="L134" s="90"/>
      <c r="M134" s="91"/>
      <c r="N134" s="92"/>
      <c r="O134" s="93"/>
      <c r="P134" s="93"/>
      <c r="Q134" s="93"/>
      <c r="R134" s="165"/>
      <c r="S134" s="179">
        <f t="shared" si="2"/>
        <v>132</v>
      </c>
      <c r="T134" s="94" t="s">
        <v>880</v>
      </c>
      <c r="U134" s="90" t="s">
        <v>6</v>
      </c>
      <c r="V134" s="91" t="s">
        <v>88</v>
      </c>
      <c r="W134" s="92">
        <v>2</v>
      </c>
      <c r="X134" s="93">
        <v>56.590545113529153</v>
      </c>
      <c r="Y134" s="93">
        <v>61.676859860660528</v>
      </c>
      <c r="Z134" s="180">
        <v>60.681680303680167</v>
      </c>
      <c r="AA134" s="168"/>
      <c r="AB134" s="127"/>
      <c r="AC134" s="94"/>
      <c r="AD134" s="90"/>
      <c r="AE134" s="91"/>
      <c r="AF134" s="92"/>
      <c r="AG134" s="93"/>
      <c r="AH134" s="93"/>
      <c r="AI134" s="93"/>
      <c r="AJ134" s="93"/>
    </row>
    <row r="135" spans="1:36" x14ac:dyDescent="0.25">
      <c r="A135" s="88">
        <v>133</v>
      </c>
      <c r="B135" s="89" t="s">
        <v>46</v>
      </c>
      <c r="C135" s="90" t="s">
        <v>6</v>
      </c>
      <c r="D135" s="91" t="s">
        <v>57</v>
      </c>
      <c r="E135" s="92">
        <v>0</v>
      </c>
      <c r="F135" s="93">
        <v>46.890473746597834</v>
      </c>
      <c r="G135" s="93">
        <v>46.890473746597834</v>
      </c>
      <c r="H135" s="93"/>
      <c r="I135" s="93"/>
      <c r="J135" s="88">
        <v>133</v>
      </c>
      <c r="K135" s="94"/>
      <c r="L135" s="90"/>
      <c r="M135" s="91"/>
      <c r="N135" s="92"/>
      <c r="O135" s="93"/>
      <c r="P135" s="93"/>
      <c r="Q135" s="93"/>
      <c r="R135" s="165"/>
      <c r="S135" s="179">
        <f t="shared" si="2"/>
        <v>133</v>
      </c>
      <c r="T135" s="94" t="s">
        <v>1334</v>
      </c>
      <c r="U135" s="90" t="s">
        <v>6</v>
      </c>
      <c r="V135" s="91" t="s">
        <v>67</v>
      </c>
      <c r="W135" s="92">
        <v>3</v>
      </c>
      <c r="X135" s="93">
        <v>0</v>
      </c>
      <c r="Y135" s="93">
        <v>61.664219198130922</v>
      </c>
      <c r="Z135" s="180">
        <v>60.669243603041046</v>
      </c>
      <c r="AA135" s="168"/>
      <c r="AB135" s="127"/>
      <c r="AC135" s="94"/>
      <c r="AD135" s="90"/>
      <c r="AE135" s="91"/>
      <c r="AF135" s="92"/>
      <c r="AG135" s="93"/>
      <c r="AH135" s="93"/>
      <c r="AI135" s="93"/>
      <c r="AJ135" s="93"/>
    </row>
    <row r="136" spans="1:36" x14ac:dyDescent="0.25">
      <c r="A136" s="88">
        <v>134</v>
      </c>
      <c r="B136" s="96" t="s">
        <v>405</v>
      </c>
      <c r="C136" s="90" t="s">
        <v>6</v>
      </c>
      <c r="D136" s="91" t="s">
        <v>80</v>
      </c>
      <c r="E136" s="92">
        <v>0</v>
      </c>
      <c r="F136" s="93">
        <v>52.828471688363848</v>
      </c>
      <c r="G136" s="93">
        <v>52.828471688363848</v>
      </c>
      <c r="H136" s="93"/>
      <c r="I136" s="93"/>
      <c r="J136" s="88">
        <v>134</v>
      </c>
      <c r="K136" s="94"/>
      <c r="L136" s="90"/>
      <c r="M136" s="91"/>
      <c r="N136" s="92"/>
      <c r="O136" s="93"/>
      <c r="P136" s="93"/>
      <c r="Q136" s="93"/>
      <c r="R136" s="165"/>
      <c r="S136" s="179">
        <f t="shared" si="2"/>
        <v>134</v>
      </c>
      <c r="T136" s="94" t="s">
        <v>90</v>
      </c>
      <c r="U136" s="90" t="s">
        <v>6</v>
      </c>
      <c r="V136" s="91" t="s">
        <v>62</v>
      </c>
      <c r="W136" s="92">
        <v>5</v>
      </c>
      <c r="X136" s="93">
        <v>63.907800818021407</v>
      </c>
      <c r="Y136" s="93">
        <v>61.518899682949851</v>
      </c>
      <c r="Z136" s="180">
        <v>60.526268873425671</v>
      </c>
      <c r="AA136" s="168"/>
      <c r="AB136" s="127"/>
      <c r="AC136" s="94"/>
      <c r="AD136" s="90"/>
      <c r="AE136" s="91"/>
      <c r="AF136" s="92"/>
      <c r="AG136" s="93"/>
      <c r="AH136" s="93"/>
      <c r="AI136" s="93"/>
      <c r="AJ136" s="93"/>
    </row>
    <row r="137" spans="1:36" x14ac:dyDescent="0.25">
      <c r="A137" s="88">
        <v>135</v>
      </c>
      <c r="B137" s="94" t="s">
        <v>797</v>
      </c>
      <c r="C137" s="90" t="s">
        <v>6</v>
      </c>
      <c r="D137" s="91" t="s">
        <v>62</v>
      </c>
      <c r="E137" s="92">
        <v>0</v>
      </c>
      <c r="F137" s="93">
        <v>51.877823989586943</v>
      </c>
      <c r="G137" s="93">
        <v>51.877823989586943</v>
      </c>
      <c r="H137" s="93"/>
      <c r="I137" s="93"/>
      <c r="J137" s="88">
        <v>135</v>
      </c>
      <c r="K137" s="94"/>
      <c r="L137" s="90"/>
      <c r="M137" s="91"/>
      <c r="N137" s="92"/>
      <c r="O137" s="93"/>
      <c r="P137" s="93"/>
      <c r="Q137" s="93"/>
      <c r="R137" s="165"/>
      <c r="S137" s="179">
        <f t="shared" si="2"/>
        <v>135</v>
      </c>
      <c r="T137" s="94" t="s">
        <v>1144</v>
      </c>
      <c r="U137" s="90" t="s">
        <v>6</v>
      </c>
      <c r="V137" s="91" t="s">
        <v>62</v>
      </c>
      <c r="W137" s="92">
        <v>6</v>
      </c>
      <c r="X137" s="93">
        <v>0</v>
      </c>
      <c r="Y137" s="93">
        <v>61.198470426121141</v>
      </c>
      <c r="Z137" s="180">
        <v>60.211009864345868</v>
      </c>
      <c r="AA137" s="168"/>
      <c r="AB137" s="127"/>
      <c r="AC137" s="94"/>
      <c r="AD137" s="90"/>
      <c r="AE137" s="91"/>
      <c r="AF137" s="92"/>
      <c r="AG137" s="93"/>
      <c r="AH137" s="93"/>
      <c r="AI137" s="93"/>
      <c r="AJ137" s="93"/>
    </row>
    <row r="138" spans="1:36" x14ac:dyDescent="0.25">
      <c r="A138" s="88">
        <v>136</v>
      </c>
      <c r="B138" s="94" t="s">
        <v>292</v>
      </c>
      <c r="C138" s="90" t="s">
        <v>16</v>
      </c>
      <c r="D138" s="91" t="s">
        <v>57</v>
      </c>
      <c r="E138" s="92">
        <v>0</v>
      </c>
      <c r="F138" s="93">
        <v>83.303741186886441</v>
      </c>
      <c r="G138" s="93">
        <v>83.303741186886441</v>
      </c>
      <c r="H138" s="93"/>
      <c r="I138" s="93"/>
      <c r="J138" s="88">
        <v>136</v>
      </c>
      <c r="K138" s="94"/>
      <c r="L138" s="90"/>
      <c r="M138" s="91"/>
      <c r="N138" s="92"/>
      <c r="O138" s="93"/>
      <c r="P138" s="93"/>
      <c r="Q138" s="93"/>
      <c r="R138" s="165"/>
      <c r="S138" s="179">
        <f t="shared" si="2"/>
        <v>136</v>
      </c>
      <c r="T138" s="94" t="s">
        <v>913</v>
      </c>
      <c r="U138" s="90" t="s">
        <v>6</v>
      </c>
      <c r="V138" s="91" t="s">
        <v>931</v>
      </c>
      <c r="W138" s="92">
        <v>4</v>
      </c>
      <c r="X138" s="93">
        <v>51.500741645093136</v>
      </c>
      <c r="Y138" s="93">
        <v>61.17981339246974</v>
      </c>
      <c r="Z138" s="180">
        <v>60.192653869017846</v>
      </c>
      <c r="AA138" s="168"/>
      <c r="AB138" s="127"/>
      <c r="AC138" s="94"/>
      <c r="AD138" s="90"/>
      <c r="AE138" s="91"/>
      <c r="AF138" s="92"/>
      <c r="AG138" s="93"/>
      <c r="AH138" s="93"/>
      <c r="AI138" s="93"/>
      <c r="AJ138" s="93"/>
    </row>
    <row r="139" spans="1:36" x14ac:dyDescent="0.25">
      <c r="A139" s="88">
        <v>137</v>
      </c>
      <c r="B139" s="95" t="s">
        <v>848</v>
      </c>
      <c r="C139" s="88" t="s">
        <v>16</v>
      </c>
      <c r="D139" s="88" t="s">
        <v>57</v>
      </c>
      <c r="E139" s="92">
        <v>0</v>
      </c>
      <c r="F139" s="93">
        <v>63.991198989542667</v>
      </c>
      <c r="G139" s="93">
        <v>63.991198989542667</v>
      </c>
      <c r="H139" s="93"/>
      <c r="I139" s="93"/>
      <c r="J139" s="88">
        <v>137</v>
      </c>
      <c r="K139" s="94"/>
      <c r="L139" s="90"/>
      <c r="M139" s="91"/>
      <c r="N139" s="92"/>
      <c r="O139" s="93"/>
      <c r="P139" s="93"/>
      <c r="Q139" s="93"/>
      <c r="R139" s="165"/>
      <c r="S139" s="179">
        <f t="shared" si="2"/>
        <v>137</v>
      </c>
      <c r="T139" s="94" t="s">
        <v>94</v>
      </c>
      <c r="U139" s="90" t="s">
        <v>6</v>
      </c>
      <c r="V139" s="91" t="s">
        <v>63</v>
      </c>
      <c r="W139" s="92">
        <v>1</v>
      </c>
      <c r="X139" s="93">
        <v>64.193321890375088</v>
      </c>
      <c r="Y139" s="93">
        <v>61.174273679960422</v>
      </c>
      <c r="Z139" s="180">
        <v>60.187203541873693</v>
      </c>
      <c r="AA139" s="168"/>
      <c r="AB139" s="127"/>
      <c r="AC139" s="94"/>
      <c r="AD139" s="90"/>
      <c r="AE139" s="91"/>
      <c r="AF139" s="92"/>
      <c r="AG139" s="93"/>
      <c r="AH139" s="93"/>
      <c r="AI139" s="93"/>
      <c r="AJ139" s="93"/>
    </row>
    <row r="140" spans="1:36" x14ac:dyDescent="0.25">
      <c r="A140" s="88">
        <v>138</v>
      </c>
      <c r="B140" s="95" t="s">
        <v>13</v>
      </c>
      <c r="C140" s="88" t="s">
        <v>6</v>
      </c>
      <c r="D140" s="88" t="s">
        <v>57</v>
      </c>
      <c r="E140" s="92">
        <v>0</v>
      </c>
      <c r="F140" s="93">
        <v>66.308290816615511</v>
      </c>
      <c r="G140" s="93">
        <v>66.308290816615511</v>
      </c>
      <c r="H140" s="93"/>
      <c r="I140" s="93"/>
      <c r="J140" s="88">
        <v>138</v>
      </c>
      <c r="K140" s="94"/>
      <c r="L140" s="90"/>
      <c r="M140" s="91"/>
      <c r="N140" s="92"/>
      <c r="O140" s="93"/>
      <c r="P140" s="93"/>
      <c r="Q140" s="93"/>
      <c r="R140" s="165"/>
      <c r="S140" s="179">
        <f t="shared" si="2"/>
        <v>138</v>
      </c>
      <c r="T140" s="94" t="s">
        <v>491</v>
      </c>
      <c r="U140" s="90" t="s">
        <v>6</v>
      </c>
      <c r="V140" s="91" t="s">
        <v>62</v>
      </c>
      <c r="W140" s="92">
        <v>5</v>
      </c>
      <c r="X140" s="93">
        <v>60.524290845204135</v>
      </c>
      <c r="Y140" s="93">
        <v>61.039137124252179</v>
      </c>
      <c r="Z140" s="180">
        <v>60.054247465812843</v>
      </c>
      <c r="AA140" s="168"/>
      <c r="AB140" s="127"/>
      <c r="AC140" s="94"/>
      <c r="AD140" s="90"/>
      <c r="AE140" s="91"/>
      <c r="AF140" s="92"/>
      <c r="AG140" s="93"/>
      <c r="AH140" s="93"/>
      <c r="AI140" s="93"/>
      <c r="AJ140" s="93"/>
    </row>
    <row r="141" spans="1:36" x14ac:dyDescent="0.25">
      <c r="A141" s="88">
        <v>139</v>
      </c>
      <c r="B141" s="89" t="s">
        <v>56</v>
      </c>
      <c r="C141" s="90" t="s">
        <v>6</v>
      </c>
      <c r="D141" s="91" t="s">
        <v>57</v>
      </c>
      <c r="E141" s="92">
        <v>0</v>
      </c>
      <c r="F141" s="93">
        <v>34.115818965564202</v>
      </c>
      <c r="G141" s="93">
        <v>34.115818965564202</v>
      </c>
      <c r="H141" s="93"/>
      <c r="I141" s="93"/>
      <c r="J141" s="88">
        <v>139</v>
      </c>
      <c r="K141" s="94"/>
      <c r="L141" s="90"/>
      <c r="M141" s="91"/>
      <c r="N141" s="92"/>
      <c r="O141" s="93"/>
      <c r="P141" s="93"/>
      <c r="Q141" s="93"/>
      <c r="R141" s="165"/>
      <c r="S141" s="179">
        <f t="shared" si="2"/>
        <v>139</v>
      </c>
      <c r="T141" s="94" t="s">
        <v>1008</v>
      </c>
      <c r="U141" s="90" t="s">
        <v>6</v>
      </c>
      <c r="V141" s="91" t="s">
        <v>67</v>
      </c>
      <c r="W141" s="92">
        <v>1</v>
      </c>
      <c r="X141" s="93">
        <v>0</v>
      </c>
      <c r="Y141" s="93">
        <v>60.999032801433962</v>
      </c>
      <c r="Z141" s="180">
        <v>60.01479024147379</v>
      </c>
      <c r="AA141" s="168"/>
      <c r="AB141" s="127"/>
      <c r="AC141" s="94"/>
      <c r="AD141" s="90"/>
      <c r="AE141" s="91"/>
      <c r="AF141" s="92"/>
      <c r="AG141" s="93"/>
      <c r="AH141" s="93"/>
      <c r="AI141" s="93"/>
      <c r="AJ141" s="93"/>
    </row>
    <row r="142" spans="1:36" x14ac:dyDescent="0.25">
      <c r="A142" s="88">
        <v>140</v>
      </c>
      <c r="B142" s="94" t="s">
        <v>114</v>
      </c>
      <c r="C142" s="90" t="s">
        <v>6</v>
      </c>
      <c r="D142" s="91" t="s">
        <v>62</v>
      </c>
      <c r="E142" s="92">
        <v>0</v>
      </c>
      <c r="F142" s="93">
        <v>63.748424264420898</v>
      </c>
      <c r="G142" s="93">
        <v>63.748424264420898</v>
      </c>
      <c r="H142" s="93"/>
      <c r="I142" s="93"/>
      <c r="J142" s="88">
        <v>140</v>
      </c>
      <c r="K142" s="94"/>
      <c r="L142" s="90"/>
      <c r="M142" s="91"/>
      <c r="N142" s="92"/>
      <c r="O142" s="93"/>
      <c r="P142" s="93"/>
      <c r="Q142" s="93"/>
      <c r="R142" s="165"/>
      <c r="S142" s="179">
        <f t="shared" si="2"/>
        <v>140</v>
      </c>
      <c r="T142" s="94" t="s">
        <v>922</v>
      </c>
      <c r="U142" s="90" t="s">
        <v>6</v>
      </c>
      <c r="V142" s="91" t="s">
        <v>87</v>
      </c>
      <c r="W142" s="92">
        <v>4</v>
      </c>
      <c r="X142" s="93">
        <v>40.492629924536757</v>
      </c>
      <c r="Y142" s="93">
        <v>60.785322590446263</v>
      </c>
      <c r="Z142" s="180">
        <v>59.804528325901479</v>
      </c>
      <c r="AA142" s="168"/>
      <c r="AB142" s="127"/>
      <c r="AC142" s="94"/>
      <c r="AD142" s="90"/>
      <c r="AE142" s="91"/>
      <c r="AF142" s="92"/>
      <c r="AG142" s="93"/>
      <c r="AH142" s="93"/>
      <c r="AI142" s="93"/>
      <c r="AJ142" s="93"/>
    </row>
    <row r="143" spans="1:36" x14ac:dyDescent="0.25">
      <c r="A143" s="88">
        <v>141</v>
      </c>
      <c r="B143" s="89" t="s">
        <v>97</v>
      </c>
      <c r="C143" s="90" t="s">
        <v>6</v>
      </c>
      <c r="D143" s="91" t="s">
        <v>96</v>
      </c>
      <c r="E143" s="92">
        <v>0</v>
      </c>
      <c r="F143" s="93">
        <v>54.035970497750959</v>
      </c>
      <c r="G143" s="93">
        <v>54.035970497750959</v>
      </c>
      <c r="H143" s="93"/>
      <c r="I143" s="93"/>
      <c r="J143" s="88">
        <v>141</v>
      </c>
      <c r="K143" s="94"/>
      <c r="L143" s="90"/>
      <c r="M143" s="91"/>
      <c r="N143" s="92"/>
      <c r="O143" s="93"/>
      <c r="P143" s="93"/>
      <c r="Q143" s="93"/>
      <c r="R143" s="165"/>
      <c r="S143" s="179">
        <f t="shared" si="2"/>
        <v>141</v>
      </c>
      <c r="T143" s="94" t="s">
        <v>1084</v>
      </c>
      <c r="U143" s="90" t="s">
        <v>6</v>
      </c>
      <c r="V143" s="91" t="s">
        <v>69</v>
      </c>
      <c r="W143" s="92">
        <v>8</v>
      </c>
      <c r="X143" s="93">
        <v>51.279679442015549</v>
      </c>
      <c r="Y143" s="93">
        <v>60.480028307282808</v>
      </c>
      <c r="Z143" s="180">
        <v>59.504160081939013</v>
      </c>
      <c r="AA143" s="168"/>
      <c r="AB143" s="127"/>
      <c r="AC143" s="94"/>
      <c r="AD143" s="90"/>
      <c r="AE143" s="91"/>
      <c r="AF143" s="92"/>
      <c r="AG143" s="93"/>
      <c r="AH143" s="93"/>
      <c r="AI143" s="93"/>
      <c r="AJ143" s="93"/>
    </row>
    <row r="144" spans="1:36" x14ac:dyDescent="0.25">
      <c r="A144" s="88">
        <v>142</v>
      </c>
      <c r="B144" s="89" t="s">
        <v>813</v>
      </c>
      <c r="C144" s="90" t="s">
        <v>6</v>
      </c>
      <c r="D144" s="91" t="s">
        <v>88</v>
      </c>
      <c r="E144" s="92">
        <v>0</v>
      </c>
      <c r="F144" s="93">
        <v>40.642214987055759</v>
      </c>
      <c r="G144" s="93">
        <v>40.642214987055759</v>
      </c>
      <c r="H144" s="93"/>
      <c r="I144" s="93"/>
      <c r="J144" s="88">
        <v>142</v>
      </c>
      <c r="K144" s="94"/>
      <c r="L144" s="90"/>
      <c r="M144" s="91"/>
      <c r="N144" s="92"/>
      <c r="O144" s="93"/>
      <c r="P144" s="93"/>
      <c r="Q144" s="93"/>
      <c r="R144" s="165"/>
      <c r="S144" s="179">
        <f t="shared" si="2"/>
        <v>142</v>
      </c>
      <c r="T144" s="94" t="s">
        <v>12</v>
      </c>
      <c r="U144" s="90" t="s">
        <v>6</v>
      </c>
      <c r="V144" s="91" t="s">
        <v>57</v>
      </c>
      <c r="W144" s="92">
        <v>5</v>
      </c>
      <c r="X144" s="93">
        <v>61.556524973626225</v>
      </c>
      <c r="Y144" s="93">
        <v>60.375953594909063</v>
      </c>
      <c r="Z144" s="180">
        <v>59.401764654574045</v>
      </c>
      <c r="AA144" s="168"/>
      <c r="AB144" s="127"/>
      <c r="AC144" s="94"/>
      <c r="AD144" s="90"/>
      <c r="AE144" s="91"/>
      <c r="AF144" s="92"/>
      <c r="AG144" s="93"/>
      <c r="AH144" s="93"/>
      <c r="AI144" s="93"/>
      <c r="AJ144" s="93"/>
    </row>
    <row r="145" spans="1:36" x14ac:dyDescent="0.25">
      <c r="A145" s="88">
        <v>143</v>
      </c>
      <c r="B145" s="94" t="s">
        <v>139</v>
      </c>
      <c r="C145" s="90" t="s">
        <v>6</v>
      </c>
      <c r="D145" s="91" t="s">
        <v>57</v>
      </c>
      <c r="E145" s="92">
        <v>0</v>
      </c>
      <c r="F145" s="93">
        <v>53.937674019463586</v>
      </c>
      <c r="G145" s="93">
        <v>53.937674019463586</v>
      </c>
      <c r="H145" s="93"/>
      <c r="I145" s="93"/>
      <c r="J145" s="88">
        <v>143</v>
      </c>
      <c r="K145" s="94"/>
      <c r="L145" s="90"/>
      <c r="M145" s="91"/>
      <c r="N145" s="92"/>
      <c r="O145" s="93"/>
      <c r="P145" s="93"/>
      <c r="Q145" s="93"/>
      <c r="R145" s="165"/>
      <c r="S145" s="179">
        <f t="shared" si="2"/>
        <v>143</v>
      </c>
      <c r="T145" s="94" t="s">
        <v>803</v>
      </c>
      <c r="U145" s="90" t="s">
        <v>6</v>
      </c>
      <c r="V145" s="91" t="s">
        <v>62</v>
      </c>
      <c r="W145" s="92">
        <v>5</v>
      </c>
      <c r="X145" s="93">
        <v>55.267797279066791</v>
      </c>
      <c r="Y145" s="93">
        <v>60.337926691457668</v>
      </c>
      <c r="Z145" s="180">
        <v>59.364351329651385</v>
      </c>
      <c r="AA145" s="168"/>
      <c r="AB145" s="127"/>
      <c r="AC145" s="94"/>
      <c r="AD145" s="90"/>
      <c r="AE145" s="91"/>
      <c r="AF145" s="92"/>
      <c r="AG145" s="93"/>
      <c r="AH145" s="93"/>
      <c r="AI145" s="93"/>
      <c r="AJ145" s="93"/>
    </row>
    <row r="146" spans="1:36" x14ac:dyDescent="0.25">
      <c r="A146" s="88">
        <v>144</v>
      </c>
      <c r="B146" s="89" t="s">
        <v>751</v>
      </c>
      <c r="C146" s="90" t="s">
        <v>6</v>
      </c>
      <c r="D146" s="91" t="s">
        <v>88</v>
      </c>
      <c r="E146" s="92">
        <v>0</v>
      </c>
      <c r="F146" s="93">
        <v>55.050726803545487</v>
      </c>
      <c r="G146" s="93">
        <v>55.050726803545487</v>
      </c>
      <c r="H146" s="93"/>
      <c r="I146" s="93"/>
      <c r="J146" s="88">
        <v>144</v>
      </c>
      <c r="K146" s="94"/>
      <c r="L146" s="90"/>
      <c r="M146" s="91"/>
      <c r="N146" s="92"/>
      <c r="O146" s="93"/>
      <c r="P146" s="93"/>
      <c r="Q146" s="93"/>
      <c r="R146" s="165"/>
      <c r="S146" s="179">
        <f t="shared" si="2"/>
        <v>144</v>
      </c>
      <c r="T146" s="94" t="s">
        <v>493</v>
      </c>
      <c r="U146" s="90" t="s">
        <v>6</v>
      </c>
      <c r="V146" s="91" t="s">
        <v>76</v>
      </c>
      <c r="W146" s="92">
        <v>4</v>
      </c>
      <c r="X146" s="93">
        <v>52.725599570492811</v>
      </c>
      <c r="Y146" s="93">
        <v>60.300124932989661</v>
      </c>
      <c r="Z146" s="180">
        <v>59.327159516912296</v>
      </c>
      <c r="AA146" s="168"/>
      <c r="AB146" s="127"/>
      <c r="AC146" s="94"/>
      <c r="AD146" s="90"/>
      <c r="AE146" s="91"/>
      <c r="AF146" s="92"/>
      <c r="AG146" s="93"/>
      <c r="AH146" s="93"/>
      <c r="AI146" s="93"/>
      <c r="AJ146" s="93"/>
    </row>
    <row r="147" spans="1:36" x14ac:dyDescent="0.25">
      <c r="A147" s="88">
        <v>145</v>
      </c>
      <c r="B147" s="89" t="s">
        <v>779</v>
      </c>
      <c r="C147" s="90" t="s">
        <v>6</v>
      </c>
      <c r="D147" s="91" t="s">
        <v>143</v>
      </c>
      <c r="E147" s="92">
        <v>0</v>
      </c>
      <c r="F147" s="93">
        <v>41.542909472027304</v>
      </c>
      <c r="G147" s="93">
        <v>41.542909472027304</v>
      </c>
      <c r="H147" s="93"/>
      <c r="I147" s="93"/>
      <c r="J147" s="88">
        <v>145</v>
      </c>
      <c r="K147" s="94"/>
      <c r="L147" s="90"/>
      <c r="M147" s="91"/>
      <c r="N147" s="92"/>
      <c r="O147" s="93"/>
      <c r="P147" s="93"/>
      <c r="Q147" s="93"/>
      <c r="R147" s="165"/>
      <c r="S147" s="179">
        <f t="shared" si="2"/>
        <v>145</v>
      </c>
      <c r="T147" s="94" t="s">
        <v>272</v>
      </c>
      <c r="U147" s="90" t="s">
        <v>6</v>
      </c>
      <c r="V147" s="91" t="s">
        <v>69</v>
      </c>
      <c r="W147" s="92">
        <v>4</v>
      </c>
      <c r="X147" s="93">
        <v>61.598455070075723</v>
      </c>
      <c r="Y147" s="93">
        <v>60.223509262886559</v>
      </c>
      <c r="Z147" s="180">
        <v>59.251780069742772</v>
      </c>
      <c r="AA147" s="168"/>
      <c r="AB147" s="127"/>
      <c r="AC147" s="94"/>
      <c r="AD147" s="90"/>
      <c r="AE147" s="91"/>
      <c r="AF147" s="92"/>
      <c r="AG147" s="93"/>
      <c r="AH147" s="93"/>
      <c r="AI147" s="93"/>
      <c r="AJ147" s="93"/>
    </row>
    <row r="148" spans="1:36" x14ac:dyDescent="0.25">
      <c r="A148" s="88">
        <v>146</v>
      </c>
      <c r="B148" s="94" t="s">
        <v>865</v>
      </c>
      <c r="C148" s="90" t="s">
        <v>6</v>
      </c>
      <c r="D148" s="91" t="s">
        <v>96</v>
      </c>
      <c r="E148" s="92">
        <v>0</v>
      </c>
      <c r="F148" s="93">
        <v>35.1988928055979</v>
      </c>
      <c r="G148" s="93">
        <v>35.1988928055979</v>
      </c>
      <c r="H148" s="93"/>
      <c r="I148" s="93"/>
      <c r="J148" s="88">
        <v>146</v>
      </c>
      <c r="K148" s="94"/>
      <c r="L148" s="90"/>
      <c r="M148" s="91"/>
      <c r="N148" s="92"/>
      <c r="O148" s="93"/>
      <c r="P148" s="93"/>
      <c r="Q148" s="93"/>
      <c r="R148" s="165"/>
      <c r="S148" s="179">
        <f t="shared" si="2"/>
        <v>146</v>
      </c>
      <c r="T148" s="94" t="s">
        <v>465</v>
      </c>
      <c r="U148" s="90" t="s">
        <v>6</v>
      </c>
      <c r="V148" s="91" t="s">
        <v>88</v>
      </c>
      <c r="W148" s="92">
        <v>2</v>
      </c>
      <c r="X148" s="93">
        <v>56.186666306419866</v>
      </c>
      <c r="Y148" s="93">
        <v>60.031749793996582</v>
      </c>
      <c r="Z148" s="180">
        <v>59.063114712708163</v>
      </c>
      <c r="AA148" s="168"/>
      <c r="AB148" s="127"/>
      <c r="AC148" s="94"/>
      <c r="AD148" s="90"/>
      <c r="AE148" s="91"/>
      <c r="AF148" s="92"/>
      <c r="AG148" s="93"/>
      <c r="AH148" s="93"/>
      <c r="AI148" s="93"/>
      <c r="AJ148" s="93"/>
    </row>
    <row r="149" spans="1:36" x14ac:dyDescent="0.25">
      <c r="A149" s="88">
        <v>147</v>
      </c>
      <c r="B149" s="94" t="s">
        <v>149</v>
      </c>
      <c r="C149" s="90" t="s">
        <v>6</v>
      </c>
      <c r="D149" s="91" t="s">
        <v>122</v>
      </c>
      <c r="E149" s="92">
        <v>0</v>
      </c>
      <c r="F149" s="93">
        <v>70.603296790545315</v>
      </c>
      <c r="G149" s="93">
        <v>70.603296790545315</v>
      </c>
      <c r="H149" s="93"/>
      <c r="I149" s="93"/>
      <c r="J149" s="88">
        <v>147</v>
      </c>
      <c r="K149" s="94"/>
      <c r="L149" s="90"/>
      <c r="M149" s="91"/>
      <c r="N149" s="92"/>
      <c r="O149" s="93"/>
      <c r="P149" s="93"/>
      <c r="Q149" s="93"/>
      <c r="R149" s="165"/>
      <c r="S149" s="179">
        <f t="shared" si="2"/>
        <v>147</v>
      </c>
      <c r="T149" s="94" t="s">
        <v>145</v>
      </c>
      <c r="U149" s="90" t="s">
        <v>6</v>
      </c>
      <c r="V149" s="91" t="s">
        <v>57</v>
      </c>
      <c r="W149" s="92">
        <v>5</v>
      </c>
      <c r="X149" s="93">
        <v>60.519320587656843</v>
      </c>
      <c r="Y149" s="93">
        <v>59.934028194137305</v>
      </c>
      <c r="Z149" s="180">
        <v>58.966969887974528</v>
      </c>
      <c r="AA149" s="168"/>
      <c r="AB149" s="127"/>
      <c r="AC149" s="94"/>
      <c r="AD149" s="90"/>
      <c r="AE149" s="91"/>
      <c r="AF149" s="92"/>
      <c r="AG149" s="93"/>
      <c r="AH149" s="93"/>
      <c r="AI149" s="93"/>
      <c r="AJ149" s="93"/>
    </row>
    <row r="150" spans="1:36" x14ac:dyDescent="0.25">
      <c r="A150" s="88">
        <v>148</v>
      </c>
      <c r="B150" s="89" t="s">
        <v>802</v>
      </c>
      <c r="C150" s="90" t="s">
        <v>6</v>
      </c>
      <c r="D150" s="91" t="s">
        <v>62</v>
      </c>
      <c r="E150" s="92">
        <v>0</v>
      </c>
      <c r="F150" s="93">
        <v>58.89129381208145</v>
      </c>
      <c r="G150" s="93">
        <v>58.89129381208145</v>
      </c>
      <c r="H150" s="93"/>
      <c r="I150" s="93"/>
      <c r="J150" s="88">
        <v>148</v>
      </c>
      <c r="K150" s="94"/>
      <c r="L150" s="90"/>
      <c r="M150" s="91"/>
      <c r="N150" s="92"/>
      <c r="O150" s="93"/>
      <c r="P150" s="93"/>
      <c r="Q150" s="93"/>
      <c r="R150" s="165"/>
      <c r="S150" s="179">
        <f t="shared" si="2"/>
        <v>148</v>
      </c>
      <c r="T150" s="94" t="s">
        <v>1053</v>
      </c>
      <c r="U150" s="90" t="s">
        <v>6</v>
      </c>
      <c r="V150" s="91" t="s">
        <v>59</v>
      </c>
      <c r="W150" s="92">
        <v>1</v>
      </c>
      <c r="X150" s="93">
        <v>0</v>
      </c>
      <c r="Y150" s="93">
        <v>59.90029114725499</v>
      </c>
      <c r="Z150" s="180">
        <v>58.933777201156033</v>
      </c>
      <c r="AA150" s="168"/>
      <c r="AB150" s="127"/>
      <c r="AC150" s="94"/>
      <c r="AD150" s="90"/>
      <c r="AE150" s="91"/>
      <c r="AF150" s="92"/>
      <c r="AG150" s="93"/>
      <c r="AH150" s="93"/>
      <c r="AI150" s="93"/>
      <c r="AJ150" s="93"/>
    </row>
    <row r="151" spans="1:36" x14ac:dyDescent="0.25">
      <c r="A151" s="88">
        <v>149</v>
      </c>
      <c r="B151" s="89" t="s">
        <v>1040</v>
      </c>
      <c r="C151" s="90" t="s">
        <v>16</v>
      </c>
      <c r="D151" s="91" t="s">
        <v>67</v>
      </c>
      <c r="E151" s="92">
        <v>2</v>
      </c>
      <c r="F151" s="93">
        <v>0</v>
      </c>
      <c r="G151" s="93">
        <v>73.497966256493498</v>
      </c>
      <c r="H151" s="93"/>
      <c r="I151" s="93"/>
      <c r="J151" s="88">
        <v>149</v>
      </c>
      <c r="K151" s="94"/>
      <c r="L151" s="90"/>
      <c r="M151" s="91"/>
      <c r="N151" s="92"/>
      <c r="O151" s="93"/>
      <c r="P151" s="93"/>
      <c r="Q151" s="93"/>
      <c r="R151" s="165"/>
      <c r="S151" s="179">
        <f t="shared" si="2"/>
        <v>149</v>
      </c>
      <c r="T151" s="94" t="s">
        <v>1065</v>
      </c>
      <c r="U151" s="90" t="s">
        <v>6</v>
      </c>
      <c r="V151" s="91" t="s">
        <v>62</v>
      </c>
      <c r="W151" s="92">
        <v>1</v>
      </c>
      <c r="X151" s="93">
        <v>0</v>
      </c>
      <c r="Y151" s="93">
        <v>59.895148023052933</v>
      </c>
      <c r="Z151" s="180">
        <v>58.92871706321619</v>
      </c>
      <c r="AA151" s="168"/>
      <c r="AB151" s="127"/>
      <c r="AC151" s="94"/>
      <c r="AD151" s="90"/>
      <c r="AE151" s="91"/>
      <c r="AF151" s="92"/>
      <c r="AG151" s="93"/>
      <c r="AH151" s="93"/>
      <c r="AI151" s="93"/>
      <c r="AJ151" s="93"/>
    </row>
    <row r="152" spans="1:36" x14ac:dyDescent="0.25">
      <c r="A152" s="88">
        <v>150</v>
      </c>
      <c r="B152" s="94" t="s">
        <v>272</v>
      </c>
      <c r="C152" s="90" t="s">
        <v>6</v>
      </c>
      <c r="D152" s="91" t="s">
        <v>69</v>
      </c>
      <c r="E152" s="92">
        <v>1</v>
      </c>
      <c r="F152" s="93">
        <v>61.598455070075723</v>
      </c>
      <c r="G152" s="93">
        <v>57.099955456018435</v>
      </c>
      <c r="H152" s="93"/>
      <c r="I152" s="93"/>
      <c r="J152" s="88">
        <v>150</v>
      </c>
      <c r="K152" s="94"/>
      <c r="L152" s="90"/>
      <c r="M152" s="91"/>
      <c r="N152" s="92"/>
      <c r="O152" s="93"/>
      <c r="P152" s="93"/>
      <c r="Q152" s="93"/>
      <c r="R152" s="165"/>
      <c r="S152" s="179">
        <f t="shared" si="2"/>
        <v>150</v>
      </c>
      <c r="T152" s="94" t="s">
        <v>720</v>
      </c>
      <c r="U152" s="90" t="s">
        <v>6</v>
      </c>
      <c r="V152" s="91" t="s">
        <v>61</v>
      </c>
      <c r="W152" s="92">
        <v>4</v>
      </c>
      <c r="X152" s="93">
        <v>57.326166620501759</v>
      </c>
      <c r="Y152" s="93">
        <v>59.73556874409465</v>
      </c>
      <c r="Z152" s="180">
        <v>58.771712656527598</v>
      </c>
      <c r="AA152" s="168"/>
      <c r="AB152" s="127"/>
      <c r="AC152" s="94"/>
      <c r="AD152" s="90"/>
      <c r="AE152" s="91"/>
      <c r="AF152" s="92"/>
      <c r="AG152" s="93"/>
      <c r="AH152" s="93"/>
      <c r="AI152" s="93"/>
      <c r="AJ152" s="93"/>
    </row>
    <row r="153" spans="1:36" x14ac:dyDescent="0.25">
      <c r="A153" s="88">
        <v>151</v>
      </c>
      <c r="B153" s="89" t="s">
        <v>908</v>
      </c>
      <c r="C153" s="90" t="s">
        <v>6</v>
      </c>
      <c r="D153" s="91" t="s">
        <v>88</v>
      </c>
      <c r="E153" s="92">
        <v>0</v>
      </c>
      <c r="F153" s="93">
        <v>43.724213155970737</v>
      </c>
      <c r="G153" s="93">
        <v>43.724213155970737</v>
      </c>
      <c r="H153" s="93"/>
      <c r="I153" s="93"/>
      <c r="J153" s="88">
        <v>151</v>
      </c>
      <c r="K153" s="94"/>
      <c r="L153" s="90"/>
      <c r="M153" s="91"/>
      <c r="N153" s="92"/>
      <c r="O153" s="93"/>
      <c r="P153" s="93"/>
      <c r="Q153" s="93"/>
      <c r="R153" s="165"/>
      <c r="S153" s="179">
        <f t="shared" si="2"/>
        <v>151</v>
      </c>
      <c r="T153" s="94" t="s">
        <v>717</v>
      </c>
      <c r="U153" s="90" t="s">
        <v>6</v>
      </c>
      <c r="V153" s="91" t="s">
        <v>63</v>
      </c>
      <c r="W153" s="92">
        <v>7</v>
      </c>
      <c r="X153" s="93">
        <v>48.672019800701939</v>
      </c>
      <c r="Y153" s="93">
        <v>59.502317350026729</v>
      </c>
      <c r="Z153" s="180">
        <v>58.542224862285252</v>
      </c>
      <c r="AA153" s="168"/>
      <c r="AB153" s="127"/>
      <c r="AC153" s="94"/>
      <c r="AD153" s="90"/>
      <c r="AE153" s="91"/>
      <c r="AF153" s="92"/>
      <c r="AG153" s="93"/>
      <c r="AH153" s="93"/>
      <c r="AI153" s="93"/>
      <c r="AJ153" s="93"/>
    </row>
    <row r="154" spans="1:36" x14ac:dyDescent="0.25">
      <c r="A154" s="88">
        <v>152</v>
      </c>
      <c r="B154" s="89" t="s">
        <v>795</v>
      </c>
      <c r="C154" s="90" t="s">
        <v>6</v>
      </c>
      <c r="D154" s="91" t="s">
        <v>63</v>
      </c>
      <c r="E154" s="92">
        <v>4</v>
      </c>
      <c r="F154" s="93">
        <v>91.99586802493603</v>
      </c>
      <c r="G154" s="93">
        <v>92.115803380127957</v>
      </c>
      <c r="H154" s="93"/>
      <c r="I154" s="93"/>
      <c r="J154" s="88">
        <v>152</v>
      </c>
      <c r="K154" s="94"/>
      <c r="L154" s="90"/>
      <c r="M154" s="91"/>
      <c r="N154" s="92"/>
      <c r="O154" s="93"/>
      <c r="P154" s="93"/>
      <c r="Q154" s="93"/>
      <c r="R154" s="165"/>
      <c r="S154" s="179">
        <f t="shared" si="2"/>
        <v>152</v>
      </c>
      <c r="T154" s="94" t="s">
        <v>1130</v>
      </c>
      <c r="U154" s="90" t="s">
        <v>6</v>
      </c>
      <c r="V154" s="91" t="s">
        <v>78</v>
      </c>
      <c r="W154" s="92">
        <v>4</v>
      </c>
      <c r="X154" s="93">
        <v>0</v>
      </c>
      <c r="Y154" s="93">
        <v>59.475216427672095</v>
      </c>
      <c r="Z154" s="180">
        <v>58.515561223604969</v>
      </c>
      <c r="AA154" s="168"/>
      <c r="AB154" s="127"/>
      <c r="AC154" s="94"/>
      <c r="AD154" s="90"/>
      <c r="AE154" s="91"/>
      <c r="AF154" s="92"/>
      <c r="AG154" s="93"/>
      <c r="AH154" s="93"/>
      <c r="AI154" s="93"/>
      <c r="AJ154" s="93"/>
    </row>
    <row r="155" spans="1:36" x14ac:dyDescent="0.25">
      <c r="A155" s="88">
        <v>153</v>
      </c>
      <c r="B155" s="94" t="s">
        <v>768</v>
      </c>
      <c r="C155" s="90" t="s">
        <v>6</v>
      </c>
      <c r="D155" s="90" t="s">
        <v>62</v>
      </c>
      <c r="E155" s="92">
        <v>0</v>
      </c>
      <c r="F155" s="93">
        <v>66.87248684387076</v>
      </c>
      <c r="G155" s="93">
        <v>66.87248684387076</v>
      </c>
      <c r="H155" s="93"/>
      <c r="I155" s="93"/>
      <c r="J155" s="88">
        <v>153</v>
      </c>
      <c r="K155" s="94"/>
      <c r="L155" s="90"/>
      <c r="M155" s="91"/>
      <c r="N155" s="92"/>
      <c r="O155" s="93"/>
      <c r="P155" s="93"/>
      <c r="Q155" s="93"/>
      <c r="R155" s="165"/>
      <c r="S155" s="179">
        <f t="shared" si="2"/>
        <v>153</v>
      </c>
      <c r="T155" s="94" t="s">
        <v>1075</v>
      </c>
      <c r="U155" s="90" t="s">
        <v>6</v>
      </c>
      <c r="V155" s="91" t="s">
        <v>62</v>
      </c>
      <c r="W155" s="92">
        <v>1</v>
      </c>
      <c r="X155" s="93">
        <v>0</v>
      </c>
      <c r="Y155" s="93">
        <v>59.133787899535406</v>
      </c>
      <c r="Z155" s="180">
        <v>58.179641774434678</v>
      </c>
      <c r="AA155" s="168"/>
      <c r="AB155" s="127"/>
      <c r="AC155" s="94"/>
      <c r="AD155" s="90"/>
      <c r="AE155" s="91"/>
      <c r="AF155" s="92"/>
      <c r="AG155" s="93"/>
      <c r="AH155" s="93"/>
      <c r="AI155" s="93"/>
      <c r="AJ155" s="93"/>
    </row>
    <row r="156" spans="1:36" x14ac:dyDescent="0.25">
      <c r="A156" s="88">
        <v>154</v>
      </c>
      <c r="B156" s="94" t="s">
        <v>155</v>
      </c>
      <c r="C156" s="90" t="s">
        <v>6</v>
      </c>
      <c r="D156" s="91" t="s">
        <v>87</v>
      </c>
      <c r="E156" s="92">
        <v>0</v>
      </c>
      <c r="F156" s="93">
        <v>66.28283754655763</v>
      </c>
      <c r="G156" s="93">
        <v>66.28283754655763</v>
      </c>
      <c r="H156" s="93"/>
      <c r="I156" s="93"/>
      <c r="J156" s="88">
        <v>154</v>
      </c>
      <c r="K156" s="94"/>
      <c r="L156" s="90"/>
      <c r="M156" s="91"/>
      <c r="N156" s="92"/>
      <c r="O156" s="93"/>
      <c r="P156" s="93"/>
      <c r="Q156" s="93"/>
      <c r="R156" s="165"/>
      <c r="S156" s="179">
        <f t="shared" si="2"/>
        <v>154</v>
      </c>
      <c r="T156" s="94" t="s">
        <v>1181</v>
      </c>
      <c r="U156" s="90" t="s">
        <v>16</v>
      </c>
      <c r="V156" s="91" t="s">
        <v>57</v>
      </c>
      <c r="W156" s="92">
        <v>1</v>
      </c>
      <c r="X156" s="93">
        <v>0</v>
      </c>
      <c r="Y156" s="93">
        <v>59.014926854531602</v>
      </c>
      <c r="Z156" s="180">
        <v>58.062698597532076</v>
      </c>
      <c r="AA156" s="168"/>
      <c r="AB156" s="127"/>
      <c r="AC156" s="94"/>
      <c r="AD156" s="90"/>
      <c r="AE156" s="91"/>
      <c r="AF156" s="92"/>
      <c r="AG156" s="93"/>
      <c r="AH156" s="93"/>
      <c r="AI156" s="93"/>
      <c r="AJ156" s="93"/>
    </row>
    <row r="157" spans="1:36" x14ac:dyDescent="0.25">
      <c r="A157" s="88">
        <v>155</v>
      </c>
      <c r="B157" s="89" t="s">
        <v>897</v>
      </c>
      <c r="C157" s="90" t="s">
        <v>6</v>
      </c>
      <c r="D157" s="91" t="s">
        <v>69</v>
      </c>
      <c r="E157" s="92">
        <v>0</v>
      </c>
      <c r="F157" s="93">
        <v>57.227419983761088</v>
      </c>
      <c r="G157" s="93">
        <v>57.227419983761088</v>
      </c>
      <c r="H157" s="93"/>
      <c r="I157" s="93"/>
      <c r="J157" s="88">
        <v>155</v>
      </c>
      <c r="K157" s="94"/>
      <c r="L157" s="90"/>
      <c r="M157" s="91"/>
      <c r="N157" s="92"/>
      <c r="O157" s="93"/>
      <c r="P157" s="93"/>
      <c r="Q157" s="93"/>
      <c r="R157" s="165"/>
      <c r="S157" s="179">
        <f t="shared" si="2"/>
        <v>155</v>
      </c>
      <c r="T157" s="94" t="s">
        <v>430</v>
      </c>
      <c r="U157" s="90" t="s">
        <v>6</v>
      </c>
      <c r="V157" s="91" t="s">
        <v>57</v>
      </c>
      <c r="W157" s="92">
        <v>4</v>
      </c>
      <c r="X157" s="93">
        <v>49.495238031520621</v>
      </c>
      <c r="Y157" s="93">
        <v>58.88214998266978</v>
      </c>
      <c r="Z157" s="180">
        <v>57.932064130922647</v>
      </c>
      <c r="AA157" s="168"/>
      <c r="AB157" s="127"/>
      <c r="AC157" s="94"/>
      <c r="AD157" s="90"/>
      <c r="AE157" s="91"/>
      <c r="AF157" s="92"/>
      <c r="AG157" s="93"/>
      <c r="AH157" s="93"/>
      <c r="AI157" s="93"/>
      <c r="AJ157" s="93"/>
    </row>
    <row r="158" spans="1:36" x14ac:dyDescent="0.25">
      <c r="A158" s="88">
        <v>156</v>
      </c>
      <c r="B158" s="94" t="s">
        <v>835</v>
      </c>
      <c r="C158" s="90" t="s">
        <v>6</v>
      </c>
      <c r="D158" s="91" t="s">
        <v>62</v>
      </c>
      <c r="E158" s="92">
        <v>0</v>
      </c>
      <c r="F158" s="93">
        <v>44.08554723495277</v>
      </c>
      <c r="G158" s="93">
        <v>44.08554723495277</v>
      </c>
      <c r="H158" s="93"/>
      <c r="I158" s="93"/>
      <c r="J158" s="88">
        <v>156</v>
      </c>
      <c r="K158" s="94"/>
      <c r="L158" s="90"/>
      <c r="M158" s="91"/>
      <c r="N158" s="92"/>
      <c r="O158" s="93"/>
      <c r="P158" s="93"/>
      <c r="Q158" s="93"/>
      <c r="R158" s="165"/>
      <c r="S158" s="179">
        <f t="shared" si="2"/>
        <v>156</v>
      </c>
      <c r="T158" s="94" t="s">
        <v>361</v>
      </c>
      <c r="U158" s="90" t="s">
        <v>6</v>
      </c>
      <c r="V158" s="91" t="s">
        <v>63</v>
      </c>
      <c r="W158" s="92">
        <v>4</v>
      </c>
      <c r="X158" s="93">
        <v>57.03021865485718</v>
      </c>
      <c r="Y158" s="93">
        <v>58.434449523382114</v>
      </c>
      <c r="Z158" s="180">
        <v>57.491587488569579</v>
      </c>
      <c r="AA158" s="168"/>
      <c r="AB158" s="127"/>
      <c r="AC158" s="94"/>
      <c r="AD158" s="90"/>
      <c r="AE158" s="91"/>
      <c r="AF158" s="92"/>
      <c r="AG158" s="93"/>
      <c r="AH158" s="93"/>
      <c r="AI158" s="93"/>
      <c r="AJ158" s="93"/>
    </row>
    <row r="159" spans="1:36" x14ac:dyDescent="0.25">
      <c r="A159" s="88">
        <v>157</v>
      </c>
      <c r="B159" s="89" t="s">
        <v>160</v>
      </c>
      <c r="C159" s="90" t="s">
        <v>6</v>
      </c>
      <c r="D159" s="91" t="s">
        <v>57</v>
      </c>
      <c r="E159" s="92">
        <v>0</v>
      </c>
      <c r="F159" s="93">
        <v>42.267208176384649</v>
      </c>
      <c r="G159" s="93">
        <v>42.267208176384649</v>
      </c>
      <c r="H159" s="93"/>
      <c r="I159" s="93"/>
      <c r="J159" s="88">
        <v>157</v>
      </c>
      <c r="K159" s="94"/>
      <c r="L159" s="90"/>
      <c r="M159" s="91"/>
      <c r="N159" s="92"/>
      <c r="O159" s="93"/>
      <c r="P159" s="93"/>
      <c r="Q159" s="93"/>
      <c r="R159" s="165"/>
      <c r="S159" s="179">
        <f t="shared" si="2"/>
        <v>157</v>
      </c>
      <c r="T159" s="94" t="s">
        <v>889</v>
      </c>
      <c r="U159" s="90" t="s">
        <v>6</v>
      </c>
      <c r="V159" s="91" t="s">
        <v>63</v>
      </c>
      <c r="W159" s="92">
        <v>3</v>
      </c>
      <c r="X159" s="93">
        <v>52.977265574777022</v>
      </c>
      <c r="Y159" s="93">
        <v>58.412466032786732</v>
      </c>
      <c r="Z159" s="180">
        <v>57.469958709943654</v>
      </c>
      <c r="AA159" s="168"/>
      <c r="AB159" s="127"/>
      <c r="AC159" s="94"/>
      <c r="AD159" s="90"/>
      <c r="AE159" s="91"/>
      <c r="AF159" s="92"/>
      <c r="AG159" s="93"/>
      <c r="AH159" s="93"/>
      <c r="AI159" s="93"/>
      <c r="AJ159" s="93"/>
    </row>
    <row r="160" spans="1:36" x14ac:dyDescent="0.25">
      <c r="A160" s="88">
        <v>158</v>
      </c>
      <c r="B160" s="94" t="s">
        <v>867</v>
      </c>
      <c r="C160" s="90" t="s">
        <v>6</v>
      </c>
      <c r="D160" s="91" t="s">
        <v>62</v>
      </c>
      <c r="E160" s="92">
        <v>0</v>
      </c>
      <c r="F160" s="93">
        <v>25.396169990847099</v>
      </c>
      <c r="G160" s="93">
        <v>25.396169990847099</v>
      </c>
      <c r="H160" s="93"/>
      <c r="I160" s="93"/>
      <c r="J160" s="88">
        <v>158</v>
      </c>
      <c r="K160" s="94"/>
      <c r="L160" s="90"/>
      <c r="M160" s="91"/>
      <c r="N160" s="92"/>
      <c r="O160" s="93"/>
      <c r="P160" s="93"/>
      <c r="Q160" s="93"/>
      <c r="R160" s="165"/>
      <c r="S160" s="179">
        <f t="shared" si="2"/>
        <v>158</v>
      </c>
      <c r="T160" s="94" t="s">
        <v>886</v>
      </c>
      <c r="U160" s="90" t="s">
        <v>6</v>
      </c>
      <c r="V160" s="91" t="s">
        <v>64</v>
      </c>
      <c r="W160" s="92">
        <v>2</v>
      </c>
      <c r="X160" s="93">
        <v>59.774999352344693</v>
      </c>
      <c r="Y160" s="93">
        <v>58.363580287496099</v>
      </c>
      <c r="Z160" s="180">
        <v>57.421861754718712</v>
      </c>
      <c r="AA160" s="168"/>
      <c r="AB160" s="127"/>
      <c r="AC160" s="94"/>
      <c r="AD160" s="90"/>
      <c r="AE160" s="91"/>
      <c r="AF160" s="92"/>
      <c r="AG160" s="93"/>
      <c r="AH160" s="93"/>
      <c r="AI160" s="93"/>
      <c r="AJ160" s="93"/>
    </row>
    <row r="161" spans="1:36" x14ac:dyDescent="0.25">
      <c r="A161" s="88">
        <v>159</v>
      </c>
      <c r="B161" s="94" t="s">
        <v>483</v>
      </c>
      <c r="C161" s="90" t="s">
        <v>6</v>
      </c>
      <c r="D161" s="91" t="s">
        <v>58</v>
      </c>
      <c r="E161" s="92">
        <v>0</v>
      </c>
      <c r="F161" s="93">
        <v>56.677600414024198</v>
      </c>
      <c r="G161" s="93">
        <v>56.677600414024198</v>
      </c>
      <c r="H161" s="93"/>
      <c r="I161" s="93"/>
      <c r="J161" s="88">
        <v>159</v>
      </c>
      <c r="K161" s="94"/>
      <c r="L161" s="90"/>
      <c r="M161" s="91"/>
      <c r="N161" s="92"/>
      <c r="O161" s="93"/>
      <c r="P161" s="93"/>
      <c r="Q161" s="93"/>
      <c r="R161" s="165"/>
      <c r="S161" s="179">
        <f t="shared" si="2"/>
        <v>159</v>
      </c>
      <c r="T161" s="94" t="s">
        <v>797</v>
      </c>
      <c r="U161" s="90" t="s">
        <v>6</v>
      </c>
      <c r="V161" s="91" t="s">
        <v>62</v>
      </c>
      <c r="W161" s="92">
        <v>8</v>
      </c>
      <c r="X161" s="93">
        <v>51.877823989586943</v>
      </c>
      <c r="Y161" s="93">
        <v>58.14694008027876</v>
      </c>
      <c r="Z161" s="180">
        <v>57.20871711951866</v>
      </c>
      <c r="AA161" s="168"/>
      <c r="AB161" s="127"/>
      <c r="AC161" s="94"/>
      <c r="AD161" s="90"/>
      <c r="AE161" s="91"/>
      <c r="AF161" s="92"/>
      <c r="AG161" s="93"/>
      <c r="AH161" s="93"/>
      <c r="AI161" s="93"/>
      <c r="AJ161" s="93"/>
    </row>
    <row r="162" spans="1:36" x14ac:dyDescent="0.25">
      <c r="A162" s="88">
        <v>160</v>
      </c>
      <c r="B162" s="89" t="s">
        <v>703</v>
      </c>
      <c r="C162" s="90" t="s">
        <v>6</v>
      </c>
      <c r="D162" s="91" t="s">
        <v>57</v>
      </c>
      <c r="E162" s="92">
        <v>0</v>
      </c>
      <c r="F162" s="93">
        <v>62.314951770726339</v>
      </c>
      <c r="G162" s="93">
        <v>62.314951770726339</v>
      </c>
      <c r="H162" s="93"/>
      <c r="I162" s="93"/>
      <c r="J162" s="88">
        <v>160</v>
      </c>
      <c r="K162" s="94"/>
      <c r="L162" s="90"/>
      <c r="M162" s="91"/>
      <c r="N162" s="92"/>
      <c r="O162" s="93"/>
      <c r="P162" s="93"/>
      <c r="Q162" s="93"/>
      <c r="R162" s="165"/>
      <c r="S162" s="179">
        <f t="shared" si="2"/>
        <v>160</v>
      </c>
      <c r="T162" s="94" t="s">
        <v>1132</v>
      </c>
      <c r="U162" s="90" t="s">
        <v>6</v>
      </c>
      <c r="V162" s="91" t="s">
        <v>58</v>
      </c>
      <c r="W162" s="92">
        <v>4</v>
      </c>
      <c r="X162" s="93">
        <v>0</v>
      </c>
      <c r="Y162" s="93">
        <v>57.965432011122786</v>
      </c>
      <c r="Z162" s="180">
        <v>57.030137751990146</v>
      </c>
      <c r="AA162" s="168"/>
      <c r="AB162" s="127"/>
      <c r="AC162" s="94"/>
      <c r="AD162" s="90"/>
      <c r="AE162" s="91"/>
      <c r="AF162" s="92"/>
      <c r="AG162" s="93"/>
      <c r="AH162" s="93"/>
      <c r="AI162" s="93"/>
      <c r="AJ162" s="93"/>
    </row>
    <row r="163" spans="1:36" x14ac:dyDescent="0.25">
      <c r="A163" s="88">
        <v>161</v>
      </c>
      <c r="B163" s="94" t="s">
        <v>918</v>
      </c>
      <c r="C163" s="90" t="s">
        <v>6</v>
      </c>
      <c r="D163" s="90" t="s">
        <v>87</v>
      </c>
      <c r="E163" s="92">
        <v>0</v>
      </c>
      <c r="F163" s="93">
        <v>46.08889444969649</v>
      </c>
      <c r="G163" s="93">
        <v>46.08889444969649</v>
      </c>
      <c r="H163" s="93"/>
      <c r="I163" s="93"/>
      <c r="J163" s="88">
        <v>161</v>
      </c>
      <c r="K163" s="94"/>
      <c r="L163" s="90"/>
      <c r="M163" s="91"/>
      <c r="N163" s="92"/>
      <c r="O163" s="93"/>
      <c r="P163" s="93"/>
      <c r="Q163" s="93"/>
      <c r="R163" s="165"/>
      <c r="S163" s="179">
        <f t="shared" si="2"/>
        <v>161</v>
      </c>
      <c r="T163" s="94" t="s">
        <v>726</v>
      </c>
      <c r="U163" s="90" t="s">
        <v>6</v>
      </c>
      <c r="V163" s="91" t="s">
        <v>63</v>
      </c>
      <c r="W163" s="92">
        <v>5</v>
      </c>
      <c r="X163" s="93">
        <v>52.275240292798891</v>
      </c>
      <c r="Y163" s="93">
        <v>57.910660398210396</v>
      </c>
      <c r="Z163" s="180">
        <v>56.97624989985281</v>
      </c>
      <c r="AA163" s="168"/>
      <c r="AB163" s="127"/>
      <c r="AC163" s="94"/>
      <c r="AD163" s="90"/>
      <c r="AE163" s="91"/>
      <c r="AF163" s="92"/>
      <c r="AG163" s="93"/>
      <c r="AH163" s="93"/>
      <c r="AI163" s="93"/>
      <c r="AJ163" s="93"/>
    </row>
    <row r="164" spans="1:36" x14ac:dyDescent="0.25">
      <c r="A164" s="88">
        <v>162</v>
      </c>
      <c r="B164" s="94" t="s">
        <v>761</v>
      </c>
      <c r="C164" s="90" t="s">
        <v>6</v>
      </c>
      <c r="D164" s="91" t="s">
        <v>62</v>
      </c>
      <c r="E164" s="92">
        <v>0</v>
      </c>
      <c r="F164" s="93">
        <v>59.093436154765399</v>
      </c>
      <c r="G164" s="93">
        <v>59.093436154765399</v>
      </c>
      <c r="H164" s="93"/>
      <c r="I164" s="93"/>
      <c r="J164" s="88">
        <v>162</v>
      </c>
      <c r="K164" s="94"/>
      <c r="L164" s="90"/>
      <c r="M164" s="91"/>
      <c r="N164" s="92"/>
      <c r="O164" s="93"/>
      <c r="P164" s="93"/>
      <c r="Q164" s="93"/>
      <c r="R164" s="165"/>
      <c r="S164" s="179">
        <f t="shared" si="2"/>
        <v>162</v>
      </c>
      <c r="T164" s="94" t="s">
        <v>1299</v>
      </c>
      <c r="U164" s="90" t="s">
        <v>6</v>
      </c>
      <c r="V164" s="91" t="s">
        <v>62</v>
      </c>
      <c r="W164" s="92">
        <v>4</v>
      </c>
      <c r="X164" s="93">
        <v>0</v>
      </c>
      <c r="Y164" s="93">
        <v>57.872738669172023</v>
      </c>
      <c r="Z164" s="180">
        <v>56.938940052314074</v>
      </c>
      <c r="AA164" s="168"/>
      <c r="AB164" s="127"/>
      <c r="AC164" s="94"/>
      <c r="AD164" s="90"/>
      <c r="AE164" s="91"/>
      <c r="AF164" s="92"/>
      <c r="AG164" s="93"/>
      <c r="AH164" s="93"/>
      <c r="AI164" s="93"/>
      <c r="AJ164" s="93"/>
    </row>
    <row r="165" spans="1:36" x14ac:dyDescent="0.25">
      <c r="A165" s="88">
        <v>163</v>
      </c>
      <c r="B165" s="89" t="s">
        <v>828</v>
      </c>
      <c r="C165" s="90" t="s">
        <v>6</v>
      </c>
      <c r="D165" s="91" t="s">
        <v>57</v>
      </c>
      <c r="E165" s="92">
        <v>0</v>
      </c>
      <c r="F165" s="93">
        <v>34.512075023830256</v>
      </c>
      <c r="G165" s="93">
        <v>34.512075023830256</v>
      </c>
      <c r="H165" s="93"/>
      <c r="I165" s="93"/>
      <c r="J165" s="88">
        <v>163</v>
      </c>
      <c r="K165" s="94"/>
      <c r="L165" s="90"/>
      <c r="M165" s="91"/>
      <c r="N165" s="92"/>
      <c r="O165" s="93"/>
      <c r="P165" s="93"/>
      <c r="Q165" s="93"/>
      <c r="R165" s="165"/>
      <c r="S165" s="179">
        <f t="shared" si="2"/>
        <v>163</v>
      </c>
      <c r="T165" s="94" t="s">
        <v>855</v>
      </c>
      <c r="U165" s="90" t="s">
        <v>6</v>
      </c>
      <c r="V165" s="91" t="s">
        <v>96</v>
      </c>
      <c r="W165" s="92">
        <v>2</v>
      </c>
      <c r="X165" s="93">
        <v>52.484524221802282</v>
      </c>
      <c r="Y165" s="93">
        <v>57.833065201535874</v>
      </c>
      <c r="Z165" s="180">
        <v>56.899906731145094</v>
      </c>
      <c r="AA165" s="168"/>
      <c r="AB165" s="127"/>
      <c r="AC165" s="94"/>
      <c r="AD165" s="90"/>
      <c r="AE165" s="91"/>
      <c r="AF165" s="92"/>
      <c r="AG165" s="93"/>
      <c r="AH165" s="93"/>
      <c r="AI165" s="93"/>
      <c r="AJ165" s="93"/>
    </row>
    <row r="166" spans="1:36" x14ac:dyDescent="0.25">
      <c r="A166" s="88">
        <v>164</v>
      </c>
      <c r="B166" s="89" t="s">
        <v>1009</v>
      </c>
      <c r="C166" s="90" t="s">
        <v>6</v>
      </c>
      <c r="D166" s="91" t="s">
        <v>59</v>
      </c>
      <c r="E166" s="92">
        <v>1</v>
      </c>
      <c r="F166" s="93">
        <v>0</v>
      </c>
      <c r="G166" s="93">
        <v>58.156169079069009</v>
      </c>
      <c r="H166" s="93"/>
      <c r="I166" s="93"/>
      <c r="J166" s="88">
        <v>164</v>
      </c>
      <c r="K166" s="94"/>
      <c r="L166" s="90"/>
      <c r="M166" s="91"/>
      <c r="N166" s="92"/>
      <c r="O166" s="93"/>
      <c r="P166" s="93"/>
      <c r="Q166" s="93"/>
      <c r="R166" s="165"/>
      <c r="S166" s="179">
        <f t="shared" si="2"/>
        <v>164</v>
      </c>
      <c r="T166" s="94" t="s">
        <v>757</v>
      </c>
      <c r="U166" s="90" t="s">
        <v>6</v>
      </c>
      <c r="V166" s="91" t="s">
        <v>67</v>
      </c>
      <c r="W166" s="92">
        <v>5</v>
      </c>
      <c r="X166" s="93">
        <v>60.328448077557226</v>
      </c>
      <c r="Y166" s="93">
        <v>57.673329284071372</v>
      </c>
      <c r="Z166" s="180">
        <v>56.742748213372067</v>
      </c>
      <c r="AA166" s="168"/>
      <c r="AB166" s="127"/>
      <c r="AC166" s="94"/>
      <c r="AD166" s="90"/>
      <c r="AE166" s="91"/>
      <c r="AF166" s="92"/>
      <c r="AG166" s="93"/>
      <c r="AH166" s="93"/>
      <c r="AI166" s="93"/>
      <c r="AJ166" s="93"/>
    </row>
    <row r="167" spans="1:36" x14ac:dyDescent="0.25">
      <c r="A167" s="88">
        <v>165</v>
      </c>
      <c r="B167" s="94" t="s">
        <v>996</v>
      </c>
      <c r="C167" s="90" t="s">
        <v>6</v>
      </c>
      <c r="D167" s="91" t="s">
        <v>67</v>
      </c>
      <c r="E167" s="92">
        <v>1</v>
      </c>
      <c r="F167" s="93">
        <v>0</v>
      </c>
      <c r="G167" s="93">
        <v>56.530976070307005</v>
      </c>
      <c r="H167" s="93"/>
      <c r="I167" s="93"/>
      <c r="J167" s="88">
        <v>165</v>
      </c>
      <c r="K167" s="94"/>
      <c r="L167" s="90"/>
      <c r="M167" s="91"/>
      <c r="N167" s="92"/>
      <c r="O167" s="93"/>
      <c r="P167" s="93"/>
      <c r="Q167" s="93"/>
      <c r="R167" s="165"/>
      <c r="S167" s="179">
        <f t="shared" si="2"/>
        <v>165</v>
      </c>
      <c r="T167" s="94" t="s">
        <v>782</v>
      </c>
      <c r="U167" s="90" t="s">
        <v>6</v>
      </c>
      <c r="V167" s="91" t="s">
        <v>62</v>
      </c>
      <c r="W167" s="92">
        <v>1</v>
      </c>
      <c r="X167" s="93">
        <v>41.547446699333868</v>
      </c>
      <c r="Y167" s="93">
        <v>57.502510991962005</v>
      </c>
      <c r="Z167" s="180">
        <v>56.574686139277851</v>
      </c>
      <c r="AA167" s="168"/>
      <c r="AB167" s="127"/>
      <c r="AC167" s="94"/>
      <c r="AD167" s="90"/>
      <c r="AE167" s="91"/>
      <c r="AF167" s="92"/>
      <c r="AG167" s="93"/>
      <c r="AH167" s="93"/>
      <c r="AI167" s="93"/>
      <c r="AJ167" s="93"/>
    </row>
    <row r="168" spans="1:36" x14ac:dyDescent="0.25">
      <c r="A168" s="88">
        <v>166</v>
      </c>
      <c r="B168" s="89" t="s">
        <v>714</v>
      </c>
      <c r="C168" s="90" t="s">
        <v>16</v>
      </c>
      <c r="D168" s="91" t="s">
        <v>64</v>
      </c>
      <c r="E168" s="92">
        <v>5</v>
      </c>
      <c r="F168" s="93">
        <v>87.176205670220071</v>
      </c>
      <c r="G168" s="93">
        <v>83.939036057542722</v>
      </c>
      <c r="H168" s="93"/>
      <c r="I168" s="93"/>
      <c r="J168" s="88">
        <v>166</v>
      </c>
      <c r="K168" s="94"/>
      <c r="L168" s="90"/>
      <c r="M168" s="91"/>
      <c r="N168" s="92"/>
      <c r="O168" s="93"/>
      <c r="P168" s="93"/>
      <c r="Q168" s="93"/>
      <c r="R168" s="165"/>
      <c r="S168" s="179">
        <f t="shared" si="2"/>
        <v>166</v>
      </c>
      <c r="T168" s="94" t="s">
        <v>118</v>
      </c>
      <c r="U168" s="90" t="s">
        <v>6</v>
      </c>
      <c r="V168" s="91" t="s">
        <v>59</v>
      </c>
      <c r="W168" s="92">
        <v>4</v>
      </c>
      <c r="X168" s="93">
        <v>50.672970719908648</v>
      </c>
      <c r="Y168" s="93">
        <v>57.500557099073461</v>
      </c>
      <c r="Z168" s="180">
        <v>56.572763773193088</v>
      </c>
      <c r="AA168" s="168"/>
      <c r="AB168" s="127"/>
      <c r="AC168" s="94"/>
      <c r="AD168" s="90"/>
      <c r="AE168" s="91"/>
      <c r="AF168" s="92"/>
      <c r="AG168" s="93"/>
      <c r="AH168" s="93"/>
      <c r="AI168" s="93"/>
      <c r="AJ168" s="93"/>
    </row>
    <row r="169" spans="1:36" x14ac:dyDescent="0.25">
      <c r="A169" s="88">
        <v>167</v>
      </c>
      <c r="B169" s="94" t="s">
        <v>1022</v>
      </c>
      <c r="C169" s="90" t="s">
        <v>6</v>
      </c>
      <c r="D169" s="91" t="s">
        <v>59</v>
      </c>
      <c r="E169" s="92">
        <v>0</v>
      </c>
      <c r="F169" s="93">
        <v>0</v>
      </c>
      <c r="G169" s="93">
        <v>0</v>
      </c>
      <c r="H169" s="93"/>
      <c r="I169" s="93"/>
      <c r="J169" s="88">
        <v>167</v>
      </c>
      <c r="K169" s="94"/>
      <c r="L169" s="90"/>
      <c r="M169" s="91"/>
      <c r="N169" s="92"/>
      <c r="O169" s="93"/>
      <c r="P169" s="93"/>
      <c r="Q169" s="93"/>
      <c r="R169" s="165"/>
      <c r="S169" s="179">
        <f t="shared" si="2"/>
        <v>167</v>
      </c>
      <c r="T169" s="94" t="s">
        <v>1071</v>
      </c>
      <c r="U169" s="90" t="s">
        <v>6</v>
      </c>
      <c r="V169" s="91" t="s">
        <v>57</v>
      </c>
      <c r="W169" s="92">
        <v>5</v>
      </c>
      <c r="X169" s="93">
        <v>0</v>
      </c>
      <c r="Y169" s="93">
        <v>57.379438031609496</v>
      </c>
      <c r="Z169" s="180">
        <v>56.453599007880264</v>
      </c>
      <c r="AA169" s="168"/>
      <c r="AB169" s="127"/>
      <c r="AC169" s="94"/>
      <c r="AD169" s="90"/>
      <c r="AE169" s="91"/>
      <c r="AF169" s="92"/>
      <c r="AG169" s="93"/>
      <c r="AH169" s="93"/>
      <c r="AI169" s="93"/>
      <c r="AJ169" s="93"/>
    </row>
    <row r="170" spans="1:36" x14ac:dyDescent="0.25">
      <c r="A170" s="88">
        <v>168</v>
      </c>
      <c r="B170" s="89" t="s">
        <v>916</v>
      </c>
      <c r="C170" s="90" t="s">
        <v>6</v>
      </c>
      <c r="D170" s="91" t="s">
        <v>89</v>
      </c>
      <c r="E170" s="92">
        <v>0</v>
      </c>
      <c r="F170" s="93">
        <v>45.234917421915668</v>
      </c>
      <c r="G170" s="93">
        <v>45.234917421915668</v>
      </c>
      <c r="H170" s="93"/>
      <c r="I170" s="93"/>
      <c r="J170" s="88">
        <v>168</v>
      </c>
      <c r="K170" s="94"/>
      <c r="L170" s="90"/>
      <c r="M170" s="91"/>
      <c r="N170" s="92"/>
      <c r="O170" s="93"/>
      <c r="P170" s="93"/>
      <c r="Q170" s="93"/>
      <c r="R170" s="165"/>
      <c r="S170" s="179">
        <f t="shared" si="2"/>
        <v>168</v>
      </c>
      <c r="T170" s="94" t="s">
        <v>362</v>
      </c>
      <c r="U170" s="90" t="s">
        <v>6</v>
      </c>
      <c r="V170" s="91" t="s">
        <v>63</v>
      </c>
      <c r="W170" s="92">
        <v>13</v>
      </c>
      <c r="X170" s="93">
        <v>55.679463696300587</v>
      </c>
      <c r="Y170" s="93">
        <v>57.270209811520111</v>
      </c>
      <c r="Z170" s="180">
        <v>56.346133226603804</v>
      </c>
      <c r="AA170" s="168"/>
      <c r="AB170" s="127"/>
      <c r="AC170" s="94"/>
      <c r="AD170" s="90"/>
      <c r="AE170" s="91"/>
      <c r="AF170" s="92"/>
      <c r="AG170" s="93"/>
      <c r="AH170" s="93"/>
      <c r="AI170" s="93"/>
      <c r="AJ170" s="93"/>
    </row>
    <row r="171" spans="1:36" x14ac:dyDescent="0.25">
      <c r="A171" s="88">
        <v>169</v>
      </c>
      <c r="B171" s="94" t="s">
        <v>452</v>
      </c>
      <c r="C171" s="90" t="s">
        <v>6</v>
      </c>
      <c r="D171" s="91" t="s">
        <v>59</v>
      </c>
      <c r="E171" s="92">
        <v>0</v>
      </c>
      <c r="F171" s="93">
        <v>41.478551768004372</v>
      </c>
      <c r="G171" s="93">
        <v>41.478551768004372</v>
      </c>
      <c r="H171" s="93"/>
      <c r="I171" s="93"/>
      <c r="J171" s="88">
        <v>169</v>
      </c>
      <c r="K171" s="94"/>
      <c r="L171" s="90"/>
      <c r="M171" s="91"/>
      <c r="N171" s="92"/>
      <c r="O171" s="93"/>
      <c r="P171" s="93"/>
      <c r="Q171" s="93"/>
      <c r="R171" s="165"/>
      <c r="S171" s="179">
        <f t="shared" si="2"/>
        <v>169</v>
      </c>
      <c r="T171" s="94" t="s">
        <v>449</v>
      </c>
      <c r="U171" s="90" t="s">
        <v>6</v>
      </c>
      <c r="V171" s="91" t="s">
        <v>69</v>
      </c>
      <c r="W171" s="92">
        <v>2</v>
      </c>
      <c r="X171" s="93">
        <v>55.404980572977784</v>
      </c>
      <c r="Y171" s="93">
        <v>57.21270504700103</v>
      </c>
      <c r="Z171" s="180">
        <v>56.289556323298925</v>
      </c>
      <c r="AA171" s="168"/>
      <c r="AB171" s="127"/>
      <c r="AC171" s="94"/>
      <c r="AD171" s="90"/>
      <c r="AE171" s="91"/>
      <c r="AF171" s="92"/>
      <c r="AG171" s="93"/>
      <c r="AH171" s="93"/>
      <c r="AI171" s="93"/>
      <c r="AJ171" s="93"/>
    </row>
    <row r="172" spans="1:36" x14ac:dyDescent="0.25">
      <c r="A172" s="88">
        <v>170</v>
      </c>
      <c r="B172" s="89" t="s">
        <v>873</v>
      </c>
      <c r="C172" s="90" t="s">
        <v>6</v>
      </c>
      <c r="D172" s="91" t="s">
        <v>63</v>
      </c>
      <c r="E172" s="92">
        <v>0</v>
      </c>
      <c r="F172" s="93">
        <v>42.513807878999437</v>
      </c>
      <c r="G172" s="93">
        <v>42.513807878999437</v>
      </c>
      <c r="H172" s="93"/>
      <c r="I172" s="93"/>
      <c r="J172" s="88">
        <v>170</v>
      </c>
      <c r="K172" s="94"/>
      <c r="L172" s="90"/>
      <c r="M172" s="91"/>
      <c r="N172" s="92"/>
      <c r="O172" s="93"/>
      <c r="P172" s="93"/>
      <c r="Q172" s="93"/>
      <c r="R172" s="165"/>
      <c r="S172" s="179">
        <f t="shared" si="2"/>
        <v>170</v>
      </c>
      <c r="T172" s="94" t="s">
        <v>186</v>
      </c>
      <c r="U172" s="90" t="s">
        <v>6</v>
      </c>
      <c r="V172" s="91" t="s">
        <v>62</v>
      </c>
      <c r="W172" s="92">
        <v>2</v>
      </c>
      <c r="X172" s="93">
        <v>65.932000029740067</v>
      </c>
      <c r="Y172" s="93">
        <v>57.19325188114729</v>
      </c>
      <c r="Z172" s="180">
        <v>56.270417041663997</v>
      </c>
      <c r="AA172" s="168"/>
      <c r="AB172" s="127"/>
      <c r="AC172" s="94"/>
      <c r="AD172" s="90"/>
      <c r="AE172" s="91"/>
      <c r="AF172" s="92"/>
      <c r="AG172" s="93"/>
      <c r="AH172" s="93"/>
      <c r="AI172" s="93"/>
      <c r="AJ172" s="93"/>
    </row>
    <row r="173" spans="1:36" x14ac:dyDescent="0.25">
      <c r="A173" s="88">
        <v>171</v>
      </c>
      <c r="B173" s="89" t="s">
        <v>764</v>
      </c>
      <c r="C173" s="90" t="s">
        <v>16</v>
      </c>
      <c r="D173" s="91" t="s">
        <v>61</v>
      </c>
      <c r="E173" s="92">
        <v>0</v>
      </c>
      <c r="F173" s="93">
        <v>74.876431909943179</v>
      </c>
      <c r="G173" s="93">
        <v>74.876431909943179</v>
      </c>
      <c r="H173" s="93"/>
      <c r="I173" s="93"/>
      <c r="J173" s="88">
        <v>171</v>
      </c>
      <c r="K173" s="94"/>
      <c r="L173" s="90"/>
      <c r="M173" s="91"/>
      <c r="N173" s="92"/>
      <c r="O173" s="93"/>
      <c r="P173" s="93"/>
      <c r="Q173" s="93"/>
      <c r="R173" s="165"/>
      <c r="S173" s="179">
        <f t="shared" si="2"/>
        <v>171</v>
      </c>
      <c r="T173" s="94" t="s">
        <v>744</v>
      </c>
      <c r="U173" s="90" t="s">
        <v>6</v>
      </c>
      <c r="V173" s="91" t="s">
        <v>69</v>
      </c>
      <c r="W173" s="92">
        <v>1</v>
      </c>
      <c r="X173" s="93">
        <v>54.563008709734852</v>
      </c>
      <c r="Y173" s="93">
        <v>57.098323981665985</v>
      </c>
      <c r="Z173" s="180">
        <v>56.177020839891753</v>
      </c>
      <c r="AA173" s="168"/>
      <c r="AB173" s="127"/>
      <c r="AC173" s="94"/>
      <c r="AD173" s="90"/>
      <c r="AE173" s="91"/>
      <c r="AF173" s="92"/>
      <c r="AG173" s="93"/>
      <c r="AH173" s="93"/>
      <c r="AI173" s="93"/>
      <c r="AJ173" s="93"/>
    </row>
    <row r="174" spans="1:36" x14ac:dyDescent="0.25">
      <c r="A174" s="88">
        <v>172</v>
      </c>
      <c r="B174" s="89" t="s">
        <v>448</v>
      </c>
      <c r="C174" s="90" t="s">
        <v>6</v>
      </c>
      <c r="D174" s="91" t="s">
        <v>62</v>
      </c>
      <c r="E174" s="92">
        <v>0</v>
      </c>
      <c r="F174" s="93">
        <v>72.439478118397645</v>
      </c>
      <c r="G174" s="93">
        <v>72.439478118397645</v>
      </c>
      <c r="H174" s="93"/>
      <c r="I174" s="93"/>
      <c r="J174" s="88">
        <v>172</v>
      </c>
      <c r="K174" s="94"/>
      <c r="L174" s="90"/>
      <c r="M174" s="91"/>
      <c r="N174" s="92"/>
      <c r="O174" s="93"/>
      <c r="P174" s="93"/>
      <c r="Q174" s="93"/>
      <c r="R174" s="165"/>
      <c r="S174" s="179">
        <f t="shared" si="2"/>
        <v>172</v>
      </c>
      <c r="T174" s="94" t="s">
        <v>721</v>
      </c>
      <c r="U174" s="90" t="s">
        <v>6</v>
      </c>
      <c r="V174" s="91" t="s">
        <v>89</v>
      </c>
      <c r="W174" s="92">
        <v>4</v>
      </c>
      <c r="X174" s="93">
        <v>53.722167631725</v>
      </c>
      <c r="Y174" s="93">
        <v>56.934064820549821</v>
      </c>
      <c r="Z174" s="180">
        <v>56.01541206272119</v>
      </c>
      <c r="AA174" s="168"/>
      <c r="AB174" s="127"/>
      <c r="AC174" s="94"/>
      <c r="AD174" s="90"/>
      <c r="AE174" s="91"/>
      <c r="AF174" s="92"/>
      <c r="AG174" s="93"/>
      <c r="AH174" s="93"/>
      <c r="AI174" s="93"/>
      <c r="AJ174" s="93"/>
    </row>
    <row r="175" spans="1:36" x14ac:dyDescent="0.25">
      <c r="A175" s="88">
        <v>173</v>
      </c>
      <c r="B175" s="89" t="s">
        <v>709</v>
      </c>
      <c r="C175" s="90" t="s">
        <v>6</v>
      </c>
      <c r="D175" s="91" t="s">
        <v>62</v>
      </c>
      <c r="E175" s="92">
        <v>0</v>
      </c>
      <c r="F175" s="93">
        <v>57.385103389992111</v>
      </c>
      <c r="G175" s="93">
        <v>57.385103389992111</v>
      </c>
      <c r="H175" s="93"/>
      <c r="I175" s="93"/>
      <c r="J175" s="88">
        <v>173</v>
      </c>
      <c r="K175" s="94"/>
      <c r="L175" s="90"/>
      <c r="M175" s="91"/>
      <c r="N175" s="92"/>
      <c r="O175" s="93"/>
      <c r="P175" s="93"/>
      <c r="Q175" s="93"/>
      <c r="R175" s="165"/>
      <c r="S175" s="179">
        <f t="shared" si="2"/>
        <v>173</v>
      </c>
      <c r="T175" s="94" t="s">
        <v>1122</v>
      </c>
      <c r="U175" s="90" t="s">
        <v>6</v>
      </c>
      <c r="V175" s="91" t="s">
        <v>78</v>
      </c>
      <c r="W175" s="92">
        <v>4</v>
      </c>
      <c r="X175" s="93">
        <v>0</v>
      </c>
      <c r="Y175" s="93">
        <v>56.880635138281811</v>
      </c>
      <c r="Z175" s="180">
        <v>55.962844488667663</v>
      </c>
      <c r="AA175" s="168"/>
      <c r="AB175" s="127"/>
      <c r="AC175" s="94"/>
      <c r="AD175" s="90"/>
      <c r="AE175" s="91"/>
      <c r="AF175" s="92"/>
      <c r="AG175" s="93"/>
      <c r="AH175" s="93"/>
      <c r="AI175" s="93"/>
      <c r="AJ175" s="93"/>
    </row>
    <row r="176" spans="1:36" x14ac:dyDescent="0.25">
      <c r="A176" s="88">
        <v>174</v>
      </c>
      <c r="B176" s="94" t="s">
        <v>792</v>
      </c>
      <c r="C176" s="90" t="s">
        <v>6</v>
      </c>
      <c r="D176" s="91" t="s">
        <v>88</v>
      </c>
      <c r="E176" s="92">
        <v>0</v>
      </c>
      <c r="F176" s="93">
        <v>53.962552466274587</v>
      </c>
      <c r="G176" s="93">
        <v>53.962552466274587</v>
      </c>
      <c r="H176" s="93"/>
      <c r="I176" s="93"/>
      <c r="J176" s="88">
        <v>174</v>
      </c>
      <c r="K176" s="94"/>
      <c r="L176" s="90"/>
      <c r="M176" s="91"/>
      <c r="N176" s="92"/>
      <c r="O176" s="93"/>
      <c r="P176" s="93"/>
      <c r="Q176" s="93"/>
      <c r="R176" s="165"/>
      <c r="S176" s="179">
        <f t="shared" si="2"/>
        <v>174</v>
      </c>
      <c r="T176" s="94" t="s">
        <v>1346</v>
      </c>
      <c r="U176" s="90" t="s">
        <v>6</v>
      </c>
      <c r="V176" s="91" t="s">
        <v>87</v>
      </c>
      <c r="W176" s="92">
        <v>2</v>
      </c>
      <c r="X176" s="93">
        <v>0</v>
      </c>
      <c r="Y176" s="93">
        <v>56.867142011963452</v>
      </c>
      <c r="Z176" s="180">
        <v>55.949569079066755</v>
      </c>
      <c r="AA176" s="168"/>
      <c r="AB176" s="127"/>
      <c r="AC176" s="94"/>
      <c r="AD176" s="90"/>
      <c r="AE176" s="91"/>
      <c r="AF176" s="92"/>
      <c r="AG176" s="93"/>
      <c r="AH176" s="93"/>
      <c r="AI176" s="93"/>
      <c r="AJ176" s="93"/>
    </row>
    <row r="177" spans="1:36" x14ac:dyDescent="0.25">
      <c r="A177" s="88">
        <v>175</v>
      </c>
      <c r="B177" s="89" t="s">
        <v>715</v>
      </c>
      <c r="C177" s="90" t="s">
        <v>6</v>
      </c>
      <c r="D177" s="91" t="s">
        <v>62</v>
      </c>
      <c r="E177" s="92">
        <v>0</v>
      </c>
      <c r="F177" s="93">
        <v>67.376687844768071</v>
      </c>
      <c r="G177" s="93">
        <v>67.376687844768071</v>
      </c>
      <c r="H177" s="93"/>
      <c r="I177" s="93"/>
      <c r="J177" s="88">
        <v>175</v>
      </c>
      <c r="K177" s="94"/>
      <c r="L177" s="90"/>
      <c r="M177" s="91"/>
      <c r="N177" s="92"/>
      <c r="O177" s="93"/>
      <c r="P177" s="93"/>
      <c r="Q177" s="93"/>
      <c r="R177" s="165"/>
      <c r="S177" s="179">
        <f t="shared" si="2"/>
        <v>175</v>
      </c>
      <c r="T177" s="94" t="s">
        <v>810</v>
      </c>
      <c r="U177" s="90" t="s">
        <v>6</v>
      </c>
      <c r="V177" s="91" t="s">
        <v>62</v>
      </c>
      <c r="W177" s="92">
        <v>2</v>
      </c>
      <c r="X177" s="93">
        <v>36.274265135592508</v>
      </c>
      <c r="Y177" s="93">
        <v>56.772812122668256</v>
      </c>
      <c r="Z177" s="180">
        <v>55.856761238359162</v>
      </c>
      <c r="AA177" s="168"/>
      <c r="AB177" s="127"/>
      <c r="AC177" s="94"/>
      <c r="AD177" s="90"/>
      <c r="AE177" s="91"/>
      <c r="AF177" s="92"/>
      <c r="AG177" s="93"/>
      <c r="AH177" s="93"/>
      <c r="AI177" s="93"/>
      <c r="AJ177" s="93"/>
    </row>
    <row r="178" spans="1:36" x14ac:dyDescent="0.25">
      <c r="A178" s="88">
        <v>176</v>
      </c>
      <c r="B178" s="89" t="s">
        <v>717</v>
      </c>
      <c r="C178" s="90" t="s">
        <v>6</v>
      </c>
      <c r="D178" s="91" t="s">
        <v>63</v>
      </c>
      <c r="E178" s="92">
        <v>0</v>
      </c>
      <c r="F178" s="93">
        <v>48.672019800701939</v>
      </c>
      <c r="G178" s="93">
        <v>48.672019800701939</v>
      </c>
      <c r="H178" s="93"/>
      <c r="I178" s="93"/>
      <c r="J178" s="88">
        <v>176</v>
      </c>
      <c r="K178" s="94"/>
      <c r="L178" s="90"/>
      <c r="M178" s="91"/>
      <c r="N178" s="92"/>
      <c r="O178" s="93"/>
      <c r="P178" s="93"/>
      <c r="Q178" s="93"/>
      <c r="R178" s="165"/>
      <c r="S178" s="179">
        <f t="shared" si="2"/>
        <v>176</v>
      </c>
      <c r="T178" s="94" t="s">
        <v>1343</v>
      </c>
      <c r="U178" s="90" t="s">
        <v>6</v>
      </c>
      <c r="V178" s="91" t="s">
        <v>87</v>
      </c>
      <c r="W178" s="92">
        <v>4</v>
      </c>
      <c r="X178" s="93">
        <v>0</v>
      </c>
      <c r="Y178" s="93">
        <v>56.77158130243135</v>
      </c>
      <c r="Z178" s="180">
        <v>55.855550277874215</v>
      </c>
      <c r="AA178" s="168"/>
      <c r="AB178" s="127"/>
      <c r="AC178" s="94"/>
      <c r="AD178" s="90"/>
      <c r="AE178" s="91"/>
      <c r="AF178" s="92"/>
      <c r="AG178" s="93"/>
      <c r="AH178" s="93"/>
      <c r="AI178" s="93"/>
      <c r="AJ178" s="93"/>
    </row>
    <row r="179" spans="1:36" x14ac:dyDescent="0.25">
      <c r="A179" s="88">
        <v>177</v>
      </c>
      <c r="B179" s="94" t="s">
        <v>875</v>
      </c>
      <c r="C179" s="90" t="s">
        <v>6</v>
      </c>
      <c r="D179" s="90" t="s">
        <v>87</v>
      </c>
      <c r="E179" s="92">
        <v>0</v>
      </c>
      <c r="F179" s="93">
        <v>55.800486914492183</v>
      </c>
      <c r="G179" s="93">
        <v>55.800486914492183</v>
      </c>
      <c r="H179" s="93"/>
      <c r="I179" s="93"/>
      <c r="J179" s="88">
        <v>177</v>
      </c>
      <c r="K179" s="94"/>
      <c r="L179" s="90"/>
      <c r="M179" s="91"/>
      <c r="N179" s="92"/>
      <c r="O179" s="93"/>
      <c r="P179" s="93"/>
      <c r="Q179" s="93"/>
      <c r="R179" s="165"/>
      <c r="S179" s="179">
        <f t="shared" si="2"/>
        <v>177</v>
      </c>
      <c r="T179" s="94" t="s">
        <v>700</v>
      </c>
      <c r="U179" s="90" t="s">
        <v>6</v>
      </c>
      <c r="V179" s="91" t="s">
        <v>58</v>
      </c>
      <c r="W179" s="92">
        <v>2</v>
      </c>
      <c r="X179" s="93">
        <v>47.751602901196883</v>
      </c>
      <c r="Y179" s="93">
        <v>56.662055838726765</v>
      </c>
      <c r="Z179" s="180">
        <v>55.74779204912118</v>
      </c>
      <c r="AA179" s="168"/>
      <c r="AB179" s="127"/>
      <c r="AC179" s="94"/>
      <c r="AD179" s="90"/>
      <c r="AE179" s="91"/>
      <c r="AF179" s="92"/>
      <c r="AG179" s="93"/>
      <c r="AH179" s="93"/>
      <c r="AI179" s="93"/>
      <c r="AJ179" s="93"/>
    </row>
    <row r="180" spans="1:36" x14ac:dyDescent="0.25">
      <c r="A180" s="88">
        <v>178</v>
      </c>
      <c r="B180" s="89" t="s">
        <v>757</v>
      </c>
      <c r="C180" s="90" t="s">
        <v>6</v>
      </c>
      <c r="D180" s="91" t="s">
        <v>67</v>
      </c>
      <c r="E180" s="92">
        <v>0</v>
      </c>
      <c r="F180" s="93">
        <v>52.892098891671964</v>
      </c>
      <c r="G180" s="93">
        <v>52.892098891671964</v>
      </c>
      <c r="H180" s="93"/>
      <c r="I180" s="93"/>
      <c r="J180" s="88">
        <v>178</v>
      </c>
      <c r="K180" s="94"/>
      <c r="L180" s="90"/>
      <c r="M180" s="91"/>
      <c r="N180" s="92"/>
      <c r="O180" s="93"/>
      <c r="P180" s="93"/>
      <c r="Q180" s="93"/>
      <c r="R180" s="165"/>
      <c r="S180" s="179">
        <f t="shared" si="2"/>
        <v>178</v>
      </c>
      <c r="T180" s="94" t="s">
        <v>1201</v>
      </c>
      <c r="U180" s="90" t="s">
        <v>6</v>
      </c>
      <c r="V180" s="91" t="s">
        <v>62</v>
      </c>
      <c r="W180" s="92">
        <v>1</v>
      </c>
      <c r="X180" s="93">
        <v>0</v>
      </c>
      <c r="Y180" s="93">
        <v>56.632612660142833</v>
      </c>
      <c r="Z180" s="180">
        <v>55.718823947405383</v>
      </c>
      <c r="AA180" s="168"/>
      <c r="AB180" s="127"/>
      <c r="AC180" s="94"/>
      <c r="AD180" s="90"/>
      <c r="AE180" s="91"/>
      <c r="AF180" s="92"/>
      <c r="AG180" s="93"/>
      <c r="AH180" s="93"/>
      <c r="AI180" s="93"/>
      <c r="AJ180" s="93"/>
    </row>
    <row r="181" spans="1:36" x14ac:dyDescent="0.25">
      <c r="A181" s="88">
        <v>179</v>
      </c>
      <c r="B181" s="89" t="s">
        <v>723</v>
      </c>
      <c r="C181" s="90" t="s">
        <v>6</v>
      </c>
      <c r="D181" s="91" t="s">
        <v>67</v>
      </c>
      <c r="E181" s="92">
        <v>0</v>
      </c>
      <c r="F181" s="93">
        <v>60.328448077557226</v>
      </c>
      <c r="G181" s="93">
        <v>60.328448077557226</v>
      </c>
      <c r="H181" s="93"/>
      <c r="I181" s="93"/>
      <c r="J181" s="88">
        <v>179</v>
      </c>
      <c r="K181" s="94"/>
      <c r="L181" s="90"/>
      <c r="M181" s="91"/>
      <c r="N181" s="92"/>
      <c r="O181" s="93"/>
      <c r="P181" s="93"/>
      <c r="Q181" s="93"/>
      <c r="R181" s="165"/>
      <c r="S181" s="179">
        <f t="shared" si="2"/>
        <v>179</v>
      </c>
      <c r="T181" s="94" t="s">
        <v>490</v>
      </c>
      <c r="U181" s="90" t="s">
        <v>6</v>
      </c>
      <c r="V181" s="91" t="s">
        <v>62</v>
      </c>
      <c r="W181" s="92">
        <v>2</v>
      </c>
      <c r="X181" s="93">
        <v>51.408897759115767</v>
      </c>
      <c r="Y181" s="93">
        <v>56.565803823164913</v>
      </c>
      <c r="Z181" s="180">
        <v>55.653093096384211</v>
      </c>
      <c r="AA181" s="168"/>
      <c r="AB181" s="127"/>
      <c r="AC181" s="94"/>
      <c r="AD181" s="90"/>
      <c r="AE181" s="91"/>
      <c r="AF181" s="92"/>
      <c r="AG181" s="93"/>
      <c r="AH181" s="93"/>
      <c r="AI181" s="93"/>
      <c r="AJ181" s="93"/>
    </row>
    <row r="182" spans="1:36" x14ac:dyDescent="0.25">
      <c r="A182" s="88">
        <v>180</v>
      </c>
      <c r="B182" s="89" t="s">
        <v>465</v>
      </c>
      <c r="C182" s="90" t="s">
        <v>6</v>
      </c>
      <c r="D182" s="91" t="s">
        <v>88</v>
      </c>
      <c r="E182" s="92">
        <v>0</v>
      </c>
      <c r="F182" s="93">
        <v>56.186666306419866</v>
      </c>
      <c r="G182" s="93">
        <v>56.186666306419866</v>
      </c>
      <c r="H182" s="93"/>
      <c r="I182" s="93"/>
      <c r="J182" s="88">
        <v>180</v>
      </c>
      <c r="K182" s="94"/>
      <c r="L182" s="90"/>
      <c r="M182" s="91"/>
      <c r="N182" s="92"/>
      <c r="O182" s="93"/>
      <c r="P182" s="93"/>
      <c r="Q182" s="93"/>
      <c r="R182" s="165"/>
      <c r="S182" s="179">
        <f t="shared" si="2"/>
        <v>180</v>
      </c>
      <c r="T182" s="94" t="s">
        <v>996</v>
      </c>
      <c r="U182" s="90" t="s">
        <v>6</v>
      </c>
      <c r="V182" s="91" t="s">
        <v>67</v>
      </c>
      <c r="W182" s="92">
        <v>1</v>
      </c>
      <c r="X182" s="93">
        <v>0</v>
      </c>
      <c r="Y182" s="93">
        <v>56.530976070307005</v>
      </c>
      <c r="Z182" s="180">
        <v>55.618827302545263</v>
      </c>
      <c r="AA182" s="168"/>
      <c r="AB182" s="127"/>
      <c r="AC182" s="94"/>
      <c r="AD182" s="90"/>
      <c r="AE182" s="91"/>
      <c r="AF182" s="92"/>
      <c r="AG182" s="93"/>
      <c r="AH182" s="93"/>
      <c r="AI182" s="93"/>
      <c r="AJ182" s="93"/>
    </row>
    <row r="183" spans="1:36" x14ac:dyDescent="0.25">
      <c r="A183" s="88">
        <v>181</v>
      </c>
      <c r="B183" s="89" t="s">
        <v>720</v>
      </c>
      <c r="C183" s="90" t="s">
        <v>6</v>
      </c>
      <c r="D183" s="91" t="s">
        <v>61</v>
      </c>
      <c r="E183" s="92">
        <v>0</v>
      </c>
      <c r="F183" s="93">
        <v>57.326166620501759</v>
      </c>
      <c r="G183" s="93">
        <v>57.326166620501759</v>
      </c>
      <c r="H183" s="93"/>
      <c r="I183" s="93"/>
      <c r="J183" s="88">
        <v>181</v>
      </c>
      <c r="K183" s="94"/>
      <c r="L183" s="90"/>
      <c r="M183" s="91"/>
      <c r="N183" s="92"/>
      <c r="O183" s="93"/>
      <c r="P183" s="93"/>
      <c r="Q183" s="93"/>
      <c r="R183" s="165"/>
      <c r="S183" s="179">
        <f t="shared" si="2"/>
        <v>181</v>
      </c>
      <c r="T183" s="94" t="s">
        <v>411</v>
      </c>
      <c r="U183" s="90" t="s">
        <v>6</v>
      </c>
      <c r="V183" s="91" t="s">
        <v>143</v>
      </c>
      <c r="W183" s="92">
        <v>2</v>
      </c>
      <c r="X183" s="93">
        <v>52.571291503624565</v>
      </c>
      <c r="Y183" s="93">
        <v>56.418739356973049</v>
      </c>
      <c r="Z183" s="180">
        <v>55.508401571205283</v>
      </c>
      <c r="AA183" s="168"/>
      <c r="AB183" s="127"/>
      <c r="AC183" s="94"/>
      <c r="AD183" s="90"/>
      <c r="AE183" s="91"/>
      <c r="AF183" s="92"/>
      <c r="AG183" s="93"/>
      <c r="AH183" s="93"/>
      <c r="AI183" s="93"/>
      <c r="AJ183" s="93"/>
    </row>
    <row r="184" spans="1:36" x14ac:dyDescent="0.25">
      <c r="A184" s="88">
        <v>182</v>
      </c>
      <c r="B184" s="89" t="s">
        <v>329</v>
      </c>
      <c r="C184" s="90" t="s">
        <v>6</v>
      </c>
      <c r="D184" s="91" t="s">
        <v>57</v>
      </c>
      <c r="E184" s="92">
        <v>0</v>
      </c>
      <c r="F184" s="93">
        <v>35.205333381012913</v>
      </c>
      <c r="G184" s="93">
        <v>35.205333381012913</v>
      </c>
      <c r="H184" s="93"/>
      <c r="I184" s="93"/>
      <c r="J184" s="88">
        <v>182</v>
      </c>
      <c r="K184" s="94"/>
      <c r="L184" s="90"/>
      <c r="M184" s="91"/>
      <c r="N184" s="92"/>
      <c r="O184" s="93"/>
      <c r="P184" s="93"/>
      <c r="Q184" s="93"/>
      <c r="R184" s="165"/>
      <c r="S184" s="179">
        <f t="shared" si="2"/>
        <v>182</v>
      </c>
      <c r="T184" s="94" t="s">
        <v>830</v>
      </c>
      <c r="U184" s="90" t="s">
        <v>6</v>
      </c>
      <c r="V184" s="91" t="s">
        <v>122</v>
      </c>
      <c r="W184" s="92">
        <v>2</v>
      </c>
      <c r="X184" s="93">
        <v>46.805698483503036</v>
      </c>
      <c r="Y184" s="93">
        <v>56.385645926429007</v>
      </c>
      <c r="Z184" s="180">
        <v>55.47584211573102</v>
      </c>
      <c r="AA184" s="168"/>
      <c r="AB184" s="127"/>
      <c r="AC184" s="94"/>
      <c r="AD184" s="90"/>
      <c r="AE184" s="91"/>
      <c r="AF184" s="92"/>
      <c r="AG184" s="93"/>
      <c r="AH184" s="93"/>
      <c r="AI184" s="93"/>
      <c r="AJ184" s="93"/>
    </row>
    <row r="185" spans="1:36" x14ac:dyDescent="0.25">
      <c r="A185" s="88">
        <v>183</v>
      </c>
      <c r="B185" s="89" t="s">
        <v>959</v>
      </c>
      <c r="C185" s="90" t="s">
        <v>6</v>
      </c>
      <c r="D185" s="91" t="s">
        <v>69</v>
      </c>
      <c r="E185" s="92">
        <v>0</v>
      </c>
      <c r="F185" s="93">
        <v>47.616188533523349</v>
      </c>
      <c r="G185" s="93">
        <v>47.616188533523349</v>
      </c>
      <c r="H185" s="93"/>
      <c r="I185" s="93"/>
      <c r="J185" s="88">
        <v>183</v>
      </c>
      <c r="K185" s="94"/>
      <c r="L185" s="90"/>
      <c r="M185" s="91"/>
      <c r="N185" s="92"/>
      <c r="O185" s="93"/>
      <c r="P185" s="93"/>
      <c r="Q185" s="93"/>
      <c r="R185" s="165"/>
      <c r="S185" s="179">
        <f t="shared" si="2"/>
        <v>183</v>
      </c>
      <c r="T185" s="94" t="s">
        <v>1349</v>
      </c>
      <c r="U185" s="90" t="s">
        <v>6</v>
      </c>
      <c r="V185" s="91" t="s">
        <v>87</v>
      </c>
      <c r="W185" s="92">
        <v>2</v>
      </c>
      <c r="X185" s="93">
        <v>0</v>
      </c>
      <c r="Y185" s="93">
        <v>56.344603020248513</v>
      </c>
      <c r="Z185" s="180">
        <v>55.435461452428683</v>
      </c>
      <c r="AA185" s="168"/>
      <c r="AB185" s="127"/>
      <c r="AC185" s="94"/>
      <c r="AD185" s="90"/>
      <c r="AE185" s="91"/>
      <c r="AF185" s="92"/>
      <c r="AG185" s="93"/>
      <c r="AH185" s="93"/>
      <c r="AI185" s="93"/>
      <c r="AJ185" s="93"/>
    </row>
    <row r="186" spans="1:36" x14ac:dyDescent="0.25">
      <c r="A186" s="88">
        <v>184</v>
      </c>
      <c r="B186" s="89" t="s">
        <v>907</v>
      </c>
      <c r="C186" s="90" t="s">
        <v>6</v>
      </c>
      <c r="D186" s="91" t="s">
        <v>88</v>
      </c>
      <c r="E186" s="92">
        <v>0</v>
      </c>
      <c r="F186" s="93">
        <v>51.9619471013281</v>
      </c>
      <c r="G186" s="93">
        <v>51.9619471013281</v>
      </c>
      <c r="H186" s="93"/>
      <c r="I186" s="93"/>
      <c r="J186" s="88">
        <v>184</v>
      </c>
      <c r="K186" s="94"/>
      <c r="L186" s="90"/>
      <c r="M186" s="91"/>
      <c r="N186" s="92"/>
      <c r="O186" s="93"/>
      <c r="P186" s="93"/>
      <c r="Q186" s="93"/>
      <c r="R186" s="165"/>
      <c r="S186" s="179">
        <f t="shared" si="2"/>
        <v>184</v>
      </c>
      <c r="T186" s="94" t="s">
        <v>792</v>
      </c>
      <c r="U186" s="90" t="s">
        <v>6</v>
      </c>
      <c r="V186" s="91" t="s">
        <v>88</v>
      </c>
      <c r="W186" s="92">
        <v>4</v>
      </c>
      <c r="X186" s="93">
        <v>53.962552466274587</v>
      </c>
      <c r="Y186" s="93">
        <v>56.153737775893589</v>
      </c>
      <c r="Z186" s="180">
        <v>55.24767589127665</v>
      </c>
      <c r="AA186" s="168"/>
      <c r="AB186" s="127"/>
      <c r="AC186" s="94"/>
      <c r="AD186" s="90"/>
      <c r="AE186" s="91"/>
      <c r="AF186" s="92"/>
      <c r="AG186" s="93"/>
      <c r="AH186" s="93"/>
      <c r="AI186" s="93"/>
      <c r="AJ186" s="93"/>
    </row>
    <row r="187" spans="1:36" x14ac:dyDescent="0.25">
      <c r="A187" s="88">
        <v>185</v>
      </c>
      <c r="B187" s="89" t="s">
        <v>94</v>
      </c>
      <c r="C187" s="90" t="s">
        <v>6</v>
      </c>
      <c r="D187" s="91" t="s">
        <v>63</v>
      </c>
      <c r="E187" s="92">
        <v>0</v>
      </c>
      <c r="F187" s="93">
        <v>64.193321890375088</v>
      </c>
      <c r="G187" s="93">
        <v>64.193321890375088</v>
      </c>
      <c r="H187" s="93"/>
      <c r="I187" s="93"/>
      <c r="J187" s="88">
        <v>185</v>
      </c>
      <c r="K187" s="94"/>
      <c r="L187" s="90"/>
      <c r="M187" s="91"/>
      <c r="N187" s="92"/>
      <c r="O187" s="93"/>
      <c r="P187" s="93"/>
      <c r="Q187" s="93"/>
      <c r="R187" s="165"/>
      <c r="S187" s="179">
        <f t="shared" si="2"/>
        <v>185</v>
      </c>
      <c r="T187" s="94" t="s">
        <v>710</v>
      </c>
      <c r="U187" s="90" t="s">
        <v>6</v>
      </c>
      <c r="V187" s="91" t="s">
        <v>67</v>
      </c>
      <c r="W187" s="92">
        <v>8</v>
      </c>
      <c r="X187" s="93">
        <v>48.874975733917452</v>
      </c>
      <c r="Y187" s="93">
        <v>56.137458777164014</v>
      </c>
      <c r="Z187" s="180">
        <v>55.231659560373878</v>
      </c>
      <c r="AA187" s="168"/>
      <c r="AB187" s="127"/>
      <c r="AC187" s="94"/>
      <c r="AD187" s="90"/>
      <c r="AE187" s="91"/>
      <c r="AF187" s="92"/>
      <c r="AG187" s="93"/>
      <c r="AH187" s="93"/>
      <c r="AI187" s="93"/>
      <c r="AJ187" s="93"/>
    </row>
    <row r="188" spans="1:36" x14ac:dyDescent="0.25">
      <c r="A188" s="88">
        <v>186</v>
      </c>
      <c r="B188" s="89" t="s">
        <v>729</v>
      </c>
      <c r="C188" s="90" t="s">
        <v>6</v>
      </c>
      <c r="D188" s="91" t="s">
        <v>88</v>
      </c>
      <c r="E188" s="92">
        <v>4</v>
      </c>
      <c r="F188" s="93">
        <v>68.642687944653403</v>
      </c>
      <c r="G188" s="93">
        <v>72.442202338406162</v>
      </c>
      <c r="H188" s="93"/>
      <c r="I188" s="93"/>
      <c r="J188" s="88">
        <v>186</v>
      </c>
      <c r="K188" s="94"/>
      <c r="L188" s="90"/>
      <c r="M188" s="91"/>
      <c r="N188" s="92"/>
      <c r="O188" s="93"/>
      <c r="P188" s="93"/>
      <c r="Q188" s="93"/>
      <c r="R188" s="165"/>
      <c r="S188" s="179">
        <f t="shared" si="2"/>
        <v>186</v>
      </c>
      <c r="T188" s="94" t="s">
        <v>1054</v>
      </c>
      <c r="U188" s="90" t="s">
        <v>6</v>
      </c>
      <c r="V188" s="91" t="s">
        <v>59</v>
      </c>
      <c r="W188" s="92">
        <v>4</v>
      </c>
      <c r="X188" s="93">
        <v>0</v>
      </c>
      <c r="Y188" s="93">
        <v>56.040810294379547</v>
      </c>
      <c r="Z188" s="180">
        <v>55.1365705375635</v>
      </c>
      <c r="AA188" s="168"/>
      <c r="AB188" s="127"/>
      <c r="AC188" s="94"/>
      <c r="AD188" s="90"/>
      <c r="AE188" s="91"/>
      <c r="AF188" s="92"/>
      <c r="AG188" s="93"/>
      <c r="AH188" s="93"/>
      <c r="AI188" s="93"/>
      <c r="AJ188" s="93"/>
    </row>
    <row r="189" spans="1:36" x14ac:dyDescent="0.25">
      <c r="A189" s="88">
        <v>187</v>
      </c>
      <c r="B189" s="89" t="s">
        <v>798</v>
      </c>
      <c r="C189" s="90" t="s">
        <v>6</v>
      </c>
      <c r="D189" s="91" t="s">
        <v>62</v>
      </c>
      <c r="E189" s="92">
        <v>0</v>
      </c>
      <c r="F189" s="93">
        <v>57.599448090635022</v>
      </c>
      <c r="G189" s="93">
        <v>57.599448090635022</v>
      </c>
      <c r="H189" s="93"/>
      <c r="I189" s="93"/>
      <c r="J189" s="88">
        <v>187</v>
      </c>
      <c r="K189" s="94"/>
      <c r="L189" s="90"/>
      <c r="M189" s="91"/>
      <c r="N189" s="92"/>
      <c r="O189" s="93"/>
      <c r="P189" s="93"/>
      <c r="Q189" s="93"/>
      <c r="R189" s="165"/>
      <c r="S189" s="179">
        <f t="shared" si="2"/>
        <v>187</v>
      </c>
      <c r="T189" s="94" t="s">
        <v>1107</v>
      </c>
      <c r="U189" s="90" t="s">
        <v>16</v>
      </c>
      <c r="V189" s="91" t="s">
        <v>63</v>
      </c>
      <c r="W189" s="92">
        <v>2</v>
      </c>
      <c r="X189" s="93">
        <v>0</v>
      </c>
      <c r="Y189" s="93">
        <v>55.921841403973474</v>
      </c>
      <c r="Z189" s="180">
        <v>55.019521255385158</v>
      </c>
      <c r="AA189" s="168"/>
      <c r="AB189" s="127"/>
      <c r="AC189" s="94"/>
      <c r="AD189" s="90"/>
      <c r="AE189" s="91"/>
      <c r="AF189" s="92"/>
      <c r="AG189" s="93"/>
      <c r="AH189" s="93"/>
      <c r="AI189" s="93"/>
      <c r="AJ189" s="93"/>
    </row>
    <row r="190" spans="1:36" x14ac:dyDescent="0.25">
      <c r="A190" s="88">
        <v>188</v>
      </c>
      <c r="B190" s="89" t="s">
        <v>490</v>
      </c>
      <c r="C190" s="90" t="s">
        <v>6</v>
      </c>
      <c r="D190" s="91" t="s">
        <v>62</v>
      </c>
      <c r="E190" s="92">
        <v>0</v>
      </c>
      <c r="F190" s="93">
        <v>51.408897759115767</v>
      </c>
      <c r="G190" s="93">
        <v>51.408897759115767</v>
      </c>
      <c r="H190" s="93"/>
      <c r="I190" s="93"/>
      <c r="J190" s="88">
        <v>188</v>
      </c>
      <c r="K190" s="94"/>
      <c r="L190" s="90"/>
      <c r="M190" s="91"/>
      <c r="N190" s="92"/>
      <c r="O190" s="93"/>
      <c r="P190" s="93"/>
      <c r="Q190" s="93"/>
      <c r="R190" s="165"/>
      <c r="S190" s="179">
        <f t="shared" si="2"/>
        <v>188</v>
      </c>
      <c r="T190" s="94" t="s">
        <v>1057</v>
      </c>
      <c r="U190" s="90" t="s">
        <v>6</v>
      </c>
      <c r="V190" s="91" t="s">
        <v>87</v>
      </c>
      <c r="W190" s="92">
        <v>4</v>
      </c>
      <c r="X190" s="93">
        <v>54.920392320597955</v>
      </c>
      <c r="Y190" s="93">
        <v>55.804996393533287</v>
      </c>
      <c r="Z190" s="180">
        <v>54.904561583562852</v>
      </c>
      <c r="AA190" s="168"/>
      <c r="AB190" s="127"/>
      <c r="AC190" s="94"/>
      <c r="AD190" s="90"/>
      <c r="AE190" s="91"/>
      <c r="AF190" s="92"/>
      <c r="AG190" s="93"/>
      <c r="AH190" s="93"/>
      <c r="AI190" s="93"/>
      <c r="AJ190" s="93"/>
    </row>
    <row r="191" spans="1:36" x14ac:dyDescent="0.25">
      <c r="A191" s="88">
        <v>189</v>
      </c>
      <c r="B191" s="89" t="s">
        <v>225</v>
      </c>
      <c r="C191" s="90" t="s">
        <v>6</v>
      </c>
      <c r="D191" s="91" t="s">
        <v>87</v>
      </c>
      <c r="E191" s="92">
        <v>0</v>
      </c>
      <c r="F191" s="93">
        <v>43.181857403404642</v>
      </c>
      <c r="G191" s="93">
        <v>43.181857403404642</v>
      </c>
      <c r="H191" s="93"/>
      <c r="I191" s="93"/>
      <c r="J191" s="88">
        <v>189</v>
      </c>
      <c r="K191" s="94"/>
      <c r="L191" s="90"/>
      <c r="M191" s="91"/>
      <c r="N191" s="92"/>
      <c r="O191" s="93"/>
      <c r="P191" s="93"/>
      <c r="Q191" s="93"/>
      <c r="R191" s="165"/>
      <c r="S191" s="179">
        <f t="shared" si="2"/>
        <v>189</v>
      </c>
      <c r="T191" s="94" t="s">
        <v>914</v>
      </c>
      <c r="U191" s="90" t="s">
        <v>6</v>
      </c>
      <c r="V191" s="91" t="s">
        <v>63</v>
      </c>
      <c r="W191" s="92">
        <v>2</v>
      </c>
      <c r="X191" s="93">
        <v>51.513881346722151</v>
      </c>
      <c r="Y191" s="93">
        <v>55.793830017873262</v>
      </c>
      <c r="Z191" s="180">
        <v>54.893575381614781</v>
      </c>
      <c r="AA191" s="168"/>
      <c r="AB191" s="127"/>
      <c r="AC191" s="94"/>
      <c r="AD191" s="90"/>
      <c r="AE191" s="91"/>
      <c r="AF191" s="92"/>
      <c r="AG191" s="93"/>
      <c r="AH191" s="93"/>
      <c r="AI191" s="93"/>
      <c r="AJ191" s="93"/>
    </row>
    <row r="192" spans="1:36" x14ac:dyDescent="0.25">
      <c r="A192" s="88">
        <v>190</v>
      </c>
      <c r="B192" s="89" t="s">
        <v>774</v>
      </c>
      <c r="C192" s="90" t="s">
        <v>16</v>
      </c>
      <c r="D192" s="91" t="s">
        <v>63</v>
      </c>
      <c r="E192" s="92">
        <v>2</v>
      </c>
      <c r="F192" s="93">
        <v>61.077198295781812</v>
      </c>
      <c r="G192" s="93">
        <v>71.319535937863435</v>
      </c>
      <c r="H192" s="93"/>
      <c r="I192" s="93"/>
      <c r="J192" s="88">
        <v>190</v>
      </c>
      <c r="K192" s="94"/>
      <c r="L192" s="90"/>
      <c r="M192" s="91"/>
      <c r="N192" s="92"/>
      <c r="O192" s="93"/>
      <c r="P192" s="93"/>
      <c r="Q192" s="93"/>
      <c r="R192" s="165"/>
      <c r="S192" s="179">
        <f t="shared" si="2"/>
        <v>190</v>
      </c>
      <c r="T192" s="94" t="s">
        <v>184</v>
      </c>
      <c r="U192" s="90" t="s">
        <v>6</v>
      </c>
      <c r="V192" s="91" t="s">
        <v>57</v>
      </c>
      <c r="W192" s="92">
        <v>2</v>
      </c>
      <c r="X192" s="93">
        <v>52.046323388447334</v>
      </c>
      <c r="Y192" s="93">
        <v>55.726568353197351</v>
      </c>
      <c r="Z192" s="180">
        <v>54.827399009442495</v>
      </c>
      <c r="AA192" s="168"/>
      <c r="AB192" s="127"/>
      <c r="AC192" s="94"/>
      <c r="AD192" s="90"/>
      <c r="AE192" s="91"/>
      <c r="AF192" s="92"/>
      <c r="AG192" s="93"/>
      <c r="AH192" s="93"/>
      <c r="AI192" s="93"/>
      <c r="AJ192" s="93"/>
    </row>
    <row r="193" spans="1:36" x14ac:dyDescent="0.25">
      <c r="A193" s="88">
        <v>191</v>
      </c>
      <c r="B193" s="89" t="s">
        <v>680</v>
      </c>
      <c r="C193" s="90" t="s">
        <v>6</v>
      </c>
      <c r="D193" s="91" t="s">
        <v>77</v>
      </c>
      <c r="E193" s="92">
        <v>0</v>
      </c>
      <c r="F193" s="93">
        <v>44.469678092686884</v>
      </c>
      <c r="G193" s="93">
        <v>44.469678092686884</v>
      </c>
      <c r="H193" s="93"/>
      <c r="I193" s="93"/>
      <c r="J193" s="88">
        <v>191</v>
      </c>
      <c r="K193" s="94"/>
      <c r="L193" s="90"/>
      <c r="M193" s="91"/>
      <c r="N193" s="92"/>
      <c r="O193" s="93"/>
      <c r="P193" s="93"/>
      <c r="Q193" s="93"/>
      <c r="R193" s="165"/>
      <c r="S193" s="179">
        <f t="shared" si="2"/>
        <v>191</v>
      </c>
      <c r="T193" s="94" t="s">
        <v>1046</v>
      </c>
      <c r="U193" s="90" t="s">
        <v>16</v>
      </c>
      <c r="V193" s="91" t="s">
        <v>58</v>
      </c>
      <c r="W193" s="92">
        <v>1</v>
      </c>
      <c r="X193" s="93">
        <v>0</v>
      </c>
      <c r="Y193" s="93">
        <v>55.446606937245257</v>
      </c>
      <c r="Z193" s="180">
        <v>54.551954877258225</v>
      </c>
      <c r="AA193" s="168"/>
      <c r="AB193" s="127"/>
      <c r="AC193" s="94"/>
      <c r="AD193" s="90"/>
      <c r="AE193" s="91"/>
      <c r="AF193" s="92"/>
      <c r="AG193" s="93"/>
      <c r="AH193" s="93"/>
      <c r="AI193" s="93"/>
      <c r="AJ193" s="93"/>
    </row>
    <row r="194" spans="1:36" x14ac:dyDescent="0.25">
      <c r="A194" s="88">
        <v>192</v>
      </c>
      <c r="B194" s="89" t="s">
        <v>413</v>
      </c>
      <c r="C194" s="90" t="s">
        <v>6</v>
      </c>
      <c r="D194" s="91" t="s">
        <v>76</v>
      </c>
      <c r="E194" s="92">
        <v>0</v>
      </c>
      <c r="F194" s="93">
        <v>45.966335435575111</v>
      </c>
      <c r="G194" s="93">
        <v>45.966335435575111</v>
      </c>
      <c r="H194" s="93"/>
      <c r="I194" s="93"/>
      <c r="J194" s="88">
        <v>192</v>
      </c>
      <c r="K194" s="94"/>
      <c r="L194" s="90"/>
      <c r="M194" s="91"/>
      <c r="N194" s="92"/>
      <c r="O194" s="93"/>
      <c r="P194" s="195"/>
      <c r="Q194" s="93"/>
      <c r="R194" s="165"/>
      <c r="S194" s="179">
        <f t="shared" si="2"/>
        <v>192</v>
      </c>
      <c r="T194" s="94" t="s">
        <v>300</v>
      </c>
      <c r="U194" s="90" t="s">
        <v>6</v>
      </c>
      <c r="V194" s="91" t="s">
        <v>59</v>
      </c>
      <c r="W194" s="92">
        <v>2</v>
      </c>
      <c r="X194" s="93">
        <v>47.053782402994266</v>
      </c>
      <c r="Y194" s="93">
        <v>55.423869144186341</v>
      </c>
      <c r="Z194" s="180">
        <v>54.529583967125483</v>
      </c>
      <c r="AA194" s="168"/>
      <c r="AB194" s="127"/>
      <c r="AC194" s="94"/>
      <c r="AD194" s="90"/>
      <c r="AE194" s="91"/>
      <c r="AF194" s="92"/>
      <c r="AG194" s="93"/>
      <c r="AH194" s="93"/>
      <c r="AI194" s="93"/>
      <c r="AJ194" s="93"/>
    </row>
    <row r="195" spans="1:36" x14ac:dyDescent="0.25">
      <c r="A195" s="88">
        <v>193</v>
      </c>
      <c r="B195" s="89" t="s">
        <v>1018</v>
      </c>
      <c r="C195" s="90" t="s">
        <v>6</v>
      </c>
      <c r="D195" s="91" t="s">
        <v>62</v>
      </c>
      <c r="E195" s="92">
        <v>1</v>
      </c>
      <c r="F195" s="93">
        <v>0</v>
      </c>
      <c r="G195" s="93">
        <v>55.192586848526851</v>
      </c>
      <c r="H195" s="93"/>
      <c r="I195" s="93"/>
      <c r="J195" s="88">
        <v>193</v>
      </c>
      <c r="K195" s="94"/>
      <c r="L195" s="90"/>
      <c r="M195" s="91"/>
      <c r="N195" s="92"/>
      <c r="O195" s="93"/>
      <c r="P195" s="93"/>
      <c r="Q195" s="93"/>
      <c r="R195" s="165"/>
      <c r="S195" s="179">
        <f t="shared" si="2"/>
        <v>193</v>
      </c>
      <c r="T195" s="94" t="s">
        <v>892</v>
      </c>
      <c r="U195" s="90" t="s">
        <v>6</v>
      </c>
      <c r="V195" s="91" t="s">
        <v>143</v>
      </c>
      <c r="W195" s="92">
        <v>2</v>
      </c>
      <c r="X195" s="93">
        <v>45.442720739462018</v>
      </c>
      <c r="Y195" s="93">
        <v>55.323268433636983</v>
      </c>
      <c r="Z195" s="180">
        <v>54.430606487246152</v>
      </c>
      <c r="AA195" s="168"/>
      <c r="AB195" s="127"/>
      <c r="AC195" s="94"/>
      <c r="AD195" s="90"/>
      <c r="AE195" s="91"/>
      <c r="AF195" s="92"/>
      <c r="AG195" s="93"/>
      <c r="AH195" s="93"/>
      <c r="AI195" s="93"/>
      <c r="AJ195" s="93"/>
    </row>
    <row r="196" spans="1:36" x14ac:dyDescent="0.25">
      <c r="A196" s="88">
        <v>194</v>
      </c>
      <c r="B196" s="89" t="s">
        <v>881</v>
      </c>
      <c r="C196" s="90" t="s">
        <v>6</v>
      </c>
      <c r="D196" s="91" t="s">
        <v>88</v>
      </c>
      <c r="E196" s="92">
        <v>0</v>
      </c>
      <c r="F196" s="93">
        <v>44.278313510549403</v>
      </c>
      <c r="G196" s="93">
        <v>44.278313510549403</v>
      </c>
      <c r="H196" s="93"/>
      <c r="I196" s="93"/>
      <c r="J196" s="88">
        <v>194</v>
      </c>
      <c r="K196" s="94"/>
      <c r="L196" s="90"/>
      <c r="M196" s="91"/>
      <c r="N196" s="92"/>
      <c r="O196" s="93"/>
      <c r="P196" s="93"/>
      <c r="Q196" s="93"/>
      <c r="R196" s="165"/>
      <c r="S196" s="179">
        <f t="shared" si="2"/>
        <v>194</v>
      </c>
      <c r="T196" s="94" t="s">
        <v>1221</v>
      </c>
      <c r="U196" s="90" t="s">
        <v>6</v>
      </c>
      <c r="V196" s="91" t="s">
        <v>88</v>
      </c>
      <c r="W196" s="92">
        <v>1</v>
      </c>
      <c r="X196" s="93">
        <v>0</v>
      </c>
      <c r="Y196" s="93">
        <v>55.29479825173896</v>
      </c>
      <c r="Z196" s="180">
        <v>54.402595682545218</v>
      </c>
      <c r="AA196" s="168"/>
      <c r="AB196" s="127"/>
      <c r="AC196" s="94"/>
      <c r="AD196" s="90"/>
      <c r="AE196" s="91"/>
      <c r="AF196" s="92"/>
      <c r="AG196" s="93"/>
      <c r="AH196" s="93"/>
      <c r="AI196" s="93"/>
      <c r="AJ196" s="93"/>
    </row>
    <row r="197" spans="1:36" x14ac:dyDescent="0.25">
      <c r="A197" s="88">
        <v>195</v>
      </c>
      <c r="B197" s="89" t="s">
        <v>664</v>
      </c>
      <c r="C197" s="90" t="s">
        <v>6</v>
      </c>
      <c r="D197" s="91" t="s">
        <v>62</v>
      </c>
      <c r="E197" s="92">
        <v>0</v>
      </c>
      <c r="F197" s="93">
        <v>60.9207907589808</v>
      </c>
      <c r="G197" s="93">
        <v>60.9207907589808</v>
      </c>
      <c r="H197" s="93"/>
      <c r="I197" s="93"/>
      <c r="J197" s="88">
        <v>195</v>
      </c>
      <c r="K197" s="94"/>
      <c r="L197" s="90"/>
      <c r="M197" s="91"/>
      <c r="N197" s="92"/>
      <c r="O197" s="93"/>
      <c r="P197" s="93"/>
      <c r="Q197" s="93"/>
      <c r="R197" s="165"/>
      <c r="S197" s="179">
        <f t="shared" ref="S197:S260" si="3">S196+1</f>
        <v>195</v>
      </c>
      <c r="T197" s="94" t="s">
        <v>821</v>
      </c>
      <c r="U197" s="90" t="s">
        <v>6</v>
      </c>
      <c r="V197" s="91" t="s">
        <v>87</v>
      </c>
      <c r="W197" s="92">
        <v>2</v>
      </c>
      <c r="X197" s="93">
        <v>0</v>
      </c>
      <c r="Y197" s="93">
        <v>55.283418279232407</v>
      </c>
      <c r="Z197" s="180">
        <v>54.391399330216856</v>
      </c>
      <c r="AA197" s="168"/>
      <c r="AB197" s="127"/>
      <c r="AC197" s="94"/>
      <c r="AD197" s="90"/>
      <c r="AE197" s="91"/>
      <c r="AF197" s="92"/>
      <c r="AG197" s="93"/>
      <c r="AH197" s="93"/>
      <c r="AI197" s="93"/>
      <c r="AJ197" s="93"/>
    </row>
    <row r="198" spans="1:36" x14ac:dyDescent="0.25">
      <c r="A198" s="88">
        <v>196</v>
      </c>
      <c r="B198" s="89" t="s">
        <v>803</v>
      </c>
      <c r="C198" s="90" t="s">
        <v>6</v>
      </c>
      <c r="D198" s="91" t="s">
        <v>62</v>
      </c>
      <c r="E198" s="92">
        <v>0</v>
      </c>
      <c r="F198" s="93">
        <v>55.267797279066791</v>
      </c>
      <c r="G198" s="93">
        <v>55.267797279066791</v>
      </c>
      <c r="H198" s="93"/>
      <c r="I198" s="93"/>
      <c r="J198" s="88">
        <v>196</v>
      </c>
      <c r="K198" s="94"/>
      <c r="L198" s="90"/>
      <c r="M198" s="91"/>
      <c r="N198" s="92"/>
      <c r="O198" s="93"/>
      <c r="P198" s="91"/>
      <c r="Q198" s="93"/>
      <c r="R198" s="165"/>
      <c r="S198" s="179">
        <f t="shared" si="3"/>
        <v>196</v>
      </c>
      <c r="T198" s="94" t="s">
        <v>1018</v>
      </c>
      <c r="U198" s="90" t="s">
        <v>6</v>
      </c>
      <c r="V198" s="91" t="s">
        <v>62</v>
      </c>
      <c r="W198" s="92">
        <v>2</v>
      </c>
      <c r="X198" s="93">
        <v>0</v>
      </c>
      <c r="Y198" s="93">
        <v>55.246668569910909</v>
      </c>
      <c r="Z198" s="180">
        <v>54.355242591411752</v>
      </c>
      <c r="AA198" s="168"/>
      <c r="AB198" s="127"/>
      <c r="AC198" s="94"/>
      <c r="AD198" s="90"/>
      <c r="AE198" s="91"/>
      <c r="AF198" s="92"/>
      <c r="AG198" s="93"/>
      <c r="AH198" s="93"/>
      <c r="AI198" s="93"/>
      <c r="AJ198" s="93"/>
    </row>
    <row r="199" spans="1:36" x14ac:dyDescent="0.25">
      <c r="A199" s="88">
        <v>197</v>
      </c>
      <c r="B199" s="89" t="s">
        <v>517</v>
      </c>
      <c r="C199" s="90" t="s">
        <v>6</v>
      </c>
      <c r="D199" s="91" t="s">
        <v>96</v>
      </c>
      <c r="E199" s="92">
        <v>0</v>
      </c>
      <c r="F199" s="93">
        <v>49.545191421478684</v>
      </c>
      <c r="G199" s="93">
        <v>49.545191421478684</v>
      </c>
      <c r="H199" s="93"/>
      <c r="I199" s="93"/>
      <c r="J199" s="88">
        <v>197</v>
      </c>
      <c r="K199" s="94"/>
      <c r="L199" s="90"/>
      <c r="M199" s="91"/>
      <c r="N199" s="92"/>
      <c r="O199" s="93"/>
      <c r="P199" s="93"/>
      <c r="Q199" s="93"/>
      <c r="R199" s="165"/>
      <c r="S199" s="179">
        <f t="shared" si="3"/>
        <v>197</v>
      </c>
      <c r="T199" s="94" t="s">
        <v>1083</v>
      </c>
      <c r="U199" s="90" t="s">
        <v>6</v>
      </c>
      <c r="V199" s="91" t="s">
        <v>69</v>
      </c>
      <c r="W199" s="92">
        <v>5</v>
      </c>
      <c r="X199" s="93">
        <v>48.09327047457699</v>
      </c>
      <c r="Y199" s="93">
        <v>55.236718644648327</v>
      </c>
      <c r="Z199" s="180">
        <v>54.345453211971986</v>
      </c>
      <c r="AA199" s="168"/>
      <c r="AB199" s="127"/>
      <c r="AC199" s="94"/>
      <c r="AD199" s="90"/>
      <c r="AE199" s="91"/>
      <c r="AF199" s="92"/>
      <c r="AG199" s="93"/>
      <c r="AH199" s="93"/>
      <c r="AI199" s="93"/>
      <c r="AJ199" s="93"/>
    </row>
    <row r="200" spans="1:36" x14ac:dyDescent="0.25">
      <c r="A200" s="88">
        <v>198</v>
      </c>
      <c r="B200" s="89" t="s">
        <v>217</v>
      </c>
      <c r="C200" s="90" t="s">
        <v>6</v>
      </c>
      <c r="D200" s="91" t="s">
        <v>62</v>
      </c>
      <c r="E200" s="92">
        <v>0</v>
      </c>
      <c r="F200" s="93">
        <v>57.614561830609397</v>
      </c>
      <c r="G200" s="93">
        <v>57.614561830609397</v>
      </c>
      <c r="H200" s="93"/>
      <c r="I200" s="93"/>
      <c r="J200" s="88">
        <v>198</v>
      </c>
      <c r="K200" s="94"/>
      <c r="L200" s="90"/>
      <c r="M200" s="91"/>
      <c r="N200" s="92"/>
      <c r="O200" s="93"/>
      <c r="P200" s="93"/>
      <c r="Q200" s="93"/>
      <c r="R200" s="165"/>
      <c r="S200" s="179">
        <f t="shared" si="3"/>
        <v>198</v>
      </c>
      <c r="T200" s="94" t="s">
        <v>907</v>
      </c>
      <c r="U200" s="90" t="s">
        <v>6</v>
      </c>
      <c r="V200" s="91" t="s">
        <v>88</v>
      </c>
      <c r="W200" s="92">
        <v>4</v>
      </c>
      <c r="X200" s="93">
        <v>51.9619471013281</v>
      </c>
      <c r="Y200" s="93">
        <v>55.185006824939052</v>
      </c>
      <c r="Z200" s="180">
        <v>54.29457578211241</v>
      </c>
      <c r="AA200" s="168"/>
      <c r="AB200" s="127"/>
      <c r="AC200" s="94"/>
      <c r="AD200" s="90"/>
      <c r="AE200" s="91"/>
      <c r="AF200" s="92"/>
      <c r="AG200" s="93"/>
      <c r="AH200" s="93"/>
      <c r="AI200" s="93"/>
      <c r="AJ200" s="93"/>
    </row>
    <row r="201" spans="1:36" x14ac:dyDescent="0.25">
      <c r="A201" s="88">
        <v>199</v>
      </c>
      <c r="B201" s="89" t="s">
        <v>725</v>
      </c>
      <c r="C201" s="90" t="s">
        <v>6</v>
      </c>
      <c r="D201" s="91" t="s">
        <v>87</v>
      </c>
      <c r="E201" s="92">
        <v>0</v>
      </c>
      <c r="F201" s="93">
        <v>36.910937332193264</v>
      </c>
      <c r="G201" s="93">
        <v>36.910937332193264</v>
      </c>
      <c r="H201" s="93"/>
      <c r="I201" s="93"/>
      <c r="J201" s="88">
        <v>199</v>
      </c>
      <c r="K201" s="94"/>
      <c r="L201" s="90"/>
      <c r="M201" s="91"/>
      <c r="N201" s="92"/>
      <c r="O201" s="93"/>
      <c r="P201" s="93"/>
      <c r="Q201" s="93"/>
      <c r="R201" s="165"/>
      <c r="S201" s="179">
        <f t="shared" si="3"/>
        <v>199</v>
      </c>
      <c r="T201" s="94" t="s">
        <v>507</v>
      </c>
      <c r="U201" s="90" t="s">
        <v>6</v>
      </c>
      <c r="V201" s="91" t="s">
        <v>122</v>
      </c>
      <c r="W201" s="92">
        <v>1</v>
      </c>
      <c r="X201" s="93">
        <v>50.128881320376735</v>
      </c>
      <c r="Y201" s="93">
        <v>55.074463542166264</v>
      </c>
      <c r="Z201" s="180">
        <v>54.185816157188377</v>
      </c>
      <c r="AA201" s="168"/>
      <c r="AB201" s="127"/>
      <c r="AC201" s="94"/>
      <c r="AD201" s="90"/>
      <c r="AE201" s="91"/>
      <c r="AF201" s="92"/>
      <c r="AG201" s="93"/>
      <c r="AH201" s="93"/>
      <c r="AI201" s="93"/>
      <c r="AJ201" s="93"/>
    </row>
    <row r="202" spans="1:36" x14ac:dyDescent="0.25">
      <c r="A202" s="88">
        <v>200</v>
      </c>
      <c r="B202" s="89" t="s">
        <v>837</v>
      </c>
      <c r="C202" s="90" t="s">
        <v>6</v>
      </c>
      <c r="D202" s="91" t="s">
        <v>62</v>
      </c>
      <c r="E202" s="92">
        <v>0</v>
      </c>
      <c r="F202" s="93">
        <v>34.2148751045547</v>
      </c>
      <c r="G202" s="93">
        <v>34.2148751045547</v>
      </c>
      <c r="H202" s="93"/>
      <c r="I202" s="93"/>
      <c r="J202" s="88">
        <v>200</v>
      </c>
      <c r="K202" s="94"/>
      <c r="L202" s="90"/>
      <c r="M202" s="91"/>
      <c r="N202" s="92"/>
      <c r="O202" s="93"/>
      <c r="P202" s="93"/>
      <c r="Q202" s="93"/>
      <c r="R202" s="165"/>
      <c r="S202" s="179">
        <f t="shared" si="3"/>
        <v>200</v>
      </c>
      <c r="T202" s="94" t="s">
        <v>1344</v>
      </c>
      <c r="U202" s="90" t="s">
        <v>6</v>
      </c>
      <c r="V202" s="91" t="s">
        <v>87</v>
      </c>
      <c r="W202" s="92">
        <v>1</v>
      </c>
      <c r="X202" s="93">
        <v>0</v>
      </c>
      <c r="Y202" s="93">
        <v>54.99227869532227</v>
      </c>
      <c r="Z202" s="180">
        <v>54.104957394059689</v>
      </c>
      <c r="AA202" s="168"/>
      <c r="AB202" s="127"/>
      <c r="AC202" s="94"/>
      <c r="AD202" s="90"/>
      <c r="AE202" s="91"/>
      <c r="AF202" s="92"/>
      <c r="AG202" s="93"/>
      <c r="AH202" s="93"/>
      <c r="AI202" s="93"/>
      <c r="AJ202" s="93"/>
    </row>
    <row r="203" spans="1:36" x14ac:dyDescent="0.25">
      <c r="A203" s="88">
        <v>201</v>
      </c>
      <c r="B203" s="89" t="s">
        <v>731</v>
      </c>
      <c r="C203" s="90" t="s">
        <v>6</v>
      </c>
      <c r="D203" s="91" t="s">
        <v>57</v>
      </c>
      <c r="E203" s="92">
        <v>0</v>
      </c>
      <c r="F203" s="93">
        <v>45.896656893682632</v>
      </c>
      <c r="G203" s="93">
        <v>45.896656893682632</v>
      </c>
      <c r="H203" s="93"/>
      <c r="I203" s="93"/>
      <c r="J203" s="88">
        <v>201</v>
      </c>
      <c r="K203" s="94"/>
      <c r="L203" s="90"/>
      <c r="M203" s="91"/>
      <c r="N203" s="92"/>
      <c r="O203" s="93"/>
      <c r="P203" s="93"/>
      <c r="Q203" s="93"/>
      <c r="R203" s="165"/>
      <c r="S203" s="179">
        <f t="shared" si="3"/>
        <v>201</v>
      </c>
      <c r="T203" s="94" t="s">
        <v>815</v>
      </c>
      <c r="U203" s="90" t="s">
        <v>6</v>
      </c>
      <c r="V203" s="91" t="s">
        <v>88</v>
      </c>
      <c r="W203" s="92">
        <v>3</v>
      </c>
      <c r="X203" s="93">
        <v>53.711512965544983</v>
      </c>
      <c r="Y203" s="93">
        <v>54.922823434871511</v>
      </c>
      <c r="Z203" s="180">
        <v>54.036622820613445</v>
      </c>
      <c r="AA203" s="168"/>
      <c r="AB203" s="127"/>
      <c r="AC203" s="94"/>
      <c r="AD203" s="90"/>
      <c r="AE203" s="91"/>
      <c r="AF203" s="92"/>
      <c r="AG203" s="93"/>
      <c r="AH203" s="93"/>
      <c r="AI203" s="93"/>
      <c r="AJ203" s="93"/>
    </row>
    <row r="204" spans="1:36" x14ac:dyDescent="0.25">
      <c r="A204" s="88">
        <v>202</v>
      </c>
      <c r="B204" s="94" t="s">
        <v>1008</v>
      </c>
      <c r="C204" s="90" t="s">
        <v>6</v>
      </c>
      <c r="D204" s="91" t="s">
        <v>67</v>
      </c>
      <c r="E204" s="92">
        <v>1</v>
      </c>
      <c r="F204" s="93">
        <v>0</v>
      </c>
      <c r="G204" s="93">
        <v>60.999032801433962</v>
      </c>
      <c r="H204" s="93"/>
      <c r="I204" s="93"/>
      <c r="J204" s="88">
        <v>202</v>
      </c>
      <c r="K204" s="94"/>
      <c r="L204" s="90"/>
      <c r="M204" s="91"/>
      <c r="N204" s="92"/>
      <c r="O204" s="93"/>
      <c r="P204" s="93"/>
      <c r="Q204" s="93"/>
      <c r="R204" s="165"/>
      <c r="S204" s="179">
        <f t="shared" si="3"/>
        <v>202</v>
      </c>
      <c r="T204" s="94" t="s">
        <v>97</v>
      </c>
      <c r="U204" s="90" t="s">
        <v>6</v>
      </c>
      <c r="V204" s="91" t="s">
        <v>96</v>
      </c>
      <c r="W204" s="92">
        <v>2</v>
      </c>
      <c r="X204" s="93">
        <v>54.035970497750959</v>
      </c>
      <c r="Y204" s="93">
        <v>54.853749500948666</v>
      </c>
      <c r="Z204" s="180">
        <v>53.968663420846781</v>
      </c>
      <c r="AA204" s="168"/>
      <c r="AB204" s="127"/>
      <c r="AC204" s="94"/>
      <c r="AD204" s="90"/>
      <c r="AE204" s="91"/>
      <c r="AF204" s="92"/>
      <c r="AG204" s="93"/>
      <c r="AH204" s="93"/>
      <c r="AI204" s="93"/>
      <c r="AJ204" s="93"/>
    </row>
    <row r="205" spans="1:36" x14ac:dyDescent="0.25">
      <c r="A205" s="88">
        <v>203</v>
      </c>
      <c r="B205" s="94" t="s">
        <v>286</v>
      </c>
      <c r="C205" s="90" t="s">
        <v>6</v>
      </c>
      <c r="D205" s="91" t="s">
        <v>69</v>
      </c>
      <c r="E205" s="92">
        <v>0</v>
      </c>
      <c r="F205" s="93">
        <v>65.022067464120298</v>
      </c>
      <c r="G205" s="93">
        <v>65.022067464120298</v>
      </c>
      <c r="H205" s="93"/>
      <c r="I205" s="93"/>
      <c r="J205" s="88">
        <v>203</v>
      </c>
      <c r="K205" s="94"/>
      <c r="L205" s="90"/>
      <c r="M205" s="91"/>
      <c r="N205" s="92"/>
      <c r="O205" s="93"/>
      <c r="P205" s="93"/>
      <c r="Q205" s="93"/>
      <c r="R205" s="165"/>
      <c r="S205" s="179">
        <f t="shared" si="3"/>
        <v>203</v>
      </c>
      <c r="T205" s="94" t="s">
        <v>917</v>
      </c>
      <c r="U205" s="90" t="s">
        <v>6</v>
      </c>
      <c r="V205" s="91" t="s">
        <v>932</v>
      </c>
      <c r="W205" s="92">
        <v>4</v>
      </c>
      <c r="X205" s="93">
        <v>45.986216168141205</v>
      </c>
      <c r="Y205" s="93">
        <v>54.642940569261199</v>
      </c>
      <c r="Z205" s="180">
        <v>53.761255971331366</v>
      </c>
      <c r="AA205" s="168"/>
      <c r="AB205" s="127"/>
      <c r="AC205" s="94"/>
      <c r="AD205" s="90"/>
      <c r="AE205" s="91"/>
      <c r="AF205" s="92"/>
      <c r="AG205" s="93"/>
      <c r="AH205" s="93"/>
      <c r="AI205" s="93"/>
      <c r="AJ205" s="93"/>
    </row>
    <row r="206" spans="1:36" x14ac:dyDescent="0.25">
      <c r="A206" s="88">
        <v>204</v>
      </c>
      <c r="B206" s="89" t="s">
        <v>825</v>
      </c>
      <c r="C206" s="90" t="s">
        <v>6</v>
      </c>
      <c r="D206" s="91" t="s">
        <v>88</v>
      </c>
      <c r="E206" s="92">
        <v>0</v>
      </c>
      <c r="F206" s="93">
        <v>47.857249998406772</v>
      </c>
      <c r="G206" s="93">
        <v>47.857249998406772</v>
      </c>
      <c r="H206" s="93"/>
      <c r="I206" s="93"/>
      <c r="J206" s="88">
        <v>204</v>
      </c>
      <c r="K206" s="94"/>
      <c r="L206" s="90"/>
      <c r="M206" s="91"/>
      <c r="N206" s="92"/>
      <c r="O206" s="93"/>
      <c r="P206" s="93"/>
      <c r="Q206" s="93"/>
      <c r="R206" s="165"/>
      <c r="S206" s="179">
        <f t="shared" si="3"/>
        <v>204</v>
      </c>
      <c r="T206" s="94" t="s">
        <v>1091</v>
      </c>
      <c r="U206" s="90" t="s">
        <v>6</v>
      </c>
      <c r="V206" s="91" t="s">
        <v>88</v>
      </c>
      <c r="W206" s="92">
        <v>2</v>
      </c>
      <c r="X206" s="93">
        <v>0</v>
      </c>
      <c r="Y206" s="93">
        <v>54.588925319852223</v>
      </c>
      <c r="Z206" s="180">
        <v>53.708112278485068</v>
      </c>
      <c r="AA206" s="168"/>
      <c r="AB206" s="127"/>
      <c r="AC206" s="94"/>
      <c r="AD206" s="90"/>
      <c r="AE206" s="91"/>
      <c r="AF206" s="92"/>
      <c r="AG206" s="93"/>
      <c r="AH206" s="93"/>
      <c r="AI206" s="93"/>
      <c r="AJ206" s="93"/>
    </row>
    <row r="207" spans="1:36" x14ac:dyDescent="0.25">
      <c r="A207" s="88">
        <v>205</v>
      </c>
      <c r="B207" s="89" t="s">
        <v>299</v>
      </c>
      <c r="C207" s="90" t="s">
        <v>6</v>
      </c>
      <c r="D207" s="91" t="s">
        <v>96</v>
      </c>
      <c r="E207" s="92">
        <v>0</v>
      </c>
      <c r="F207" s="93">
        <v>48.774033778538787</v>
      </c>
      <c r="G207" s="93">
        <v>48.774033778538787</v>
      </c>
      <c r="H207" s="93"/>
      <c r="I207" s="93"/>
      <c r="J207" s="88">
        <v>205</v>
      </c>
      <c r="K207" s="94"/>
      <c r="L207" s="90"/>
      <c r="M207" s="91"/>
      <c r="N207" s="92"/>
      <c r="O207" s="93"/>
      <c r="P207" s="93"/>
      <c r="Q207" s="93"/>
      <c r="R207" s="165"/>
      <c r="S207" s="179">
        <f t="shared" si="3"/>
        <v>205</v>
      </c>
      <c r="T207" s="94" t="s">
        <v>800</v>
      </c>
      <c r="U207" s="90" t="s">
        <v>6</v>
      </c>
      <c r="V207" s="91" t="s">
        <v>62</v>
      </c>
      <c r="W207" s="92">
        <v>1</v>
      </c>
      <c r="X207" s="93">
        <v>58.263114292057047</v>
      </c>
      <c r="Y207" s="93">
        <v>54.555194706293719</v>
      </c>
      <c r="Z207" s="180">
        <v>53.674925921186258</v>
      </c>
      <c r="AA207" s="168"/>
      <c r="AB207" s="127"/>
      <c r="AC207" s="94"/>
      <c r="AD207" s="90"/>
      <c r="AE207" s="91"/>
      <c r="AF207" s="92"/>
      <c r="AG207" s="93"/>
      <c r="AH207" s="93"/>
      <c r="AI207" s="93"/>
      <c r="AJ207" s="93"/>
    </row>
    <row r="208" spans="1:36" x14ac:dyDescent="0.25">
      <c r="A208" s="88">
        <v>206</v>
      </c>
      <c r="B208" s="89" t="s">
        <v>889</v>
      </c>
      <c r="C208" s="90" t="s">
        <v>6</v>
      </c>
      <c r="D208" s="91" t="s">
        <v>63</v>
      </c>
      <c r="E208" s="92">
        <v>0</v>
      </c>
      <c r="F208" s="93">
        <v>52.977265574777022</v>
      </c>
      <c r="G208" s="93">
        <v>52.977265574777022</v>
      </c>
      <c r="H208" s="93"/>
      <c r="I208" s="93"/>
      <c r="J208" s="88">
        <v>206</v>
      </c>
      <c r="K208" s="94"/>
      <c r="L208" s="90"/>
      <c r="M208" s="91"/>
      <c r="N208" s="92"/>
      <c r="O208" s="93"/>
      <c r="P208" s="93"/>
      <c r="Q208" s="93"/>
      <c r="R208" s="165"/>
      <c r="S208" s="179">
        <f t="shared" si="3"/>
        <v>206</v>
      </c>
      <c r="T208" s="94" t="s">
        <v>1111</v>
      </c>
      <c r="U208" s="90" t="s">
        <v>6</v>
      </c>
      <c r="V208" s="91" t="s">
        <v>63</v>
      </c>
      <c r="W208" s="92">
        <v>2</v>
      </c>
      <c r="X208" s="93">
        <v>45.893597632545209</v>
      </c>
      <c r="Y208" s="93">
        <v>54.49956190669171</v>
      </c>
      <c r="Z208" s="180">
        <v>53.620190777933594</v>
      </c>
      <c r="AA208" s="168"/>
      <c r="AB208" s="127"/>
      <c r="AC208" s="94"/>
      <c r="AD208" s="90"/>
      <c r="AE208" s="91"/>
      <c r="AF208" s="92"/>
      <c r="AG208" s="93"/>
      <c r="AH208" s="93"/>
      <c r="AI208" s="93"/>
      <c r="AJ208" s="93"/>
    </row>
    <row r="209" spans="1:36" x14ac:dyDescent="0.25">
      <c r="A209" s="88">
        <v>207</v>
      </c>
      <c r="B209" s="89" t="s">
        <v>928</v>
      </c>
      <c r="C209" s="90" t="s">
        <v>6</v>
      </c>
      <c r="D209" s="91" t="s">
        <v>159</v>
      </c>
      <c r="E209" s="92">
        <v>0</v>
      </c>
      <c r="F209" s="93">
        <v>28.828514546275404</v>
      </c>
      <c r="G209" s="93">
        <v>28.828514546275404</v>
      </c>
      <c r="H209" s="93"/>
      <c r="I209" s="93"/>
      <c r="J209" s="88">
        <v>207</v>
      </c>
      <c r="K209" s="94"/>
      <c r="L209" s="90"/>
      <c r="M209" s="91"/>
      <c r="N209" s="92"/>
      <c r="O209" s="93"/>
      <c r="P209" s="93"/>
      <c r="Q209" s="93"/>
      <c r="R209" s="165"/>
      <c r="S209" s="179">
        <f t="shared" si="3"/>
        <v>207</v>
      </c>
      <c r="T209" s="94" t="s">
        <v>751</v>
      </c>
      <c r="U209" s="90" t="s">
        <v>6</v>
      </c>
      <c r="V209" s="91" t="s">
        <v>88</v>
      </c>
      <c r="W209" s="92">
        <v>1</v>
      </c>
      <c r="X209" s="93">
        <v>55.050726803545487</v>
      </c>
      <c r="Y209" s="93">
        <v>54.420067040886281</v>
      </c>
      <c r="Z209" s="180">
        <v>53.541978591977845</v>
      </c>
      <c r="AA209" s="168"/>
      <c r="AB209" s="127"/>
      <c r="AC209" s="94"/>
      <c r="AD209" s="90"/>
      <c r="AE209" s="91"/>
      <c r="AF209" s="92"/>
      <c r="AG209" s="93"/>
      <c r="AH209" s="93"/>
      <c r="AI209" s="93"/>
      <c r="AJ209" s="93"/>
    </row>
    <row r="210" spans="1:36" x14ac:dyDescent="0.25">
      <c r="A210" s="88">
        <v>208</v>
      </c>
      <c r="B210" s="89" t="s">
        <v>788</v>
      </c>
      <c r="C210" s="90" t="s">
        <v>6</v>
      </c>
      <c r="D210" s="91" t="s">
        <v>88</v>
      </c>
      <c r="E210" s="92">
        <v>0</v>
      </c>
      <c r="F210" s="93">
        <v>62.02919256713249</v>
      </c>
      <c r="G210" s="93">
        <v>62.02919256713249</v>
      </c>
      <c r="H210" s="93"/>
      <c r="I210" s="93"/>
      <c r="J210" s="88">
        <v>208</v>
      </c>
      <c r="K210" s="94"/>
      <c r="L210" s="90"/>
      <c r="M210" s="91"/>
      <c r="N210" s="92"/>
      <c r="O210" s="93"/>
      <c r="P210" s="93"/>
      <c r="Q210" s="93"/>
      <c r="R210" s="165"/>
      <c r="S210" s="179">
        <f t="shared" si="3"/>
        <v>208</v>
      </c>
      <c r="T210" s="94" t="s">
        <v>1308</v>
      </c>
      <c r="U210" s="90" t="s">
        <v>6</v>
      </c>
      <c r="V210" s="91" t="s">
        <v>69</v>
      </c>
      <c r="W210" s="92">
        <v>1</v>
      </c>
      <c r="X210" s="93">
        <v>0</v>
      </c>
      <c r="Y210" s="93">
        <v>54.416823853784699</v>
      </c>
      <c r="Z210" s="180">
        <v>53.538787734931816</v>
      </c>
      <c r="AA210" s="168"/>
      <c r="AB210" s="127"/>
      <c r="AC210" s="94"/>
      <c r="AD210" s="90"/>
      <c r="AE210" s="91"/>
      <c r="AF210" s="92"/>
      <c r="AG210" s="93"/>
      <c r="AH210" s="93"/>
      <c r="AI210" s="93"/>
      <c r="AJ210" s="93"/>
    </row>
    <row r="211" spans="1:36" x14ac:dyDescent="0.25">
      <c r="A211" s="88">
        <v>209</v>
      </c>
      <c r="B211" s="89" t="s">
        <v>507</v>
      </c>
      <c r="C211" s="90" t="s">
        <v>6</v>
      </c>
      <c r="D211" s="91" t="s">
        <v>122</v>
      </c>
      <c r="E211" s="92">
        <v>0</v>
      </c>
      <c r="F211" s="93">
        <v>50.128881320376735</v>
      </c>
      <c r="G211" s="93">
        <v>50.128881320376735</v>
      </c>
      <c r="H211" s="93"/>
      <c r="I211" s="93"/>
      <c r="J211" s="88">
        <v>209</v>
      </c>
      <c r="K211" s="94"/>
      <c r="L211" s="90"/>
      <c r="M211" s="91"/>
      <c r="N211" s="92"/>
      <c r="O211" s="93"/>
      <c r="P211" s="93"/>
      <c r="Q211" s="93"/>
      <c r="R211" s="165"/>
      <c r="S211" s="179">
        <f t="shared" si="3"/>
        <v>209</v>
      </c>
      <c r="T211" s="94" t="s">
        <v>1146</v>
      </c>
      <c r="U211" s="90" t="s">
        <v>6</v>
      </c>
      <c r="V211" s="91" t="s">
        <v>75</v>
      </c>
      <c r="W211" s="92">
        <v>4</v>
      </c>
      <c r="X211" s="93">
        <v>0</v>
      </c>
      <c r="Y211" s="93">
        <v>54.287002934553755</v>
      </c>
      <c r="Z211" s="180">
        <v>53.411061525534983</v>
      </c>
      <c r="AA211" s="168"/>
      <c r="AB211" s="127"/>
      <c r="AC211" s="94"/>
      <c r="AD211" s="90"/>
      <c r="AE211" s="91"/>
      <c r="AF211" s="92"/>
      <c r="AG211" s="93"/>
      <c r="AH211" s="93"/>
      <c r="AI211" s="93"/>
      <c r="AJ211" s="93"/>
    </row>
    <row r="212" spans="1:36" x14ac:dyDescent="0.25">
      <c r="A212" s="88">
        <v>210</v>
      </c>
      <c r="B212" s="89" t="s">
        <v>1045</v>
      </c>
      <c r="C212" s="90" t="s">
        <v>16</v>
      </c>
      <c r="D212" s="91" t="s">
        <v>61</v>
      </c>
      <c r="E212" s="92">
        <v>2</v>
      </c>
      <c r="F212" s="93">
        <v>0</v>
      </c>
      <c r="G212" s="93">
        <v>62.571315957794674</v>
      </c>
      <c r="H212" s="93"/>
      <c r="I212" s="93"/>
      <c r="J212" s="88">
        <v>210</v>
      </c>
      <c r="K212" s="94"/>
      <c r="L212" s="90"/>
      <c r="M212" s="91"/>
      <c r="N212" s="92"/>
      <c r="O212" s="93"/>
      <c r="P212" s="93"/>
      <c r="Q212" s="93"/>
      <c r="R212" s="165"/>
      <c r="S212" s="179">
        <f t="shared" si="3"/>
        <v>210</v>
      </c>
      <c r="T212" s="94" t="s">
        <v>939</v>
      </c>
      <c r="U212" s="90" t="s">
        <v>6</v>
      </c>
      <c r="V212" s="91" t="s">
        <v>65</v>
      </c>
      <c r="W212" s="92">
        <v>5</v>
      </c>
      <c r="X212" s="93">
        <v>50.943424350252634</v>
      </c>
      <c r="Y212" s="93">
        <v>54.266570002724805</v>
      </c>
      <c r="Z212" s="180">
        <v>53.39095828682094</v>
      </c>
      <c r="AA212" s="168"/>
      <c r="AB212" s="127"/>
      <c r="AC212" s="94"/>
      <c r="AD212" s="90"/>
      <c r="AE212" s="91"/>
      <c r="AF212" s="92"/>
      <c r="AG212" s="93"/>
      <c r="AH212" s="93"/>
      <c r="AI212" s="93"/>
      <c r="AJ212" s="93"/>
    </row>
    <row r="213" spans="1:36" x14ac:dyDescent="0.25">
      <c r="A213" s="88">
        <v>211</v>
      </c>
      <c r="B213" s="89" t="s">
        <v>722</v>
      </c>
      <c r="C213" s="90" t="s">
        <v>6</v>
      </c>
      <c r="D213" s="91" t="s">
        <v>66</v>
      </c>
      <c r="E213" s="92">
        <v>0</v>
      </c>
      <c r="F213" s="93">
        <v>44.608346815591638</v>
      </c>
      <c r="G213" s="93">
        <v>44.608346815591638</v>
      </c>
      <c r="H213" s="93"/>
      <c r="I213" s="93"/>
      <c r="J213" s="88">
        <v>211</v>
      </c>
      <c r="K213" s="94"/>
      <c r="L213" s="90"/>
      <c r="M213" s="91"/>
      <c r="N213" s="92"/>
      <c r="O213" s="93"/>
      <c r="P213" s="93"/>
      <c r="Q213" s="93"/>
      <c r="R213" s="165"/>
      <c r="S213" s="179">
        <f t="shared" si="3"/>
        <v>211</v>
      </c>
      <c r="T213" s="94" t="s">
        <v>1214</v>
      </c>
      <c r="U213" s="90" t="s">
        <v>6</v>
      </c>
      <c r="V213" s="91" t="s">
        <v>69</v>
      </c>
      <c r="W213" s="92">
        <v>2</v>
      </c>
      <c r="X213" s="93">
        <v>0</v>
      </c>
      <c r="Y213" s="93">
        <v>54.246282886952606</v>
      </c>
      <c r="Z213" s="180">
        <v>53.370998511366196</v>
      </c>
      <c r="AA213" s="168"/>
      <c r="AB213" s="127"/>
      <c r="AC213" s="94"/>
      <c r="AD213" s="90"/>
      <c r="AE213" s="91"/>
      <c r="AF213" s="92"/>
      <c r="AG213" s="93"/>
      <c r="AH213" s="93"/>
      <c r="AI213" s="93"/>
      <c r="AJ213" s="93"/>
    </row>
    <row r="214" spans="1:36" x14ac:dyDescent="0.25">
      <c r="A214" s="88">
        <v>212</v>
      </c>
      <c r="B214" s="89" t="s">
        <v>74</v>
      </c>
      <c r="C214" s="90" t="s">
        <v>6</v>
      </c>
      <c r="D214" s="91" t="s">
        <v>63</v>
      </c>
      <c r="E214" s="92">
        <v>0</v>
      </c>
      <c r="F214" s="93">
        <v>36.389890673289152</v>
      </c>
      <c r="G214" s="93">
        <v>36.389890673289152</v>
      </c>
      <c r="H214" s="93"/>
      <c r="I214" s="93"/>
      <c r="J214" s="88">
        <v>212</v>
      </c>
      <c r="K214" s="94"/>
      <c r="L214" s="90"/>
      <c r="M214" s="91"/>
      <c r="N214" s="92"/>
      <c r="O214" s="93"/>
      <c r="P214" s="93"/>
      <c r="Q214" s="93"/>
      <c r="R214" s="165"/>
      <c r="S214" s="179">
        <f t="shared" si="3"/>
        <v>212</v>
      </c>
      <c r="T214" s="94" t="s">
        <v>1204</v>
      </c>
      <c r="U214" s="90" t="s">
        <v>6</v>
      </c>
      <c r="V214" s="91" t="s">
        <v>62</v>
      </c>
      <c r="W214" s="92">
        <v>1</v>
      </c>
      <c r="X214" s="93">
        <v>0</v>
      </c>
      <c r="Y214" s="93">
        <v>54.206325956580095</v>
      </c>
      <c r="Z214" s="180">
        <v>53.331686301239763</v>
      </c>
      <c r="AA214" s="168"/>
      <c r="AB214" s="127"/>
      <c r="AC214" s="94"/>
      <c r="AD214" s="90"/>
      <c r="AE214" s="91"/>
      <c r="AF214" s="92"/>
      <c r="AG214" s="93"/>
      <c r="AH214" s="93"/>
      <c r="AI214" s="93"/>
      <c r="AJ214" s="93"/>
    </row>
    <row r="215" spans="1:36" x14ac:dyDescent="0.25">
      <c r="A215" s="88">
        <v>213</v>
      </c>
      <c r="B215" s="89" t="s">
        <v>12</v>
      </c>
      <c r="C215" s="90" t="s">
        <v>6</v>
      </c>
      <c r="D215" s="91" t="s">
        <v>57</v>
      </c>
      <c r="E215" s="92">
        <v>0</v>
      </c>
      <c r="F215" s="93">
        <v>61.556524973626225</v>
      </c>
      <c r="G215" s="93">
        <v>61.556524973626225</v>
      </c>
      <c r="H215" s="93"/>
      <c r="I215" s="93"/>
      <c r="J215" s="88">
        <v>213</v>
      </c>
      <c r="K215" s="94"/>
      <c r="L215" s="90"/>
      <c r="M215" s="91"/>
      <c r="N215" s="92"/>
      <c r="O215" s="93"/>
      <c r="P215" s="93"/>
      <c r="Q215" s="93"/>
      <c r="R215" s="165"/>
      <c r="S215" s="179">
        <f t="shared" si="3"/>
        <v>213</v>
      </c>
      <c r="T215" s="94" t="s">
        <v>301</v>
      </c>
      <c r="U215" s="90" t="s">
        <v>6</v>
      </c>
      <c r="V215" s="91" t="s">
        <v>96</v>
      </c>
      <c r="W215" s="92">
        <v>2</v>
      </c>
      <c r="X215" s="93">
        <v>49.337749083784765</v>
      </c>
      <c r="Y215" s="93">
        <v>54.169281080393333</v>
      </c>
      <c r="Z215" s="180">
        <v>53.295239158198868</v>
      </c>
      <c r="AA215" s="168"/>
      <c r="AB215" s="127"/>
      <c r="AC215" s="94"/>
      <c r="AD215" s="90"/>
      <c r="AE215" s="91"/>
      <c r="AF215" s="92"/>
      <c r="AG215" s="93"/>
      <c r="AH215" s="93"/>
      <c r="AI215" s="93"/>
      <c r="AJ215" s="93"/>
    </row>
    <row r="216" spans="1:36" x14ac:dyDescent="0.25">
      <c r="A216" s="88">
        <v>214</v>
      </c>
      <c r="B216" s="89" t="s">
        <v>944</v>
      </c>
      <c r="C216" s="90" t="s">
        <v>6</v>
      </c>
      <c r="D216" s="91" t="s">
        <v>69</v>
      </c>
      <c r="E216" s="92">
        <v>0</v>
      </c>
      <c r="F216" s="93">
        <v>40.23789263870141</v>
      </c>
      <c r="G216" s="93">
        <v>40.23789263870141</v>
      </c>
      <c r="H216" s="93"/>
      <c r="I216" s="93"/>
      <c r="J216" s="88">
        <v>214</v>
      </c>
      <c r="K216" s="94"/>
      <c r="L216" s="90"/>
      <c r="M216" s="91"/>
      <c r="N216" s="92"/>
      <c r="O216" s="93"/>
      <c r="P216" s="93"/>
      <c r="Q216" s="93"/>
      <c r="R216" s="165"/>
      <c r="S216" s="179">
        <f t="shared" si="3"/>
        <v>214</v>
      </c>
      <c r="T216" s="94" t="s">
        <v>1196</v>
      </c>
      <c r="U216" s="90" t="s">
        <v>6</v>
      </c>
      <c r="V216" s="91" t="s">
        <v>62</v>
      </c>
      <c r="W216" s="92">
        <v>2</v>
      </c>
      <c r="X216" s="93">
        <v>0</v>
      </c>
      <c r="Y216" s="93">
        <v>54.05572325376879</v>
      </c>
      <c r="Z216" s="180">
        <v>53.183513630232973</v>
      </c>
      <c r="AA216" s="168"/>
      <c r="AB216" s="127"/>
      <c r="AC216" s="94"/>
      <c r="AD216" s="90"/>
      <c r="AE216" s="91"/>
      <c r="AF216" s="92"/>
      <c r="AG216" s="93"/>
      <c r="AH216" s="93"/>
      <c r="AI216" s="93"/>
      <c r="AJ216" s="93"/>
    </row>
    <row r="217" spans="1:36" x14ac:dyDescent="0.25">
      <c r="A217" s="88">
        <v>215</v>
      </c>
      <c r="B217" s="89" t="s">
        <v>829</v>
      </c>
      <c r="C217" s="90" t="s">
        <v>6</v>
      </c>
      <c r="D217" s="91" t="s">
        <v>159</v>
      </c>
      <c r="E217" s="92">
        <v>0</v>
      </c>
      <c r="F217" s="93">
        <v>51.07118350798013</v>
      </c>
      <c r="G217" s="93">
        <v>51.07118350798013</v>
      </c>
      <c r="H217" s="93"/>
      <c r="I217" s="93"/>
      <c r="J217" s="88">
        <v>215</v>
      </c>
      <c r="K217" s="94"/>
      <c r="L217" s="90"/>
      <c r="M217" s="91"/>
      <c r="N217" s="92"/>
      <c r="O217" s="93"/>
      <c r="P217" s="93"/>
      <c r="Q217" s="93"/>
      <c r="R217" s="165"/>
      <c r="S217" s="179">
        <f t="shared" si="3"/>
        <v>215</v>
      </c>
      <c r="T217" s="94" t="s">
        <v>299</v>
      </c>
      <c r="U217" s="90" t="s">
        <v>6</v>
      </c>
      <c r="V217" s="91" t="s">
        <v>96</v>
      </c>
      <c r="W217" s="92">
        <v>2</v>
      </c>
      <c r="X217" s="93">
        <v>48.774033778538787</v>
      </c>
      <c r="Y217" s="93">
        <v>54.030246930624543</v>
      </c>
      <c r="Z217" s="180">
        <v>53.158448377237846</v>
      </c>
      <c r="AA217" s="168"/>
      <c r="AB217" s="127"/>
      <c r="AC217" s="94"/>
      <c r="AD217" s="90"/>
      <c r="AE217" s="91"/>
      <c r="AF217" s="92"/>
      <c r="AG217" s="93"/>
      <c r="AH217" s="93"/>
      <c r="AI217" s="93"/>
      <c r="AJ217" s="93"/>
    </row>
    <row r="218" spans="1:36" x14ac:dyDescent="0.25">
      <c r="A218" s="88">
        <v>216</v>
      </c>
      <c r="B218" s="89" t="s">
        <v>826</v>
      </c>
      <c r="C218" s="90" t="s">
        <v>6</v>
      </c>
      <c r="D218" s="91" t="s">
        <v>63</v>
      </c>
      <c r="E218" s="92">
        <v>0</v>
      </c>
      <c r="F218" s="93">
        <v>57.37225017169083</v>
      </c>
      <c r="G218" s="93">
        <v>57.37225017169083</v>
      </c>
      <c r="H218" s="93"/>
      <c r="I218" s="93"/>
      <c r="J218" s="88"/>
      <c r="K218" s="94"/>
      <c r="L218" s="90"/>
      <c r="M218" s="91"/>
      <c r="N218" s="92"/>
      <c r="O218" s="93"/>
      <c r="P218" s="93"/>
      <c r="Q218" s="93"/>
      <c r="R218" s="165"/>
      <c r="S218" s="179">
        <f t="shared" si="3"/>
        <v>216</v>
      </c>
      <c r="T218" s="94" t="s">
        <v>401</v>
      </c>
      <c r="U218" s="90" t="s">
        <v>6</v>
      </c>
      <c r="V218" s="91" t="s">
        <v>59</v>
      </c>
      <c r="W218" s="92">
        <v>4</v>
      </c>
      <c r="X218" s="93">
        <v>49.43360583444634</v>
      </c>
      <c r="Y218" s="93">
        <v>54.028775808757416</v>
      </c>
      <c r="Z218" s="180">
        <v>53.157000992480732</v>
      </c>
      <c r="AA218" s="168"/>
      <c r="AB218" s="127"/>
      <c r="AC218" s="94"/>
      <c r="AD218" s="90"/>
      <c r="AE218" s="91"/>
      <c r="AF218" s="92"/>
      <c r="AG218" s="93"/>
      <c r="AH218" s="93"/>
      <c r="AI218" s="93"/>
      <c r="AJ218" s="93"/>
    </row>
    <row r="219" spans="1:36" x14ac:dyDescent="0.25">
      <c r="A219" s="88">
        <v>217</v>
      </c>
      <c r="B219" s="94" t="s">
        <v>694</v>
      </c>
      <c r="C219" s="90" t="s">
        <v>6</v>
      </c>
      <c r="D219" s="90" t="s">
        <v>67</v>
      </c>
      <c r="E219" s="92">
        <v>0</v>
      </c>
      <c r="F219" s="93">
        <v>73.634681818425506</v>
      </c>
      <c r="G219" s="93">
        <v>73.634681818425506</v>
      </c>
      <c r="H219" s="93"/>
      <c r="I219" s="93"/>
      <c r="J219" s="88"/>
      <c r="K219" s="94"/>
      <c r="L219" s="90"/>
      <c r="M219" s="91"/>
      <c r="N219" s="92"/>
      <c r="O219" s="93"/>
      <c r="P219" s="93"/>
      <c r="Q219" s="93"/>
      <c r="R219" s="165"/>
      <c r="S219" s="179">
        <f t="shared" si="3"/>
        <v>217</v>
      </c>
      <c r="T219" s="94" t="s">
        <v>1145</v>
      </c>
      <c r="U219" s="90" t="s">
        <v>6</v>
      </c>
      <c r="V219" s="91" t="s">
        <v>61</v>
      </c>
      <c r="W219" s="92">
        <v>2</v>
      </c>
      <c r="X219" s="93">
        <v>35.829740635167489</v>
      </c>
      <c r="Y219" s="93">
        <v>54.024085280017729</v>
      </c>
      <c r="Z219" s="180">
        <v>53.152386147203586</v>
      </c>
      <c r="AA219" s="168"/>
      <c r="AB219" s="127"/>
      <c r="AC219" s="94"/>
      <c r="AD219" s="90"/>
      <c r="AE219" s="91"/>
      <c r="AF219" s="92"/>
      <c r="AG219" s="93"/>
      <c r="AH219" s="93"/>
      <c r="AI219" s="93"/>
      <c r="AJ219" s="93"/>
    </row>
    <row r="220" spans="1:36" x14ac:dyDescent="0.25">
      <c r="A220" s="88">
        <v>218</v>
      </c>
      <c r="B220" s="89" t="s">
        <v>834</v>
      </c>
      <c r="C220" s="90" t="s">
        <v>6</v>
      </c>
      <c r="D220" s="91" t="s">
        <v>62</v>
      </c>
      <c r="E220" s="92">
        <v>0</v>
      </c>
      <c r="F220" s="93">
        <v>38.346926688971763</v>
      </c>
      <c r="G220" s="93">
        <v>38.346926688971763</v>
      </c>
      <c r="H220" s="93"/>
      <c r="I220" s="93"/>
      <c r="J220" s="88"/>
      <c r="K220" s="94"/>
      <c r="L220" s="90"/>
      <c r="M220" s="91"/>
      <c r="N220" s="92"/>
      <c r="O220" s="93"/>
      <c r="P220" s="93"/>
      <c r="Q220" s="93"/>
      <c r="R220" s="165"/>
      <c r="S220" s="179">
        <f t="shared" si="3"/>
        <v>218</v>
      </c>
      <c r="T220" s="94" t="s">
        <v>1094</v>
      </c>
      <c r="U220" s="90" t="s">
        <v>6</v>
      </c>
      <c r="V220" s="91" t="s">
        <v>69</v>
      </c>
      <c r="W220" s="92">
        <v>4</v>
      </c>
      <c r="X220" s="93">
        <v>53.610747506068513</v>
      </c>
      <c r="Y220" s="93">
        <v>54.004029175135521</v>
      </c>
      <c r="Z220" s="180">
        <v>53.132653655190396</v>
      </c>
      <c r="AA220" s="168"/>
      <c r="AB220" s="127"/>
      <c r="AC220" s="94"/>
      <c r="AD220" s="90"/>
      <c r="AE220" s="91"/>
      <c r="AF220" s="92"/>
      <c r="AG220" s="93"/>
      <c r="AH220" s="93"/>
      <c r="AI220" s="93"/>
      <c r="AJ220" s="93"/>
    </row>
    <row r="221" spans="1:36" x14ac:dyDescent="0.25">
      <c r="A221" s="88">
        <v>219</v>
      </c>
      <c r="B221" s="94" t="s">
        <v>925</v>
      </c>
      <c r="C221" s="90" t="s">
        <v>6</v>
      </c>
      <c r="D221" s="91" t="s">
        <v>57</v>
      </c>
      <c r="E221" s="92">
        <v>0</v>
      </c>
      <c r="F221" s="93">
        <v>32.752601332873503</v>
      </c>
      <c r="G221" s="93">
        <v>32.752601332873503</v>
      </c>
      <c r="H221" s="93"/>
      <c r="I221" s="93"/>
      <c r="J221" s="88"/>
      <c r="K221" s="94"/>
      <c r="L221" s="90"/>
      <c r="M221" s="91"/>
      <c r="N221" s="92"/>
      <c r="O221" s="93"/>
      <c r="P221" s="93"/>
      <c r="Q221" s="93"/>
      <c r="R221" s="165"/>
      <c r="S221" s="179">
        <f t="shared" si="3"/>
        <v>219</v>
      </c>
      <c r="T221" s="94" t="s">
        <v>743</v>
      </c>
      <c r="U221" s="90" t="s">
        <v>6</v>
      </c>
      <c r="V221" s="91" t="s">
        <v>69</v>
      </c>
      <c r="W221" s="92">
        <v>5</v>
      </c>
      <c r="X221" s="93">
        <v>58.824422672637624</v>
      </c>
      <c r="Y221" s="93">
        <v>53.979916903969709</v>
      </c>
      <c r="Z221" s="180">
        <v>53.108930444677</v>
      </c>
      <c r="AA221" s="168"/>
      <c r="AB221" s="127"/>
      <c r="AC221" s="94"/>
      <c r="AD221" s="90"/>
      <c r="AE221" s="91"/>
      <c r="AF221" s="92"/>
      <c r="AG221" s="93"/>
      <c r="AH221" s="93"/>
      <c r="AI221" s="93"/>
      <c r="AJ221" s="93"/>
    </row>
    <row r="222" spans="1:36" x14ac:dyDescent="0.25">
      <c r="A222" s="88">
        <v>220</v>
      </c>
      <c r="B222" s="89" t="s">
        <v>724</v>
      </c>
      <c r="C222" s="90" t="s">
        <v>6</v>
      </c>
      <c r="D222" s="91" t="s">
        <v>87</v>
      </c>
      <c r="E222" s="92">
        <v>0</v>
      </c>
      <c r="F222" s="93">
        <v>43.49732725275247</v>
      </c>
      <c r="G222" s="93">
        <v>43.49732725275247</v>
      </c>
      <c r="H222" s="93"/>
      <c r="I222" s="93"/>
      <c r="J222" s="88"/>
      <c r="K222" s="94"/>
      <c r="L222" s="90"/>
      <c r="M222" s="91"/>
      <c r="N222" s="92"/>
      <c r="O222" s="93"/>
      <c r="P222" s="93"/>
      <c r="Q222" s="93"/>
      <c r="R222" s="165"/>
      <c r="S222" s="179">
        <f t="shared" si="3"/>
        <v>220</v>
      </c>
      <c r="T222" s="94" t="s">
        <v>790</v>
      </c>
      <c r="U222" s="90" t="s">
        <v>6</v>
      </c>
      <c r="V222" s="91" t="s">
        <v>88</v>
      </c>
      <c r="W222" s="92">
        <v>2</v>
      </c>
      <c r="X222" s="93">
        <v>57.678604572299705</v>
      </c>
      <c r="Y222" s="93">
        <v>53.922280153091911</v>
      </c>
      <c r="Z222" s="180">
        <v>53.052223684663431</v>
      </c>
      <c r="AA222" s="168"/>
      <c r="AB222" s="127"/>
      <c r="AC222" s="94"/>
      <c r="AD222" s="90"/>
      <c r="AE222" s="91"/>
      <c r="AF222" s="92"/>
      <c r="AG222" s="93"/>
      <c r="AH222" s="93"/>
      <c r="AI222" s="93"/>
      <c r="AJ222" s="93"/>
    </row>
    <row r="223" spans="1:36" x14ac:dyDescent="0.25">
      <c r="A223" s="88">
        <v>221</v>
      </c>
      <c r="B223" s="89" t="s">
        <v>300</v>
      </c>
      <c r="C223" s="90" t="s">
        <v>6</v>
      </c>
      <c r="D223" s="91" t="s">
        <v>59</v>
      </c>
      <c r="E223" s="92">
        <v>0</v>
      </c>
      <c r="F223" s="93">
        <v>47.053782402994266</v>
      </c>
      <c r="G223" s="93">
        <v>47.053782402994266</v>
      </c>
      <c r="H223" s="93"/>
      <c r="I223" s="93"/>
      <c r="J223" s="88"/>
      <c r="K223" s="94"/>
      <c r="L223" s="90"/>
      <c r="M223" s="91"/>
      <c r="N223" s="92"/>
      <c r="O223" s="93"/>
      <c r="P223" s="93"/>
      <c r="Q223" s="93"/>
      <c r="R223" s="165"/>
      <c r="S223" s="179">
        <f t="shared" si="3"/>
        <v>221</v>
      </c>
      <c r="T223" s="94" t="s">
        <v>1134</v>
      </c>
      <c r="U223" s="90" t="s">
        <v>6</v>
      </c>
      <c r="V223" s="91" t="s">
        <v>88</v>
      </c>
      <c r="W223" s="92">
        <v>4</v>
      </c>
      <c r="X223" s="93">
        <v>0</v>
      </c>
      <c r="Y223" s="93">
        <v>53.863959200260837</v>
      </c>
      <c r="Z223" s="180">
        <v>52.994843762554929</v>
      </c>
      <c r="AA223" s="168"/>
      <c r="AB223" s="127"/>
      <c r="AC223" s="94"/>
      <c r="AD223" s="90"/>
      <c r="AE223" s="91"/>
      <c r="AF223" s="92"/>
      <c r="AG223" s="93"/>
      <c r="AH223" s="93"/>
      <c r="AI223" s="93"/>
      <c r="AJ223" s="93"/>
    </row>
    <row r="224" spans="1:36" x14ac:dyDescent="0.25">
      <c r="A224" s="88">
        <v>222</v>
      </c>
      <c r="B224" s="89" t="s">
        <v>938</v>
      </c>
      <c r="C224" s="90" t="s">
        <v>6</v>
      </c>
      <c r="D224" s="91" t="s">
        <v>57</v>
      </c>
      <c r="E224" s="92">
        <v>0</v>
      </c>
      <c r="F224" s="93">
        <v>50.088933085043358</v>
      </c>
      <c r="G224" s="93">
        <v>50.088933085043358</v>
      </c>
      <c r="H224" s="93"/>
      <c r="I224" s="93"/>
      <c r="J224" s="88"/>
      <c r="K224" s="94"/>
      <c r="L224" s="90"/>
      <c r="M224" s="91"/>
      <c r="N224" s="92"/>
      <c r="O224" s="93"/>
      <c r="P224" s="93"/>
      <c r="Q224" s="93"/>
      <c r="R224" s="165"/>
      <c r="S224" s="179">
        <f t="shared" si="3"/>
        <v>222</v>
      </c>
      <c r="T224" s="94" t="s">
        <v>783</v>
      </c>
      <c r="U224" s="90" t="s">
        <v>6</v>
      </c>
      <c r="V224" s="91" t="s">
        <v>87</v>
      </c>
      <c r="W224" s="92">
        <v>5</v>
      </c>
      <c r="X224" s="93">
        <v>52.397236396258847</v>
      </c>
      <c r="Y224" s="93">
        <v>53.780393126648981</v>
      </c>
      <c r="Z224" s="180">
        <v>52.912626059276839</v>
      </c>
      <c r="AA224" s="168"/>
      <c r="AB224" s="127"/>
      <c r="AC224" s="94"/>
      <c r="AD224" s="90"/>
      <c r="AE224" s="91"/>
      <c r="AF224" s="92"/>
      <c r="AG224" s="93"/>
      <c r="AH224" s="93"/>
      <c r="AI224" s="93"/>
      <c r="AJ224" s="93"/>
    </row>
    <row r="225" spans="1:36" x14ac:dyDescent="0.25">
      <c r="A225" s="88">
        <v>223</v>
      </c>
      <c r="B225" s="94" t="s">
        <v>718</v>
      </c>
      <c r="C225" s="90" t="s">
        <v>6</v>
      </c>
      <c r="D225" s="90" t="s">
        <v>61</v>
      </c>
      <c r="E225" s="92">
        <v>4</v>
      </c>
      <c r="F225" s="93">
        <v>79.62720219965918</v>
      </c>
      <c r="G225" s="93">
        <v>79.950714004385887</v>
      </c>
      <c r="H225" s="93"/>
      <c r="I225" s="93"/>
      <c r="J225" s="88"/>
      <c r="K225" s="94"/>
      <c r="L225" s="90"/>
      <c r="M225" s="91"/>
      <c r="N225" s="92"/>
      <c r="O225" s="93"/>
      <c r="P225" s="93"/>
      <c r="Q225" s="93"/>
      <c r="R225" s="165"/>
      <c r="S225" s="179">
        <f t="shared" si="3"/>
        <v>223</v>
      </c>
      <c r="T225" s="94" t="s">
        <v>1066</v>
      </c>
      <c r="U225" s="90" t="s">
        <v>6</v>
      </c>
      <c r="V225" s="91" t="s">
        <v>62</v>
      </c>
      <c r="W225" s="92">
        <v>1</v>
      </c>
      <c r="X225" s="93">
        <v>0</v>
      </c>
      <c r="Y225" s="93">
        <v>53.768168946596376</v>
      </c>
      <c r="Z225" s="180">
        <v>52.900599121011787</v>
      </c>
      <c r="AA225" s="168"/>
      <c r="AB225" s="127"/>
      <c r="AC225" s="94"/>
      <c r="AD225" s="90"/>
      <c r="AE225" s="91"/>
      <c r="AF225" s="92"/>
      <c r="AG225" s="93"/>
      <c r="AH225" s="93"/>
      <c r="AI225" s="93"/>
      <c r="AJ225" s="93"/>
    </row>
    <row r="226" spans="1:36" x14ac:dyDescent="0.25">
      <c r="A226" s="88">
        <v>224</v>
      </c>
      <c r="B226" s="89" t="s">
        <v>805</v>
      </c>
      <c r="C226" s="90" t="s">
        <v>16</v>
      </c>
      <c r="D226" s="91" t="s">
        <v>69</v>
      </c>
      <c r="E226" s="92">
        <v>2</v>
      </c>
      <c r="F226" s="93">
        <v>74.181042242341434</v>
      </c>
      <c r="G226" s="93">
        <v>88.827744779758717</v>
      </c>
      <c r="H226" s="93"/>
      <c r="I226" s="93"/>
      <c r="J226" s="88"/>
      <c r="K226" s="94"/>
      <c r="L226" s="90"/>
      <c r="M226" s="91"/>
      <c r="N226" s="92"/>
      <c r="O226" s="93"/>
      <c r="P226" s="93"/>
      <c r="Q226" s="93"/>
      <c r="R226" s="165"/>
      <c r="S226" s="179">
        <f t="shared" si="3"/>
        <v>224</v>
      </c>
      <c r="T226" s="94" t="s">
        <v>429</v>
      </c>
      <c r="U226" s="90" t="s">
        <v>6</v>
      </c>
      <c r="V226" s="91" t="s">
        <v>63</v>
      </c>
      <c r="W226" s="92">
        <v>3</v>
      </c>
      <c r="X226" s="93">
        <v>53.795488982777009</v>
      </c>
      <c r="Y226" s="93">
        <v>53.621004127132885</v>
      </c>
      <c r="Z226" s="180">
        <v>52.755808861799373</v>
      </c>
      <c r="AA226" s="168"/>
      <c r="AB226" s="127"/>
      <c r="AC226" s="94"/>
      <c r="AD226" s="90"/>
      <c r="AE226" s="91"/>
      <c r="AF226" s="92"/>
      <c r="AG226" s="93"/>
      <c r="AH226" s="93"/>
      <c r="AI226" s="93"/>
      <c r="AJ226" s="93"/>
    </row>
    <row r="227" spans="1:36" x14ac:dyDescent="0.25">
      <c r="A227" s="88">
        <v>225</v>
      </c>
      <c r="B227" s="89" t="s">
        <v>769</v>
      </c>
      <c r="C227" s="90" t="s">
        <v>6</v>
      </c>
      <c r="D227" s="91" t="s">
        <v>62</v>
      </c>
      <c r="E227" s="92">
        <v>0</v>
      </c>
      <c r="F227" s="93">
        <v>50.362561546638318</v>
      </c>
      <c r="G227" s="93">
        <v>50.362561546638318</v>
      </c>
      <c r="H227" s="93"/>
      <c r="I227" s="93"/>
      <c r="J227" s="88"/>
      <c r="K227" s="94"/>
      <c r="L227" s="90"/>
      <c r="M227" s="91"/>
      <c r="N227" s="92"/>
      <c r="O227" s="93"/>
      <c r="P227" s="93"/>
      <c r="Q227" s="93"/>
      <c r="R227" s="165"/>
      <c r="S227" s="179">
        <f t="shared" si="3"/>
        <v>225</v>
      </c>
      <c r="T227" s="94" t="s">
        <v>793</v>
      </c>
      <c r="U227" s="90" t="s">
        <v>6</v>
      </c>
      <c r="V227" s="91" t="s">
        <v>88</v>
      </c>
      <c r="W227" s="92">
        <v>4</v>
      </c>
      <c r="X227" s="93">
        <v>49.490452611040517</v>
      </c>
      <c r="Y227" s="93">
        <v>53.620005080490856</v>
      </c>
      <c r="Z227" s="180">
        <v>52.754825935154322</v>
      </c>
      <c r="AA227" s="168"/>
      <c r="AB227" s="127"/>
      <c r="AC227" s="94"/>
      <c r="AD227" s="90"/>
      <c r="AE227" s="91"/>
      <c r="AF227" s="92"/>
      <c r="AG227" s="93"/>
      <c r="AH227" s="93"/>
      <c r="AI227" s="93"/>
      <c r="AJ227" s="93"/>
    </row>
    <row r="228" spans="1:36" x14ac:dyDescent="0.25">
      <c r="A228" s="88">
        <v>226</v>
      </c>
      <c r="B228" s="94" t="s">
        <v>70</v>
      </c>
      <c r="C228" s="90" t="s">
        <v>6</v>
      </c>
      <c r="D228" s="91" t="s">
        <v>58</v>
      </c>
      <c r="E228" s="92">
        <v>5</v>
      </c>
      <c r="F228" s="93">
        <v>94.642791354956501</v>
      </c>
      <c r="G228" s="93">
        <v>94.287557018467481</v>
      </c>
      <c r="H228" s="93"/>
      <c r="I228" s="93"/>
      <c r="J228" s="88"/>
      <c r="K228" s="94"/>
      <c r="L228" s="90"/>
      <c r="M228" s="91"/>
      <c r="N228" s="92"/>
      <c r="O228" s="93"/>
      <c r="P228" s="93"/>
      <c r="Q228" s="93"/>
      <c r="R228" s="165"/>
      <c r="S228" s="179">
        <f t="shared" si="3"/>
        <v>226</v>
      </c>
      <c r="T228" s="94" t="s">
        <v>1082</v>
      </c>
      <c r="U228" s="90" t="s">
        <v>6</v>
      </c>
      <c r="V228" s="91" t="s">
        <v>69</v>
      </c>
      <c r="W228" s="92">
        <v>4</v>
      </c>
      <c r="X228" s="93">
        <v>51.673516559847222</v>
      </c>
      <c r="Y228" s="93">
        <v>53.529090558227288</v>
      </c>
      <c r="Z228" s="180">
        <v>52.665378353234246</v>
      </c>
      <c r="AA228" s="168"/>
      <c r="AB228" s="127"/>
      <c r="AC228" s="94"/>
      <c r="AD228" s="90"/>
      <c r="AE228" s="91"/>
      <c r="AF228" s="92"/>
      <c r="AG228" s="93"/>
      <c r="AH228" s="93"/>
      <c r="AI228" s="93"/>
      <c r="AJ228" s="93"/>
    </row>
    <row r="229" spans="1:36" x14ac:dyDescent="0.25">
      <c r="A229" s="88">
        <v>227</v>
      </c>
      <c r="B229" s="94" t="s">
        <v>1043</v>
      </c>
      <c r="C229" s="90" t="s">
        <v>16</v>
      </c>
      <c r="D229" s="91" t="s">
        <v>59</v>
      </c>
      <c r="E229" s="92">
        <v>2</v>
      </c>
      <c r="F229" s="93">
        <v>0</v>
      </c>
      <c r="G229" s="93">
        <v>67.125206570338918</v>
      </c>
      <c r="H229" s="93"/>
      <c r="I229" s="93"/>
      <c r="J229" s="88"/>
      <c r="K229" s="94"/>
      <c r="L229" s="90"/>
      <c r="M229" s="91"/>
      <c r="N229" s="92"/>
      <c r="O229" s="93"/>
      <c r="P229" s="93"/>
      <c r="Q229" s="93"/>
      <c r="R229" s="165"/>
      <c r="S229" s="179">
        <f t="shared" si="3"/>
        <v>227</v>
      </c>
      <c r="T229" s="94" t="s">
        <v>773</v>
      </c>
      <c r="U229" s="90" t="s">
        <v>6</v>
      </c>
      <c r="V229" s="91" t="s">
        <v>63</v>
      </c>
      <c r="W229" s="92">
        <v>11</v>
      </c>
      <c r="X229" s="93">
        <v>44.290458705948929</v>
      </c>
      <c r="Y229" s="93">
        <v>53.348770354225188</v>
      </c>
      <c r="Z229" s="180">
        <v>52.487967684204243</v>
      </c>
      <c r="AA229" s="168"/>
      <c r="AB229" s="127"/>
      <c r="AC229" s="94"/>
      <c r="AD229" s="90"/>
      <c r="AE229" s="91"/>
      <c r="AF229" s="92"/>
      <c r="AG229" s="93"/>
      <c r="AH229" s="93"/>
      <c r="AI229" s="93"/>
      <c r="AJ229" s="93"/>
    </row>
    <row r="230" spans="1:36" x14ac:dyDescent="0.25">
      <c r="A230" s="88">
        <v>228</v>
      </c>
      <c r="B230" s="89" t="s">
        <v>946</v>
      </c>
      <c r="C230" s="90" t="s">
        <v>6</v>
      </c>
      <c r="D230" s="91" t="s">
        <v>69</v>
      </c>
      <c r="E230" s="92">
        <v>0</v>
      </c>
      <c r="F230" s="93">
        <v>33.506365486738204</v>
      </c>
      <c r="G230" s="93">
        <v>33.506365486738204</v>
      </c>
      <c r="H230" s="93"/>
      <c r="I230" s="93"/>
      <c r="J230" s="88"/>
      <c r="K230" s="94"/>
      <c r="L230" s="90"/>
      <c r="M230" s="91"/>
      <c r="N230" s="92"/>
      <c r="O230" s="93"/>
      <c r="P230" s="93"/>
      <c r="Q230" s="93"/>
      <c r="R230" s="165"/>
      <c r="S230" s="179">
        <f t="shared" si="3"/>
        <v>228</v>
      </c>
      <c r="T230" s="94" t="s">
        <v>422</v>
      </c>
      <c r="U230" s="90" t="s">
        <v>6</v>
      </c>
      <c r="V230" s="91" t="s">
        <v>57</v>
      </c>
      <c r="W230" s="92">
        <v>2</v>
      </c>
      <c r="X230" s="93">
        <v>0</v>
      </c>
      <c r="Y230" s="93">
        <v>53.205825493316496</v>
      </c>
      <c r="Z230" s="180">
        <v>52.347329292912725</v>
      </c>
      <c r="AA230" s="168"/>
      <c r="AB230" s="127"/>
      <c r="AC230" s="94"/>
      <c r="AD230" s="90"/>
      <c r="AE230" s="91"/>
      <c r="AF230" s="92"/>
      <c r="AG230" s="93"/>
      <c r="AH230" s="93"/>
      <c r="AI230" s="93"/>
      <c r="AJ230" s="93"/>
    </row>
    <row r="231" spans="1:36" x14ac:dyDescent="0.25">
      <c r="A231" s="88">
        <v>229</v>
      </c>
      <c r="B231" s="89" t="s">
        <v>164</v>
      </c>
      <c r="C231" s="90" t="s">
        <v>6</v>
      </c>
      <c r="D231" s="91" t="s">
        <v>62</v>
      </c>
      <c r="E231" s="92">
        <v>0</v>
      </c>
      <c r="F231" s="93">
        <v>67.672507412190882</v>
      </c>
      <c r="G231" s="93">
        <v>67.672507412190882</v>
      </c>
      <c r="H231" s="93"/>
      <c r="I231" s="93"/>
      <c r="J231" s="88"/>
      <c r="K231" s="94"/>
      <c r="L231" s="90"/>
      <c r="M231" s="91"/>
      <c r="N231" s="92"/>
      <c r="O231" s="93"/>
      <c r="P231" s="93"/>
      <c r="Q231" s="93"/>
      <c r="R231" s="165"/>
      <c r="S231" s="179">
        <f t="shared" si="3"/>
        <v>229</v>
      </c>
      <c r="T231" s="94" t="s">
        <v>119</v>
      </c>
      <c r="U231" s="90" t="s">
        <v>6</v>
      </c>
      <c r="V231" s="91" t="s">
        <v>122</v>
      </c>
      <c r="W231" s="92">
        <v>2</v>
      </c>
      <c r="X231" s="93">
        <v>52.034414050964813</v>
      </c>
      <c r="Y231" s="93">
        <v>53.183668553886193</v>
      </c>
      <c r="Z231" s="180">
        <v>52.325529864114706</v>
      </c>
      <c r="AA231" s="168"/>
      <c r="AB231" s="127"/>
      <c r="AC231" s="94"/>
      <c r="AD231" s="90"/>
      <c r="AE231" s="91"/>
      <c r="AF231" s="92"/>
      <c r="AG231" s="93"/>
      <c r="AH231" s="93"/>
      <c r="AI231" s="93"/>
      <c r="AJ231" s="93"/>
    </row>
    <row r="232" spans="1:36" x14ac:dyDescent="0.25">
      <c r="A232" s="88">
        <v>230</v>
      </c>
      <c r="B232" s="89" t="s">
        <v>144</v>
      </c>
      <c r="C232" s="90" t="s">
        <v>6</v>
      </c>
      <c r="D232" s="91" t="s">
        <v>69</v>
      </c>
      <c r="E232" s="92">
        <v>0</v>
      </c>
      <c r="F232" s="93">
        <v>54.282371717671694</v>
      </c>
      <c r="G232" s="93">
        <v>54.282371717671694</v>
      </c>
      <c r="H232" s="93"/>
      <c r="I232" s="93"/>
      <c r="J232" s="88"/>
      <c r="K232" s="94"/>
      <c r="L232" s="90"/>
      <c r="M232" s="91"/>
      <c r="N232" s="92"/>
      <c r="O232" s="93"/>
      <c r="P232" s="93"/>
      <c r="Q232" s="93"/>
      <c r="R232" s="165"/>
      <c r="S232" s="179">
        <f t="shared" si="3"/>
        <v>230</v>
      </c>
      <c r="T232" s="94" t="s">
        <v>964</v>
      </c>
      <c r="U232" s="90" t="s">
        <v>6</v>
      </c>
      <c r="V232" s="91" t="s">
        <v>69</v>
      </c>
      <c r="W232" s="92">
        <v>1</v>
      </c>
      <c r="X232" s="93">
        <v>43.852882186675011</v>
      </c>
      <c r="Y232" s="93">
        <v>52.976155502802015</v>
      </c>
      <c r="Z232" s="180">
        <v>52.121365114917367</v>
      </c>
      <c r="AA232" s="168"/>
      <c r="AB232" s="127"/>
      <c r="AC232" s="94"/>
      <c r="AD232" s="90"/>
      <c r="AE232" s="91"/>
      <c r="AF232" s="92"/>
      <c r="AG232" s="93"/>
      <c r="AH232" s="93"/>
      <c r="AI232" s="93"/>
      <c r="AJ232" s="93"/>
    </row>
    <row r="233" spans="1:36" x14ac:dyDescent="0.25">
      <c r="A233" s="88">
        <v>231</v>
      </c>
      <c r="B233" s="94" t="s">
        <v>776</v>
      </c>
      <c r="C233" s="90" t="s">
        <v>6</v>
      </c>
      <c r="D233" s="90" t="s">
        <v>64</v>
      </c>
      <c r="E233" s="92">
        <v>0</v>
      </c>
      <c r="F233" s="93">
        <v>42.647428171137975</v>
      </c>
      <c r="G233" s="93">
        <v>42.647428171137975</v>
      </c>
      <c r="H233" s="93"/>
      <c r="I233" s="93"/>
      <c r="J233" s="88"/>
      <c r="K233" s="94"/>
      <c r="L233" s="90"/>
      <c r="M233" s="91"/>
      <c r="N233" s="92"/>
      <c r="O233" s="93"/>
      <c r="P233" s="93"/>
      <c r="Q233" s="93"/>
      <c r="R233" s="165"/>
      <c r="S233" s="179">
        <f t="shared" si="3"/>
        <v>231</v>
      </c>
      <c r="T233" s="94" t="s">
        <v>1092</v>
      </c>
      <c r="U233" s="90" t="s">
        <v>6</v>
      </c>
      <c r="V233" s="91" t="s">
        <v>88</v>
      </c>
      <c r="W233" s="92">
        <v>4</v>
      </c>
      <c r="X233" s="93">
        <v>0</v>
      </c>
      <c r="Y233" s="93">
        <v>52.930694453004413</v>
      </c>
      <c r="Z233" s="180">
        <v>52.076637596423076</v>
      </c>
      <c r="AA233" s="168"/>
      <c r="AB233" s="127"/>
      <c r="AC233" s="94"/>
      <c r="AD233" s="90"/>
      <c r="AE233" s="91"/>
      <c r="AF233" s="92"/>
      <c r="AG233" s="93"/>
      <c r="AH233" s="93"/>
      <c r="AI233" s="93"/>
      <c r="AJ233" s="93"/>
    </row>
    <row r="234" spans="1:36" x14ac:dyDescent="0.25">
      <c r="A234" s="88">
        <v>232</v>
      </c>
      <c r="B234" s="94" t="s">
        <v>854</v>
      </c>
      <c r="C234" s="90" t="s">
        <v>6</v>
      </c>
      <c r="D234" s="91" t="s">
        <v>66</v>
      </c>
      <c r="E234" s="92">
        <v>0</v>
      </c>
      <c r="F234" s="93">
        <v>57.229295734546831</v>
      </c>
      <c r="G234" s="93">
        <v>57.229295734546831</v>
      </c>
      <c r="H234" s="93"/>
      <c r="I234" s="93"/>
      <c r="J234" s="88"/>
      <c r="K234" s="94"/>
      <c r="L234" s="90"/>
      <c r="M234" s="91"/>
      <c r="N234" s="92"/>
      <c r="O234" s="93"/>
      <c r="P234" s="93"/>
      <c r="Q234" s="93"/>
      <c r="R234" s="165"/>
      <c r="S234" s="179">
        <f t="shared" si="3"/>
        <v>232</v>
      </c>
      <c r="T234" s="94" t="s">
        <v>1133</v>
      </c>
      <c r="U234" s="90" t="s">
        <v>6</v>
      </c>
      <c r="V234" s="91" t="s">
        <v>88</v>
      </c>
      <c r="W234" s="92">
        <v>3</v>
      </c>
      <c r="X234" s="93">
        <v>0</v>
      </c>
      <c r="Y234" s="93">
        <v>52.879228396892358</v>
      </c>
      <c r="Z234" s="180">
        <v>52.026001964671742</v>
      </c>
      <c r="AA234" s="168"/>
      <c r="AB234" s="127"/>
      <c r="AC234" s="94"/>
      <c r="AD234" s="90"/>
      <c r="AE234" s="91"/>
      <c r="AF234" s="92"/>
      <c r="AG234" s="93"/>
      <c r="AH234" s="93"/>
      <c r="AI234" s="93"/>
      <c r="AJ234" s="93"/>
    </row>
    <row r="235" spans="1:36" x14ac:dyDescent="0.25">
      <c r="A235" s="88">
        <v>233</v>
      </c>
      <c r="B235" s="94" t="s">
        <v>877</v>
      </c>
      <c r="C235" s="90" t="s">
        <v>6</v>
      </c>
      <c r="D235" s="90" t="s">
        <v>69</v>
      </c>
      <c r="E235" s="92">
        <v>0</v>
      </c>
      <c r="F235" s="93">
        <v>53.610747506068513</v>
      </c>
      <c r="G235" s="93">
        <v>53.610747506068513</v>
      </c>
      <c r="H235" s="93"/>
      <c r="I235" s="93"/>
      <c r="J235" s="88"/>
      <c r="K235" s="94"/>
      <c r="L235" s="90"/>
      <c r="M235" s="91"/>
      <c r="N235" s="92"/>
      <c r="O235" s="93"/>
      <c r="P235" s="93"/>
      <c r="Q235" s="93"/>
      <c r="R235" s="165"/>
      <c r="S235" s="179">
        <f t="shared" si="3"/>
        <v>233</v>
      </c>
      <c r="T235" s="94" t="s">
        <v>1176</v>
      </c>
      <c r="U235" s="90" t="s">
        <v>16</v>
      </c>
      <c r="V235" s="91" t="s">
        <v>88</v>
      </c>
      <c r="W235" s="92">
        <v>2</v>
      </c>
      <c r="X235" s="93">
        <v>0</v>
      </c>
      <c r="Y235" s="93">
        <v>52.837939547300536</v>
      </c>
      <c r="Z235" s="180">
        <v>51.985379326348422</v>
      </c>
      <c r="AA235" s="168"/>
      <c r="AB235" s="127"/>
      <c r="AC235" s="94"/>
      <c r="AD235" s="90"/>
      <c r="AE235" s="91"/>
      <c r="AF235" s="92"/>
      <c r="AG235" s="93"/>
      <c r="AH235" s="93"/>
      <c r="AI235" s="93"/>
      <c r="AJ235" s="93"/>
    </row>
    <row r="236" spans="1:36" x14ac:dyDescent="0.25">
      <c r="A236" s="88">
        <v>234</v>
      </c>
      <c r="B236" s="96" t="s">
        <v>796</v>
      </c>
      <c r="C236" s="90" t="s">
        <v>16</v>
      </c>
      <c r="D236" s="90" t="s">
        <v>66</v>
      </c>
      <c r="E236" s="92">
        <v>2</v>
      </c>
      <c r="F236" s="93">
        <v>76.976708986449907</v>
      </c>
      <c r="G236" s="93">
        <v>75.699808703744125</v>
      </c>
      <c r="H236" s="93"/>
      <c r="I236" s="93"/>
      <c r="J236" s="88"/>
      <c r="K236" s="94"/>
      <c r="L236" s="90"/>
      <c r="M236" s="91"/>
      <c r="N236" s="92"/>
      <c r="O236" s="93"/>
      <c r="P236" s="93"/>
      <c r="Q236" s="93"/>
      <c r="R236" s="165"/>
      <c r="S236" s="179">
        <f t="shared" si="3"/>
        <v>234</v>
      </c>
      <c r="T236" s="94" t="s">
        <v>1109</v>
      </c>
      <c r="U236" s="90" t="s">
        <v>6</v>
      </c>
      <c r="V236" s="91" t="s">
        <v>63</v>
      </c>
      <c r="W236" s="92">
        <v>9</v>
      </c>
      <c r="X236" s="93">
        <v>42.513807878999437</v>
      </c>
      <c r="Y236" s="93">
        <v>52.775270355502492</v>
      </c>
      <c r="Z236" s="180">
        <v>51.923721325760027</v>
      </c>
      <c r="AA236" s="168"/>
      <c r="AB236" s="127"/>
      <c r="AC236" s="94"/>
      <c r="AD236" s="90"/>
      <c r="AE236" s="91"/>
      <c r="AF236" s="92"/>
      <c r="AG236" s="93"/>
      <c r="AH236" s="93"/>
      <c r="AI236" s="93"/>
      <c r="AJ236" s="93"/>
    </row>
    <row r="237" spans="1:36" x14ac:dyDescent="0.25">
      <c r="A237" s="88">
        <v>235</v>
      </c>
      <c r="B237" s="94" t="s">
        <v>1033</v>
      </c>
      <c r="C237" s="90" t="s">
        <v>16</v>
      </c>
      <c r="D237" s="91" t="s">
        <v>66</v>
      </c>
      <c r="E237" s="92">
        <v>2</v>
      </c>
      <c r="F237" s="93">
        <v>0</v>
      </c>
      <c r="G237" s="93">
        <v>86.93641512301042</v>
      </c>
      <c r="H237" s="93"/>
      <c r="I237" s="93"/>
      <c r="J237" s="88"/>
      <c r="K237" s="94"/>
      <c r="L237" s="90"/>
      <c r="M237" s="91"/>
      <c r="N237" s="92"/>
      <c r="O237" s="93"/>
      <c r="P237" s="93"/>
      <c r="Q237" s="93"/>
      <c r="R237" s="165"/>
      <c r="S237" s="179">
        <f t="shared" si="3"/>
        <v>235</v>
      </c>
      <c r="T237" s="94" t="s">
        <v>724</v>
      </c>
      <c r="U237" s="90" t="s">
        <v>6</v>
      </c>
      <c r="V237" s="91" t="s">
        <v>87</v>
      </c>
      <c r="W237" s="92">
        <v>4</v>
      </c>
      <c r="X237" s="93">
        <v>43.49732725275247</v>
      </c>
      <c r="Y237" s="93">
        <v>52.662789778646129</v>
      </c>
      <c r="Z237" s="180">
        <v>51.813055665728186</v>
      </c>
      <c r="AA237" s="168"/>
      <c r="AB237" s="127"/>
      <c r="AC237" s="94"/>
      <c r="AD237" s="90"/>
      <c r="AE237" s="91"/>
      <c r="AF237" s="92"/>
      <c r="AG237" s="93"/>
      <c r="AH237" s="93"/>
      <c r="AI237" s="93"/>
      <c r="AJ237" s="93"/>
    </row>
    <row r="238" spans="1:36" x14ac:dyDescent="0.25">
      <c r="A238" s="88">
        <v>236</v>
      </c>
      <c r="B238" s="94" t="s">
        <v>815</v>
      </c>
      <c r="C238" s="90" t="s">
        <v>6</v>
      </c>
      <c r="D238" s="90" t="s">
        <v>88</v>
      </c>
      <c r="E238" s="92">
        <v>0</v>
      </c>
      <c r="F238" s="93">
        <v>53.711512965544983</v>
      </c>
      <c r="G238" s="93">
        <v>53.711512965544983</v>
      </c>
      <c r="H238" s="93"/>
      <c r="I238" s="93"/>
      <c r="J238" s="88"/>
      <c r="K238" s="94"/>
      <c r="L238" s="90"/>
      <c r="M238" s="91"/>
      <c r="N238" s="92"/>
      <c r="O238" s="93"/>
      <c r="P238" s="93"/>
      <c r="Q238" s="93"/>
      <c r="R238" s="165"/>
      <c r="S238" s="179">
        <f t="shared" si="3"/>
        <v>236</v>
      </c>
      <c r="T238" s="94" t="s">
        <v>1195</v>
      </c>
      <c r="U238" s="90" t="s">
        <v>6</v>
      </c>
      <c r="V238" s="91" t="s">
        <v>62</v>
      </c>
      <c r="W238" s="92">
        <v>5</v>
      </c>
      <c r="X238" s="93">
        <v>0</v>
      </c>
      <c r="Y238" s="93">
        <v>52.640459010791176</v>
      </c>
      <c r="Z238" s="180">
        <v>51.791085213293165</v>
      </c>
      <c r="AA238" s="168"/>
      <c r="AB238" s="127"/>
      <c r="AC238" s="94"/>
      <c r="AD238" s="90"/>
      <c r="AE238" s="91"/>
      <c r="AF238" s="92"/>
      <c r="AG238" s="93"/>
      <c r="AH238" s="93"/>
      <c r="AI238" s="93"/>
      <c r="AJ238" s="93"/>
    </row>
    <row r="239" spans="1:36" x14ac:dyDescent="0.25">
      <c r="A239" s="88">
        <v>237</v>
      </c>
      <c r="B239" s="94" t="s">
        <v>1006</v>
      </c>
      <c r="C239" s="90" t="s">
        <v>6</v>
      </c>
      <c r="D239" s="91" t="s">
        <v>58</v>
      </c>
      <c r="E239" s="92">
        <v>1</v>
      </c>
      <c r="F239" s="93">
        <v>67.09322222607787</v>
      </c>
      <c r="G239" s="93">
        <v>63.580104613969013</v>
      </c>
      <c r="H239" s="93"/>
      <c r="I239" s="93"/>
      <c r="J239" s="88"/>
      <c r="K239" s="94"/>
      <c r="L239" s="90"/>
      <c r="M239" s="91"/>
      <c r="N239" s="92"/>
      <c r="O239" s="93"/>
      <c r="P239" s="93"/>
      <c r="Q239" s="93"/>
      <c r="R239" s="165"/>
      <c r="S239" s="179">
        <f t="shared" si="3"/>
        <v>237</v>
      </c>
      <c r="T239" s="94" t="s">
        <v>1141</v>
      </c>
      <c r="U239" s="90" t="s">
        <v>6</v>
      </c>
      <c r="V239" s="91" t="s">
        <v>61</v>
      </c>
      <c r="W239" s="92">
        <v>3</v>
      </c>
      <c r="X239" s="93">
        <v>0</v>
      </c>
      <c r="Y239" s="93">
        <v>52.631833960642354</v>
      </c>
      <c r="Z239" s="180">
        <v>51.782599331604047</v>
      </c>
      <c r="AA239" s="168"/>
      <c r="AB239" s="127"/>
      <c r="AC239" s="94"/>
      <c r="AD239" s="90"/>
      <c r="AE239" s="91"/>
      <c r="AF239" s="92"/>
      <c r="AG239" s="93"/>
      <c r="AH239" s="93"/>
      <c r="AI239" s="93"/>
      <c r="AJ239" s="93"/>
    </row>
    <row r="240" spans="1:36" x14ac:dyDescent="0.25">
      <c r="A240" s="88">
        <v>238</v>
      </c>
      <c r="B240" s="89" t="s">
        <v>895</v>
      </c>
      <c r="C240" s="90" t="s">
        <v>6</v>
      </c>
      <c r="D240" s="91" t="s">
        <v>69</v>
      </c>
      <c r="E240" s="92">
        <v>0</v>
      </c>
      <c r="F240" s="93">
        <v>44.888541806094175</v>
      </c>
      <c r="G240" s="93">
        <v>44.888541806094175</v>
      </c>
      <c r="H240" s="93"/>
      <c r="I240" s="93"/>
      <c r="J240" s="88"/>
      <c r="K240" s="94"/>
      <c r="L240" s="90"/>
      <c r="M240" s="91"/>
      <c r="N240" s="92"/>
      <c r="O240" s="93"/>
      <c r="P240" s="93"/>
      <c r="Q240" s="93"/>
      <c r="R240" s="165"/>
      <c r="S240" s="179">
        <f t="shared" si="3"/>
        <v>238</v>
      </c>
      <c r="T240" s="94" t="s">
        <v>870</v>
      </c>
      <c r="U240" s="90" t="s">
        <v>6</v>
      </c>
      <c r="V240" s="91" t="s">
        <v>62</v>
      </c>
      <c r="W240" s="92">
        <v>1</v>
      </c>
      <c r="X240" s="93">
        <v>47.281785990377266</v>
      </c>
      <c r="Y240" s="93">
        <v>52.631497074381663</v>
      </c>
      <c r="Z240" s="180">
        <v>51.782267881131112</v>
      </c>
      <c r="AA240" s="168"/>
      <c r="AB240" s="127"/>
      <c r="AC240" s="94"/>
      <c r="AD240" s="90"/>
      <c r="AE240" s="91"/>
      <c r="AF240" s="92"/>
      <c r="AG240" s="93"/>
      <c r="AH240" s="93"/>
      <c r="AI240" s="93"/>
      <c r="AJ240" s="93"/>
    </row>
    <row r="241" spans="1:36" x14ac:dyDescent="0.25">
      <c r="A241" s="88">
        <v>239</v>
      </c>
      <c r="B241" s="89" t="s">
        <v>886</v>
      </c>
      <c r="C241" s="90" t="s">
        <v>6</v>
      </c>
      <c r="D241" s="91" t="s">
        <v>64</v>
      </c>
      <c r="E241" s="92">
        <v>0</v>
      </c>
      <c r="F241" s="93">
        <v>59.774999352344693</v>
      </c>
      <c r="G241" s="93">
        <v>59.774999352344693</v>
      </c>
      <c r="H241" s="93"/>
      <c r="I241" s="93"/>
      <c r="J241" s="88"/>
      <c r="K241" s="94"/>
      <c r="L241" s="90"/>
      <c r="M241" s="91"/>
      <c r="N241" s="92"/>
      <c r="O241" s="93"/>
      <c r="P241" s="93"/>
      <c r="Q241" s="93"/>
      <c r="R241" s="165"/>
      <c r="S241" s="179">
        <f t="shared" si="3"/>
        <v>239</v>
      </c>
      <c r="T241" s="94" t="s">
        <v>101</v>
      </c>
      <c r="U241" s="90" t="s">
        <v>6</v>
      </c>
      <c r="V241" s="91" t="s">
        <v>69</v>
      </c>
      <c r="W241" s="92">
        <v>1</v>
      </c>
      <c r="X241" s="93">
        <v>68.20924978926152</v>
      </c>
      <c r="Y241" s="93">
        <v>52.436361469370361</v>
      </c>
      <c r="Z241" s="180">
        <v>51.590280863213657</v>
      </c>
      <c r="AA241" s="168"/>
      <c r="AB241" s="127"/>
      <c r="AC241" s="94"/>
      <c r="AD241" s="90"/>
      <c r="AE241" s="91"/>
      <c r="AF241" s="92"/>
      <c r="AG241" s="93"/>
      <c r="AH241" s="93"/>
      <c r="AI241" s="93"/>
      <c r="AJ241" s="93"/>
    </row>
    <row r="242" spans="1:36" x14ac:dyDescent="0.25">
      <c r="A242" s="88">
        <v>240</v>
      </c>
      <c r="B242" s="89" t="s">
        <v>783</v>
      </c>
      <c r="C242" s="90" t="s">
        <v>6</v>
      </c>
      <c r="D242" s="91" t="s">
        <v>87</v>
      </c>
      <c r="E242" s="92">
        <v>0</v>
      </c>
      <c r="F242" s="93">
        <v>52.397236396258847</v>
      </c>
      <c r="G242" s="93">
        <v>52.397236396258847</v>
      </c>
      <c r="H242" s="93"/>
      <c r="I242" s="93"/>
      <c r="J242" s="88"/>
      <c r="K242" s="94"/>
      <c r="L242" s="90"/>
      <c r="M242" s="91"/>
      <c r="N242" s="92"/>
      <c r="O242" s="93"/>
      <c r="P242" s="93"/>
      <c r="Q242" s="93"/>
      <c r="R242" s="165"/>
      <c r="S242" s="179">
        <f t="shared" si="3"/>
        <v>240</v>
      </c>
      <c r="T242" s="94" t="s">
        <v>1325</v>
      </c>
      <c r="U242" s="90" t="s">
        <v>6</v>
      </c>
      <c r="V242" s="91" t="s">
        <v>69</v>
      </c>
      <c r="W242" s="92">
        <v>1</v>
      </c>
      <c r="X242" s="93">
        <v>0</v>
      </c>
      <c r="Y242" s="93">
        <v>52.330550645920262</v>
      </c>
      <c r="Z242" s="180">
        <v>51.486177337583889</v>
      </c>
      <c r="AA242" s="168"/>
      <c r="AB242" s="127"/>
      <c r="AC242" s="94"/>
      <c r="AD242" s="90"/>
      <c r="AE242" s="91"/>
      <c r="AF242" s="92"/>
      <c r="AG242" s="93"/>
      <c r="AH242" s="93"/>
      <c r="AI242" s="93"/>
      <c r="AJ242" s="93"/>
    </row>
    <row r="243" spans="1:36" x14ac:dyDescent="0.25">
      <c r="A243" s="88">
        <v>241</v>
      </c>
      <c r="B243" s="89" t="s">
        <v>936</v>
      </c>
      <c r="C243" s="90" t="s">
        <v>6</v>
      </c>
      <c r="D243" s="91" t="s">
        <v>88</v>
      </c>
      <c r="E243" s="92">
        <v>4</v>
      </c>
      <c r="F243" s="93">
        <v>79.01318682809638</v>
      </c>
      <c r="G243" s="93">
        <v>79.76105334129258</v>
      </c>
      <c r="H243" s="93"/>
      <c r="I243" s="93"/>
      <c r="J243" s="88"/>
      <c r="K243" s="94"/>
      <c r="L243" s="90"/>
      <c r="M243" s="91"/>
      <c r="N243" s="92"/>
      <c r="O243" s="93"/>
      <c r="P243" s="93"/>
      <c r="Q243" s="93"/>
      <c r="R243" s="165"/>
      <c r="S243" s="179">
        <f t="shared" si="3"/>
        <v>241</v>
      </c>
      <c r="T243" s="94" t="s">
        <v>929</v>
      </c>
      <c r="U243" s="90" t="s">
        <v>6</v>
      </c>
      <c r="V243" s="91" t="s">
        <v>781</v>
      </c>
      <c r="W243" s="92">
        <v>2</v>
      </c>
      <c r="X243" s="93">
        <v>0</v>
      </c>
      <c r="Y243" s="93">
        <v>52.328058337776611</v>
      </c>
      <c r="Z243" s="180">
        <v>51.483725243778643</v>
      </c>
      <c r="AA243" s="168"/>
      <c r="AB243" s="127"/>
      <c r="AC243" s="94"/>
      <c r="AD243" s="90"/>
      <c r="AE243" s="91"/>
      <c r="AF243" s="92"/>
      <c r="AG243" s="93"/>
      <c r="AH243" s="93"/>
      <c r="AI243" s="93"/>
      <c r="AJ243" s="93"/>
    </row>
    <row r="244" spans="1:36" x14ac:dyDescent="0.25">
      <c r="A244" s="88">
        <v>242</v>
      </c>
      <c r="B244" s="94" t="s">
        <v>119</v>
      </c>
      <c r="C244" s="90" t="s">
        <v>6</v>
      </c>
      <c r="D244" s="91" t="s">
        <v>122</v>
      </c>
      <c r="E244" s="92">
        <v>0</v>
      </c>
      <c r="F244" s="93">
        <v>52.034414050964813</v>
      </c>
      <c r="G244" s="93">
        <v>52.034414050964813</v>
      </c>
      <c r="H244" s="93"/>
      <c r="I244" s="93"/>
      <c r="J244" s="88"/>
      <c r="K244" s="94"/>
      <c r="L244" s="90"/>
      <c r="M244" s="91"/>
      <c r="N244" s="92"/>
      <c r="O244" s="93"/>
      <c r="P244" s="93"/>
      <c r="Q244" s="93"/>
      <c r="R244" s="165"/>
      <c r="S244" s="179">
        <f t="shared" si="3"/>
        <v>242</v>
      </c>
      <c r="T244" s="94" t="s">
        <v>1205</v>
      </c>
      <c r="U244" s="90" t="s">
        <v>6</v>
      </c>
      <c r="V244" s="91" t="s">
        <v>62</v>
      </c>
      <c r="W244" s="92">
        <v>1</v>
      </c>
      <c r="X244" s="93">
        <v>0</v>
      </c>
      <c r="Y244" s="93">
        <v>52.200656397610381</v>
      </c>
      <c r="Z244" s="180">
        <v>51.35837898230065</v>
      </c>
      <c r="AA244" s="168"/>
      <c r="AB244" s="127"/>
      <c r="AC244" s="94"/>
      <c r="AD244" s="90"/>
      <c r="AE244" s="91"/>
      <c r="AF244" s="92"/>
      <c r="AG244" s="93"/>
      <c r="AH244" s="93"/>
      <c r="AI244" s="93"/>
      <c r="AJ244" s="93"/>
    </row>
    <row r="245" spans="1:36" x14ac:dyDescent="0.25">
      <c r="A245" s="88">
        <v>243</v>
      </c>
      <c r="B245" s="94" t="s">
        <v>90</v>
      </c>
      <c r="C245" s="90" t="s">
        <v>6</v>
      </c>
      <c r="D245" s="91" t="s">
        <v>62</v>
      </c>
      <c r="E245" s="92">
        <v>0</v>
      </c>
      <c r="F245" s="93">
        <v>63.907800818021407</v>
      </c>
      <c r="G245" s="93">
        <v>63.907800818021407</v>
      </c>
      <c r="H245" s="93"/>
      <c r="I245" s="93"/>
      <c r="J245" s="88"/>
      <c r="K245" s="94"/>
      <c r="L245" s="90"/>
      <c r="M245" s="91"/>
      <c r="N245" s="92"/>
      <c r="O245" s="93"/>
      <c r="P245" s="93"/>
      <c r="Q245" s="93"/>
      <c r="R245" s="165"/>
      <c r="S245" s="179">
        <f t="shared" si="3"/>
        <v>243</v>
      </c>
      <c r="T245" s="94" t="s">
        <v>532</v>
      </c>
      <c r="U245" s="90" t="s">
        <v>6</v>
      </c>
      <c r="V245" s="91" t="s">
        <v>63</v>
      </c>
      <c r="W245" s="92">
        <v>4</v>
      </c>
      <c r="X245" s="93">
        <v>45.842153082400259</v>
      </c>
      <c r="Y245" s="93">
        <v>52.122730739667674</v>
      </c>
      <c r="Z245" s="180">
        <v>51.281710684442814</v>
      </c>
      <c r="AA245" s="168"/>
      <c r="AB245" s="127"/>
      <c r="AC245" s="94"/>
      <c r="AD245" s="90"/>
      <c r="AE245" s="91"/>
      <c r="AF245" s="92"/>
      <c r="AG245" s="93"/>
      <c r="AH245" s="93"/>
      <c r="AI245" s="93"/>
      <c r="AJ245" s="93"/>
    </row>
    <row r="246" spans="1:36" x14ac:dyDescent="0.25">
      <c r="A246" s="88">
        <v>244</v>
      </c>
      <c r="B246" s="94" t="s">
        <v>831</v>
      </c>
      <c r="C246" s="90" t="s">
        <v>6</v>
      </c>
      <c r="D246" s="91" t="s">
        <v>159</v>
      </c>
      <c r="E246" s="92">
        <v>0</v>
      </c>
      <c r="F246" s="93">
        <v>17.831036228916076</v>
      </c>
      <c r="G246" s="93">
        <v>17.831036228916076</v>
      </c>
      <c r="H246" s="93"/>
      <c r="I246" s="93"/>
      <c r="J246" s="88"/>
      <c r="K246" s="94"/>
      <c r="L246" s="90"/>
      <c r="M246" s="91"/>
      <c r="N246" s="92"/>
      <c r="O246" s="93"/>
      <c r="P246" s="93"/>
      <c r="Q246" s="93"/>
      <c r="R246" s="165"/>
      <c r="S246" s="179">
        <f t="shared" si="3"/>
        <v>244</v>
      </c>
      <c r="T246" s="94" t="s">
        <v>1001</v>
      </c>
      <c r="U246" s="90" t="s">
        <v>6</v>
      </c>
      <c r="V246" s="91" t="s">
        <v>59</v>
      </c>
      <c r="W246" s="92">
        <v>1</v>
      </c>
      <c r="X246" s="93">
        <v>0</v>
      </c>
      <c r="Y246" s="93">
        <v>52.04987588558172</v>
      </c>
      <c r="Z246" s="180">
        <v>51.210031371095752</v>
      </c>
      <c r="AA246" s="168"/>
      <c r="AB246" s="127"/>
      <c r="AC246" s="94"/>
      <c r="AD246" s="90"/>
      <c r="AE246" s="91"/>
      <c r="AF246" s="92"/>
      <c r="AG246" s="93"/>
      <c r="AH246" s="93"/>
      <c r="AI246" s="93"/>
      <c r="AJ246" s="93"/>
    </row>
    <row r="247" spans="1:36" x14ac:dyDescent="0.25">
      <c r="A247" s="88">
        <v>245</v>
      </c>
      <c r="B247" s="94" t="s">
        <v>760</v>
      </c>
      <c r="C247" s="90" t="s">
        <v>6</v>
      </c>
      <c r="D247" s="90" t="s">
        <v>62</v>
      </c>
      <c r="E247" s="92">
        <v>0</v>
      </c>
      <c r="F247" s="93">
        <v>67.2926081091029</v>
      </c>
      <c r="G247" s="93">
        <v>67.2926081091029</v>
      </c>
      <c r="H247" s="93"/>
      <c r="I247" s="93"/>
      <c r="J247" s="88"/>
      <c r="K247" s="94"/>
      <c r="L247" s="90"/>
      <c r="M247" s="91"/>
      <c r="N247" s="92"/>
      <c r="O247" s="93"/>
      <c r="P247" s="93"/>
      <c r="Q247" s="93"/>
      <c r="R247" s="165"/>
      <c r="S247" s="179">
        <f t="shared" si="3"/>
        <v>245</v>
      </c>
      <c r="T247" s="94" t="s">
        <v>1290</v>
      </c>
      <c r="U247" s="90" t="s">
        <v>6</v>
      </c>
      <c r="V247" s="91" t="s">
        <v>61</v>
      </c>
      <c r="W247" s="92">
        <v>2</v>
      </c>
      <c r="X247" s="93">
        <v>0</v>
      </c>
      <c r="Y247" s="93">
        <v>52.00814084901603</v>
      </c>
      <c r="Z247" s="180">
        <v>51.168969745194829</v>
      </c>
      <c r="AA247" s="168"/>
      <c r="AB247" s="127"/>
      <c r="AC247" s="94"/>
      <c r="AD247" s="90"/>
      <c r="AE247" s="91"/>
      <c r="AF247" s="92"/>
      <c r="AG247" s="93"/>
      <c r="AH247" s="93"/>
      <c r="AI247" s="93"/>
      <c r="AJ247" s="93"/>
    </row>
    <row r="248" spans="1:36" x14ac:dyDescent="0.25">
      <c r="A248" s="88">
        <v>246</v>
      </c>
      <c r="B248" s="94" t="s">
        <v>784</v>
      </c>
      <c r="C248" s="90" t="s">
        <v>6</v>
      </c>
      <c r="D248" s="90" t="s">
        <v>87</v>
      </c>
      <c r="E248" s="92">
        <v>0</v>
      </c>
      <c r="F248" s="93">
        <v>48.676270052437225</v>
      </c>
      <c r="G248" s="93">
        <v>48.676270052437225</v>
      </c>
      <c r="H248" s="93"/>
      <c r="I248" s="93"/>
      <c r="J248" s="88"/>
      <c r="K248" s="94"/>
      <c r="L248" s="90"/>
      <c r="M248" s="91"/>
      <c r="N248" s="92"/>
      <c r="O248" s="93"/>
      <c r="P248" s="93"/>
      <c r="Q248" s="93"/>
      <c r="R248" s="165"/>
      <c r="S248" s="179">
        <f t="shared" si="3"/>
        <v>246</v>
      </c>
      <c r="T248" s="94" t="s">
        <v>1186</v>
      </c>
      <c r="U248" s="90" t="s">
        <v>6</v>
      </c>
      <c r="V248" s="91" t="s">
        <v>88</v>
      </c>
      <c r="W248" s="92">
        <v>1</v>
      </c>
      <c r="X248" s="93">
        <v>0</v>
      </c>
      <c r="Y248" s="93">
        <v>51.921097390305427</v>
      </c>
      <c r="Z248" s="180">
        <v>51.083330765747178</v>
      </c>
      <c r="AA248" s="168"/>
      <c r="AB248" s="127"/>
      <c r="AC248" s="94"/>
      <c r="AD248" s="90"/>
      <c r="AE248" s="91"/>
      <c r="AF248" s="92"/>
      <c r="AG248" s="93"/>
      <c r="AH248" s="93"/>
      <c r="AI248" s="93"/>
      <c r="AJ248" s="93"/>
    </row>
    <row r="249" spans="1:36" x14ac:dyDescent="0.25">
      <c r="A249" s="88">
        <v>247</v>
      </c>
      <c r="B249" s="89" t="s">
        <v>822</v>
      </c>
      <c r="C249" s="90" t="s">
        <v>6</v>
      </c>
      <c r="D249" s="91" t="s">
        <v>88</v>
      </c>
      <c r="E249" s="92">
        <v>0</v>
      </c>
      <c r="F249" s="93">
        <v>31.829904729434844</v>
      </c>
      <c r="G249" s="93">
        <v>31.829904729434844</v>
      </c>
      <c r="H249" s="93"/>
      <c r="I249" s="93"/>
      <c r="J249" s="88"/>
      <c r="K249" s="94"/>
      <c r="L249" s="90"/>
      <c r="M249" s="91"/>
      <c r="N249" s="92"/>
      <c r="O249" s="93"/>
      <c r="P249" s="93"/>
      <c r="Q249" s="93"/>
      <c r="R249" s="165"/>
      <c r="S249" s="179">
        <f t="shared" si="3"/>
        <v>247</v>
      </c>
      <c r="T249" s="94" t="s">
        <v>1093</v>
      </c>
      <c r="U249" s="90" t="s">
        <v>6</v>
      </c>
      <c r="V249" s="91" t="s">
        <v>88</v>
      </c>
      <c r="W249" s="92">
        <v>2</v>
      </c>
      <c r="X249" s="93">
        <v>0</v>
      </c>
      <c r="Y249" s="93">
        <v>51.644076760798242</v>
      </c>
      <c r="Z249" s="180">
        <v>50.810779969301699</v>
      </c>
      <c r="AA249" s="168"/>
      <c r="AB249" s="127"/>
      <c r="AC249" s="94"/>
      <c r="AD249" s="90"/>
      <c r="AE249" s="91"/>
      <c r="AF249" s="92"/>
      <c r="AG249" s="93"/>
      <c r="AH249" s="93"/>
      <c r="AI249" s="93"/>
      <c r="AJ249" s="93"/>
    </row>
    <row r="250" spans="1:36" x14ac:dyDescent="0.25">
      <c r="A250" s="88">
        <v>248</v>
      </c>
      <c r="B250" s="89" t="s">
        <v>1039</v>
      </c>
      <c r="C250" s="90" t="s">
        <v>16</v>
      </c>
      <c r="D250" s="91" t="s">
        <v>61</v>
      </c>
      <c r="E250" s="92">
        <v>2</v>
      </c>
      <c r="F250" s="93">
        <v>0</v>
      </c>
      <c r="G250" s="93">
        <v>76.063957123595685</v>
      </c>
      <c r="H250" s="93"/>
      <c r="I250" s="93"/>
      <c r="J250" s="88"/>
      <c r="K250" s="94"/>
      <c r="L250" s="90"/>
      <c r="M250" s="91"/>
      <c r="N250" s="92"/>
      <c r="O250" s="93"/>
      <c r="P250" s="93"/>
      <c r="Q250" s="93"/>
      <c r="R250" s="165"/>
      <c r="S250" s="179">
        <f t="shared" si="3"/>
        <v>248</v>
      </c>
      <c r="T250" s="94" t="s">
        <v>1258</v>
      </c>
      <c r="U250" s="90" t="s">
        <v>6</v>
      </c>
      <c r="V250" s="91" t="s">
        <v>59</v>
      </c>
      <c r="W250" s="92">
        <v>2</v>
      </c>
      <c r="X250" s="93">
        <v>0</v>
      </c>
      <c r="Y250" s="93">
        <v>51.553136859208877</v>
      </c>
      <c r="Z250" s="180">
        <v>50.72130741756088</v>
      </c>
      <c r="AA250" s="168"/>
      <c r="AB250" s="127"/>
      <c r="AC250" s="94"/>
      <c r="AD250" s="90"/>
      <c r="AE250" s="91"/>
      <c r="AF250" s="92"/>
      <c r="AG250" s="93"/>
      <c r="AH250" s="93"/>
      <c r="AI250" s="93"/>
      <c r="AJ250" s="93"/>
    </row>
    <row r="251" spans="1:36" x14ac:dyDescent="0.25">
      <c r="A251" s="88">
        <v>249</v>
      </c>
      <c r="B251" s="89" t="s">
        <v>771</v>
      </c>
      <c r="C251" s="90" t="s">
        <v>6</v>
      </c>
      <c r="D251" s="91" t="s">
        <v>62</v>
      </c>
      <c r="E251" s="92">
        <v>0</v>
      </c>
      <c r="F251" s="93">
        <v>40.260450989066918</v>
      </c>
      <c r="G251" s="93">
        <v>40.260450989066918</v>
      </c>
      <c r="H251" s="93"/>
      <c r="I251" s="93"/>
      <c r="J251" s="88"/>
      <c r="K251" s="94"/>
      <c r="L251" s="90"/>
      <c r="M251" s="91"/>
      <c r="N251" s="92"/>
      <c r="O251" s="93"/>
      <c r="P251" s="93"/>
      <c r="Q251" s="93"/>
      <c r="R251" s="165"/>
      <c r="S251" s="179">
        <f t="shared" si="3"/>
        <v>249</v>
      </c>
      <c r="T251" s="94" t="s">
        <v>46</v>
      </c>
      <c r="U251" s="90" t="s">
        <v>6</v>
      </c>
      <c r="V251" s="91" t="s">
        <v>57</v>
      </c>
      <c r="W251" s="92">
        <v>4</v>
      </c>
      <c r="X251" s="93">
        <v>46.890473746597834</v>
      </c>
      <c r="Y251" s="93">
        <v>51.541394971602145</v>
      </c>
      <c r="Z251" s="180">
        <v>50.70975498976992</v>
      </c>
      <c r="AA251" s="168"/>
      <c r="AB251" s="127"/>
      <c r="AC251" s="94"/>
      <c r="AD251" s="90"/>
      <c r="AE251" s="91"/>
      <c r="AF251" s="92"/>
      <c r="AG251" s="93"/>
      <c r="AH251" s="93"/>
      <c r="AI251" s="93"/>
      <c r="AJ251" s="93"/>
    </row>
    <row r="252" spans="1:36" x14ac:dyDescent="0.25">
      <c r="A252" s="88">
        <v>250</v>
      </c>
      <c r="B252" s="89" t="s">
        <v>184</v>
      </c>
      <c r="C252" s="90" t="s">
        <v>6</v>
      </c>
      <c r="D252" s="91" t="s">
        <v>57</v>
      </c>
      <c r="E252" s="92">
        <v>0</v>
      </c>
      <c r="F252" s="93">
        <v>52.046323388447334</v>
      </c>
      <c r="G252" s="93">
        <v>52.046323388447334</v>
      </c>
      <c r="H252" s="93"/>
      <c r="I252" s="93"/>
      <c r="J252" s="88"/>
      <c r="K252" s="94"/>
      <c r="L252" s="90"/>
      <c r="M252" s="91"/>
      <c r="N252" s="92"/>
      <c r="O252" s="93"/>
      <c r="P252" s="93"/>
      <c r="Q252" s="93"/>
      <c r="R252" s="165"/>
      <c r="S252" s="179">
        <f t="shared" si="3"/>
        <v>250</v>
      </c>
      <c r="T252" s="94" t="s">
        <v>1350</v>
      </c>
      <c r="U252" s="90" t="s">
        <v>16</v>
      </c>
      <c r="V252" s="91" t="s">
        <v>57</v>
      </c>
      <c r="W252" s="92">
        <v>1</v>
      </c>
      <c r="X252" s="93">
        <v>0</v>
      </c>
      <c r="Y252" s="93">
        <v>51.508788642134938</v>
      </c>
      <c r="Z252" s="180">
        <v>50.677674775811631</v>
      </c>
      <c r="AA252" s="168"/>
      <c r="AB252" s="127"/>
      <c r="AC252" s="94"/>
      <c r="AD252" s="90"/>
      <c r="AE252" s="91"/>
      <c r="AF252" s="92"/>
      <c r="AG252" s="93"/>
      <c r="AH252" s="93"/>
      <c r="AI252" s="93"/>
      <c r="AJ252" s="93"/>
    </row>
    <row r="253" spans="1:36" x14ac:dyDescent="0.25">
      <c r="A253" s="88">
        <v>251</v>
      </c>
      <c r="B253" s="94" t="s">
        <v>99</v>
      </c>
      <c r="C253" s="90" t="s">
        <v>6</v>
      </c>
      <c r="D253" s="91" t="s">
        <v>58</v>
      </c>
      <c r="E253" s="92">
        <v>0</v>
      </c>
      <c r="F253" s="93">
        <v>65.219156740599729</v>
      </c>
      <c r="G253" s="93">
        <v>65.219156740599729</v>
      </c>
      <c r="H253" s="93"/>
      <c r="I253" s="93"/>
      <c r="J253" s="88"/>
      <c r="K253" s="94"/>
      <c r="L253" s="90"/>
      <c r="M253" s="91"/>
      <c r="N253" s="92"/>
      <c r="O253" s="93"/>
      <c r="P253" s="93"/>
      <c r="Q253" s="93"/>
      <c r="R253" s="165"/>
      <c r="S253" s="179">
        <f t="shared" si="3"/>
        <v>251</v>
      </c>
      <c r="T253" s="94" t="s">
        <v>863</v>
      </c>
      <c r="U253" s="90" t="s">
        <v>6</v>
      </c>
      <c r="V253" s="91" t="s">
        <v>62</v>
      </c>
      <c r="W253" s="92">
        <v>6</v>
      </c>
      <c r="X253" s="93">
        <v>37.334250691874701</v>
      </c>
      <c r="Y253" s="93">
        <v>51.506680809066175</v>
      </c>
      <c r="Z253" s="180">
        <v>50.675600953429921</v>
      </c>
      <c r="AA253" s="168"/>
      <c r="AB253" s="127"/>
      <c r="AC253" s="94"/>
      <c r="AD253" s="90"/>
      <c r="AE253" s="91"/>
      <c r="AF253" s="92"/>
      <c r="AG253" s="93"/>
      <c r="AH253" s="93"/>
      <c r="AI253" s="93"/>
      <c r="AJ253" s="93"/>
    </row>
    <row r="254" spans="1:36" x14ac:dyDescent="0.25">
      <c r="A254" s="88">
        <v>252</v>
      </c>
      <c r="B254" s="89" t="s">
        <v>532</v>
      </c>
      <c r="C254" s="90" t="s">
        <v>6</v>
      </c>
      <c r="D254" s="91" t="s">
        <v>63</v>
      </c>
      <c r="E254" s="92">
        <v>0</v>
      </c>
      <c r="F254" s="93">
        <v>45.842153082400259</v>
      </c>
      <c r="G254" s="93">
        <v>45.842153082400259</v>
      </c>
      <c r="H254" s="93"/>
      <c r="I254" s="93"/>
      <c r="J254" s="88"/>
      <c r="K254" s="94"/>
      <c r="L254" s="90"/>
      <c r="M254" s="91"/>
      <c r="N254" s="92"/>
      <c r="O254" s="93"/>
      <c r="P254" s="93"/>
      <c r="Q254" s="93"/>
      <c r="R254" s="165"/>
      <c r="S254" s="179">
        <f t="shared" si="3"/>
        <v>252</v>
      </c>
      <c r="T254" s="94" t="s">
        <v>758</v>
      </c>
      <c r="U254" s="90" t="s">
        <v>6</v>
      </c>
      <c r="V254" s="91" t="s">
        <v>87</v>
      </c>
      <c r="W254" s="92">
        <v>4</v>
      </c>
      <c r="X254" s="93">
        <v>45.907986673761499</v>
      </c>
      <c r="Y254" s="93">
        <v>51.242369543796002</v>
      </c>
      <c r="Z254" s="180">
        <v>50.415554450802837</v>
      </c>
      <c r="AA254" s="168"/>
      <c r="AB254" s="127"/>
      <c r="AC254" s="94"/>
      <c r="AD254" s="90"/>
      <c r="AE254" s="91"/>
      <c r="AF254" s="92"/>
      <c r="AG254" s="93"/>
      <c r="AH254" s="93"/>
      <c r="AI254" s="93"/>
      <c r="AJ254" s="93"/>
    </row>
    <row r="255" spans="1:36" x14ac:dyDescent="0.25">
      <c r="A255" s="88">
        <v>253</v>
      </c>
      <c r="B255" s="89" t="s">
        <v>910</v>
      </c>
      <c r="C255" s="90" t="s">
        <v>6</v>
      </c>
      <c r="D255" s="91" t="s">
        <v>67</v>
      </c>
      <c r="E255" s="92">
        <v>1</v>
      </c>
      <c r="F255" s="93">
        <v>59.574050773297316</v>
      </c>
      <c r="G255" s="93">
        <v>63.178695554941498</v>
      </c>
      <c r="H255" s="93"/>
      <c r="I255" s="93"/>
      <c r="J255" s="88"/>
      <c r="K255" s="94"/>
      <c r="L255" s="90"/>
      <c r="M255" s="91"/>
      <c r="N255" s="92"/>
      <c r="O255" s="93"/>
      <c r="P255" s="93"/>
      <c r="Q255" s="93"/>
      <c r="R255" s="165"/>
      <c r="S255" s="179">
        <f t="shared" si="3"/>
        <v>253</v>
      </c>
      <c r="T255" s="94" t="s">
        <v>816</v>
      </c>
      <c r="U255" s="90" t="s">
        <v>6</v>
      </c>
      <c r="V255" s="91" t="s">
        <v>88</v>
      </c>
      <c r="W255" s="92">
        <v>3</v>
      </c>
      <c r="X255" s="93">
        <v>50.037446296979134</v>
      </c>
      <c r="Y255" s="93">
        <v>51.193153893458373</v>
      </c>
      <c r="Z255" s="180">
        <v>50.367132913674119</v>
      </c>
      <c r="AA255" s="168"/>
      <c r="AB255" s="127"/>
      <c r="AC255" s="94"/>
      <c r="AD255" s="90"/>
      <c r="AE255" s="91"/>
      <c r="AF255" s="92"/>
      <c r="AG255" s="93"/>
      <c r="AH255" s="93"/>
      <c r="AI255" s="93"/>
      <c r="AJ255" s="93"/>
    </row>
    <row r="256" spans="1:36" x14ac:dyDescent="0.25">
      <c r="A256" s="88">
        <v>254</v>
      </c>
      <c r="B256" s="89" t="s">
        <v>997</v>
      </c>
      <c r="C256" s="90" t="s">
        <v>6</v>
      </c>
      <c r="D256" s="91" t="s">
        <v>67</v>
      </c>
      <c r="E256" s="92">
        <v>2</v>
      </c>
      <c r="F256" s="93">
        <v>48.874975733917452</v>
      </c>
      <c r="G256" s="93">
        <v>55.346530216192669</v>
      </c>
      <c r="H256" s="93"/>
      <c r="I256" s="93"/>
      <c r="J256" s="88"/>
      <c r="K256" s="94"/>
      <c r="L256" s="90"/>
      <c r="M256" s="91"/>
      <c r="N256" s="92"/>
      <c r="O256" s="93"/>
      <c r="P256" s="93"/>
      <c r="Q256" s="93"/>
      <c r="R256" s="165"/>
      <c r="S256" s="179">
        <f t="shared" si="3"/>
        <v>254</v>
      </c>
      <c r="T256" s="94" t="s">
        <v>1078</v>
      </c>
      <c r="U256" s="90" t="s">
        <v>6</v>
      </c>
      <c r="V256" s="91" t="s">
        <v>69</v>
      </c>
      <c r="W256" s="92">
        <v>1</v>
      </c>
      <c r="X256" s="93">
        <v>0</v>
      </c>
      <c r="Y256" s="93">
        <v>51.168424552719763</v>
      </c>
      <c r="Z256" s="180">
        <v>50.342802590239828</v>
      </c>
      <c r="AA256" s="168"/>
      <c r="AB256" s="127"/>
      <c r="AC256" s="94"/>
      <c r="AD256" s="90"/>
      <c r="AE256" s="91"/>
      <c r="AF256" s="92"/>
      <c r="AG256" s="93"/>
      <c r="AH256" s="93"/>
      <c r="AI256" s="93"/>
      <c r="AJ256" s="93"/>
    </row>
    <row r="257" spans="1:36" x14ac:dyDescent="0.25">
      <c r="A257" s="88">
        <v>255</v>
      </c>
      <c r="B257" s="94" t="s">
        <v>721</v>
      </c>
      <c r="C257" s="90" t="s">
        <v>6</v>
      </c>
      <c r="D257" s="91" t="s">
        <v>89</v>
      </c>
      <c r="E257" s="92">
        <v>0</v>
      </c>
      <c r="F257" s="93">
        <v>53.722167631725</v>
      </c>
      <c r="G257" s="93">
        <v>53.722167631725</v>
      </c>
      <c r="H257" s="93"/>
      <c r="I257" s="93"/>
      <c r="J257" s="88"/>
      <c r="K257" s="94"/>
      <c r="L257" s="90"/>
      <c r="M257" s="91"/>
      <c r="N257" s="92"/>
      <c r="O257" s="93"/>
      <c r="P257" s="93"/>
      <c r="Q257" s="93"/>
      <c r="R257" s="165"/>
      <c r="S257" s="179">
        <f t="shared" si="3"/>
        <v>255</v>
      </c>
      <c r="T257" s="94" t="s">
        <v>1148</v>
      </c>
      <c r="U257" s="90" t="s">
        <v>6</v>
      </c>
      <c r="V257" s="91" t="s">
        <v>61</v>
      </c>
      <c r="W257" s="92">
        <v>2</v>
      </c>
      <c r="X257" s="93">
        <v>0</v>
      </c>
      <c r="Y257" s="93">
        <v>51.111342061151888</v>
      </c>
      <c r="Z257" s="180">
        <v>50.28664114635172</v>
      </c>
      <c r="AA257" s="168"/>
      <c r="AB257" s="127"/>
      <c r="AC257" s="94"/>
      <c r="AD257" s="90"/>
      <c r="AE257" s="91"/>
      <c r="AF257" s="92"/>
      <c r="AG257" s="93"/>
      <c r="AH257" s="93"/>
      <c r="AI257" s="93"/>
      <c r="AJ257" s="93"/>
    </row>
    <row r="258" spans="1:36" x14ac:dyDescent="0.25">
      <c r="A258" s="88">
        <v>256</v>
      </c>
      <c r="B258" s="89" t="s">
        <v>1031</v>
      </c>
      <c r="C258" s="90" t="s">
        <v>6</v>
      </c>
      <c r="D258" s="91" t="s">
        <v>58</v>
      </c>
      <c r="E258" s="92">
        <v>2</v>
      </c>
      <c r="F258" s="93">
        <v>0</v>
      </c>
      <c r="G258" s="93">
        <v>66.706544071972274</v>
      </c>
      <c r="H258" s="93"/>
      <c r="I258" s="93"/>
      <c r="J258" s="88"/>
      <c r="K258" s="94"/>
      <c r="L258" s="90"/>
      <c r="M258" s="91"/>
      <c r="N258" s="92"/>
      <c r="O258" s="93"/>
      <c r="P258" s="93"/>
      <c r="Q258" s="93"/>
      <c r="R258" s="165"/>
      <c r="S258" s="179">
        <f t="shared" si="3"/>
        <v>256</v>
      </c>
      <c r="T258" s="94" t="s">
        <v>825</v>
      </c>
      <c r="U258" s="90" t="s">
        <v>6</v>
      </c>
      <c r="V258" s="91" t="s">
        <v>88</v>
      </c>
      <c r="W258" s="92">
        <v>1</v>
      </c>
      <c r="X258" s="93">
        <v>47.857249998406772</v>
      </c>
      <c r="Y258" s="93">
        <v>50.920526345070343</v>
      </c>
      <c r="Z258" s="180">
        <v>50.098904314315561</v>
      </c>
      <c r="AA258" s="168"/>
      <c r="AB258" s="127"/>
      <c r="AC258" s="94"/>
      <c r="AD258" s="90"/>
      <c r="AE258" s="91"/>
      <c r="AF258" s="92"/>
      <c r="AG258" s="93"/>
      <c r="AH258" s="93"/>
      <c r="AI258" s="93"/>
      <c r="AJ258" s="93"/>
    </row>
    <row r="259" spans="1:36" x14ac:dyDescent="0.25">
      <c r="A259" s="88">
        <v>257</v>
      </c>
      <c r="B259" s="89" t="s">
        <v>14</v>
      </c>
      <c r="C259" s="90" t="s">
        <v>6</v>
      </c>
      <c r="D259" s="91" t="s">
        <v>57</v>
      </c>
      <c r="E259" s="92">
        <v>0</v>
      </c>
      <c r="F259" s="93">
        <v>44.279717789493709</v>
      </c>
      <c r="G259" s="93">
        <v>44.279717789493709</v>
      </c>
      <c r="H259" s="93"/>
      <c r="I259" s="93"/>
      <c r="J259" s="88"/>
      <c r="K259" s="94"/>
      <c r="L259" s="90"/>
      <c r="M259" s="91"/>
      <c r="N259" s="92"/>
      <c r="O259" s="93"/>
      <c r="P259" s="93"/>
      <c r="Q259" s="93"/>
      <c r="R259" s="165"/>
      <c r="S259" s="179">
        <f t="shared" si="3"/>
        <v>257</v>
      </c>
      <c r="T259" s="94" t="s">
        <v>862</v>
      </c>
      <c r="U259" s="90" t="s">
        <v>6</v>
      </c>
      <c r="V259" s="91" t="s">
        <v>66</v>
      </c>
      <c r="W259" s="92">
        <v>2</v>
      </c>
      <c r="X259" s="93">
        <v>38.388153047362962</v>
      </c>
      <c r="Y259" s="93">
        <v>50.760132888926449</v>
      </c>
      <c r="Z259" s="180">
        <v>49.941098867499456</v>
      </c>
      <c r="AA259" s="168"/>
      <c r="AB259" s="127"/>
      <c r="AC259" s="94"/>
      <c r="AD259" s="90"/>
      <c r="AE259" s="91"/>
      <c r="AF259" s="92"/>
      <c r="AG259" s="93"/>
      <c r="AH259" s="93"/>
      <c r="AI259" s="93"/>
      <c r="AJ259" s="93"/>
    </row>
    <row r="260" spans="1:36" x14ac:dyDescent="0.25">
      <c r="A260" s="88">
        <v>258</v>
      </c>
      <c r="B260" s="94" t="s">
        <v>730</v>
      </c>
      <c r="C260" s="90" t="s">
        <v>16</v>
      </c>
      <c r="D260" s="91" t="s">
        <v>58</v>
      </c>
      <c r="E260" s="92">
        <v>5</v>
      </c>
      <c r="F260" s="93">
        <v>69.065089787713617</v>
      </c>
      <c r="G260" s="93">
        <v>74.709362098004064</v>
      </c>
      <c r="H260" s="93"/>
      <c r="I260" s="93"/>
      <c r="J260" s="88"/>
      <c r="K260" s="94"/>
      <c r="L260" s="90"/>
      <c r="M260" s="91"/>
      <c r="N260" s="92"/>
      <c r="O260" s="93"/>
      <c r="P260" s="93"/>
      <c r="Q260" s="93"/>
      <c r="R260" s="165"/>
      <c r="S260" s="179">
        <f t="shared" si="3"/>
        <v>258</v>
      </c>
      <c r="T260" s="94" t="s">
        <v>662</v>
      </c>
      <c r="U260" s="90" t="s">
        <v>6</v>
      </c>
      <c r="V260" s="91" t="s">
        <v>57</v>
      </c>
      <c r="W260" s="92">
        <v>5</v>
      </c>
      <c r="X260" s="93">
        <v>47.416718777744791</v>
      </c>
      <c r="Y260" s="93">
        <v>50.72146787420219</v>
      </c>
      <c r="Z260" s="180">
        <v>49.903057727471655</v>
      </c>
      <c r="AA260" s="168"/>
      <c r="AB260" s="127"/>
      <c r="AC260" s="94"/>
      <c r="AD260" s="90"/>
      <c r="AE260" s="91"/>
      <c r="AF260" s="92"/>
      <c r="AG260" s="93"/>
      <c r="AH260" s="93"/>
      <c r="AI260" s="93"/>
      <c r="AJ260" s="93"/>
    </row>
    <row r="261" spans="1:36" x14ac:dyDescent="0.25">
      <c r="A261" s="88">
        <v>259</v>
      </c>
      <c r="B261" s="94" t="s">
        <v>691</v>
      </c>
      <c r="C261" s="90" t="s">
        <v>6</v>
      </c>
      <c r="D261" s="91" t="s">
        <v>62</v>
      </c>
      <c r="E261" s="92">
        <v>0</v>
      </c>
      <c r="F261" s="93">
        <v>48.846752952516105</v>
      </c>
      <c r="G261" s="93">
        <v>48.846752952516105</v>
      </c>
      <c r="H261" s="93"/>
      <c r="I261" s="93"/>
      <c r="J261" s="88"/>
      <c r="K261" s="94"/>
      <c r="L261" s="90"/>
      <c r="M261" s="91"/>
      <c r="N261" s="92"/>
      <c r="O261" s="93"/>
      <c r="P261" s="93"/>
      <c r="Q261" s="93"/>
      <c r="R261" s="165"/>
      <c r="S261" s="179">
        <f t="shared" ref="S261:S324" si="4">S260+1</f>
        <v>259</v>
      </c>
      <c r="T261" s="94" t="s">
        <v>1058</v>
      </c>
      <c r="U261" s="90" t="s">
        <v>6</v>
      </c>
      <c r="V261" s="91" t="s">
        <v>75</v>
      </c>
      <c r="W261" s="92">
        <v>5</v>
      </c>
      <c r="X261" s="93">
        <v>54.233639543797466</v>
      </c>
      <c r="Y261" s="93">
        <v>50.713168829444967</v>
      </c>
      <c r="Z261" s="180">
        <v>49.894892590953333</v>
      </c>
      <c r="AA261" s="168"/>
      <c r="AB261" s="127"/>
      <c r="AC261" s="94"/>
      <c r="AD261" s="90"/>
      <c r="AE261" s="91"/>
      <c r="AF261" s="92"/>
      <c r="AG261" s="93"/>
      <c r="AH261" s="93"/>
      <c r="AI261" s="93"/>
      <c r="AJ261" s="93"/>
    </row>
    <row r="262" spans="1:36" x14ac:dyDescent="0.25">
      <c r="A262" s="88">
        <v>260</v>
      </c>
      <c r="B262" s="94" t="s">
        <v>861</v>
      </c>
      <c r="C262" s="90" t="s">
        <v>6</v>
      </c>
      <c r="D262" s="91" t="s">
        <v>69</v>
      </c>
      <c r="E262" s="92">
        <v>0</v>
      </c>
      <c r="F262" s="93">
        <v>40.021855866245048</v>
      </c>
      <c r="G262" s="93">
        <v>40.021855866245048</v>
      </c>
      <c r="H262" s="93"/>
      <c r="I262" s="93"/>
      <c r="J262" s="88"/>
      <c r="K262" s="94"/>
      <c r="L262" s="90"/>
      <c r="M262" s="91"/>
      <c r="N262" s="92"/>
      <c r="O262" s="93"/>
      <c r="P262" s="93"/>
      <c r="Q262" s="93"/>
      <c r="R262" s="165"/>
      <c r="S262" s="179">
        <f t="shared" si="4"/>
        <v>260</v>
      </c>
      <c r="T262" s="94" t="s">
        <v>280</v>
      </c>
      <c r="U262" s="90" t="s">
        <v>6</v>
      </c>
      <c r="V262" s="91" t="s">
        <v>62</v>
      </c>
      <c r="W262" s="92">
        <v>1</v>
      </c>
      <c r="X262" s="93">
        <v>51.87683747526976</v>
      </c>
      <c r="Y262" s="93">
        <v>50.630724077529777</v>
      </c>
      <c r="Z262" s="180">
        <v>49.81377811642048</v>
      </c>
      <c r="AA262" s="168"/>
      <c r="AB262" s="127"/>
      <c r="AC262" s="94"/>
      <c r="AD262" s="90"/>
      <c r="AE262" s="91"/>
      <c r="AF262" s="92"/>
      <c r="AG262" s="93"/>
      <c r="AH262" s="93"/>
      <c r="AI262" s="93"/>
      <c r="AJ262" s="93"/>
    </row>
    <row r="263" spans="1:36" x14ac:dyDescent="0.25">
      <c r="A263" s="88">
        <v>261</v>
      </c>
      <c r="B263" s="94" t="s">
        <v>1004</v>
      </c>
      <c r="C263" s="90" t="s">
        <v>6</v>
      </c>
      <c r="D263" s="91" t="s">
        <v>67</v>
      </c>
      <c r="E263" s="92">
        <v>2</v>
      </c>
      <c r="F263" s="93">
        <v>62.399896367972694</v>
      </c>
      <c r="G263" s="93">
        <v>66.477902826298617</v>
      </c>
      <c r="H263" s="93"/>
      <c r="I263" s="93"/>
      <c r="J263" s="88"/>
      <c r="K263" s="94"/>
      <c r="L263" s="90"/>
      <c r="M263" s="91"/>
      <c r="N263" s="92"/>
      <c r="O263" s="93"/>
      <c r="P263" s="93"/>
      <c r="Q263" s="93"/>
      <c r="R263" s="165"/>
      <c r="S263" s="179">
        <f t="shared" si="4"/>
        <v>261</v>
      </c>
      <c r="T263" s="94" t="s">
        <v>727</v>
      </c>
      <c r="U263" s="90" t="s">
        <v>6</v>
      </c>
      <c r="V263" s="91" t="s">
        <v>64</v>
      </c>
      <c r="W263" s="92">
        <v>4</v>
      </c>
      <c r="X263" s="93">
        <v>0</v>
      </c>
      <c r="Y263" s="93">
        <v>50.596428721073273</v>
      </c>
      <c r="Z263" s="180">
        <v>49.780036128564809</v>
      </c>
      <c r="AA263" s="168"/>
      <c r="AB263" s="127"/>
      <c r="AC263" s="94"/>
      <c r="AD263" s="90"/>
      <c r="AE263" s="91"/>
      <c r="AF263" s="92"/>
      <c r="AG263" s="93"/>
      <c r="AH263" s="93"/>
      <c r="AI263" s="93"/>
      <c r="AJ263" s="93"/>
    </row>
    <row r="264" spans="1:36" x14ac:dyDescent="0.25">
      <c r="A264" s="88">
        <v>262</v>
      </c>
      <c r="B264" s="94" t="s">
        <v>862</v>
      </c>
      <c r="C264" s="90" t="s">
        <v>6</v>
      </c>
      <c r="D264" s="91" t="s">
        <v>66</v>
      </c>
      <c r="E264" s="92">
        <v>0</v>
      </c>
      <c r="F264" s="93">
        <v>38.388153047362962</v>
      </c>
      <c r="G264" s="93">
        <v>38.388153047362962</v>
      </c>
      <c r="H264" s="93"/>
      <c r="I264" s="93"/>
      <c r="J264" s="88"/>
      <c r="K264" s="94"/>
      <c r="L264" s="90"/>
      <c r="M264" s="91"/>
      <c r="N264" s="92"/>
      <c r="O264" s="93"/>
      <c r="P264" s="93"/>
      <c r="Q264" s="93"/>
      <c r="R264" s="165"/>
      <c r="S264" s="179">
        <f t="shared" si="4"/>
        <v>262</v>
      </c>
      <c r="T264" s="94" t="s">
        <v>225</v>
      </c>
      <c r="U264" s="90" t="s">
        <v>6</v>
      </c>
      <c r="V264" s="91" t="s">
        <v>87</v>
      </c>
      <c r="W264" s="92">
        <v>2</v>
      </c>
      <c r="X264" s="93">
        <v>43.181857403404642</v>
      </c>
      <c r="Y264" s="93">
        <v>50.480072264702954</v>
      </c>
      <c r="Z264" s="180">
        <v>49.665557127806927</v>
      </c>
      <c r="AA264" s="168"/>
      <c r="AB264" s="127"/>
      <c r="AC264" s="94"/>
      <c r="AD264" s="90"/>
      <c r="AE264" s="91"/>
      <c r="AF264" s="92"/>
      <c r="AG264" s="93"/>
      <c r="AH264" s="93"/>
      <c r="AI264" s="93"/>
      <c r="AJ264" s="93"/>
    </row>
    <row r="265" spans="1:36" x14ac:dyDescent="0.25">
      <c r="A265" s="88">
        <v>263</v>
      </c>
      <c r="B265" s="94" t="s">
        <v>906</v>
      </c>
      <c r="C265" s="90" t="s">
        <v>6</v>
      </c>
      <c r="D265" s="91" t="s">
        <v>62</v>
      </c>
      <c r="E265" s="92">
        <v>0</v>
      </c>
      <c r="F265" s="93">
        <v>60.979804896167906</v>
      </c>
      <c r="G265" s="93">
        <v>60.979804896167906</v>
      </c>
      <c r="H265" s="93"/>
      <c r="I265" s="93"/>
      <c r="J265" s="88"/>
      <c r="K265" s="94"/>
      <c r="L265" s="90"/>
      <c r="M265" s="91"/>
      <c r="N265" s="92"/>
      <c r="O265" s="93"/>
      <c r="P265" s="93"/>
      <c r="Q265" s="93"/>
      <c r="R265" s="165"/>
      <c r="S265" s="179">
        <f t="shared" si="4"/>
        <v>263</v>
      </c>
      <c r="T265" s="94" t="s">
        <v>1150</v>
      </c>
      <c r="U265" s="90" t="s">
        <v>6</v>
      </c>
      <c r="V265" s="91" t="s">
        <v>87</v>
      </c>
      <c r="W265" s="92">
        <v>4</v>
      </c>
      <c r="X265" s="93">
        <v>0</v>
      </c>
      <c r="Y265" s="93">
        <v>50.46868350927906</v>
      </c>
      <c r="Z265" s="180">
        <v>49.65435213427692</v>
      </c>
      <c r="AA265" s="168"/>
      <c r="AB265" s="127"/>
      <c r="AC265" s="94"/>
      <c r="AD265" s="90"/>
      <c r="AE265" s="91"/>
      <c r="AF265" s="92"/>
      <c r="AG265" s="93"/>
      <c r="AH265" s="93"/>
      <c r="AI265" s="93"/>
      <c r="AJ265" s="93"/>
    </row>
    <row r="266" spans="1:36" x14ac:dyDescent="0.25">
      <c r="A266" s="88">
        <v>264</v>
      </c>
      <c r="B266" s="94" t="s">
        <v>904</v>
      </c>
      <c r="C266" s="90" t="s">
        <v>6</v>
      </c>
      <c r="D266" s="91" t="s">
        <v>62</v>
      </c>
      <c r="E266" s="92">
        <v>0</v>
      </c>
      <c r="F266" s="93">
        <v>25.061784301215965</v>
      </c>
      <c r="G266" s="93">
        <v>25.061784301215965</v>
      </c>
      <c r="H266" s="93"/>
      <c r="I266" s="93"/>
      <c r="J266" s="88"/>
      <c r="K266" s="94"/>
      <c r="L266" s="90"/>
      <c r="M266" s="91"/>
      <c r="N266" s="92"/>
      <c r="O266" s="93"/>
      <c r="P266" s="93"/>
      <c r="Q266" s="93"/>
      <c r="R266" s="165"/>
      <c r="S266" s="179">
        <f t="shared" si="4"/>
        <v>264</v>
      </c>
      <c r="T266" s="94" t="s">
        <v>1171</v>
      </c>
      <c r="U266" s="90" t="s">
        <v>6</v>
      </c>
      <c r="V266" s="91" t="s">
        <v>88</v>
      </c>
      <c r="W266" s="92">
        <v>2</v>
      </c>
      <c r="X266" s="93">
        <v>0</v>
      </c>
      <c r="Y266" s="93">
        <v>50.08893336830613</v>
      </c>
      <c r="Z266" s="180">
        <v>49.280729406046966</v>
      </c>
      <c r="AA266" s="168"/>
      <c r="AB266" s="127"/>
      <c r="AC266" s="94"/>
      <c r="AD266" s="90"/>
      <c r="AE266" s="91"/>
      <c r="AF266" s="92"/>
      <c r="AG266" s="93"/>
      <c r="AH266" s="93"/>
      <c r="AI266" s="93"/>
      <c r="AJ266" s="93"/>
    </row>
    <row r="267" spans="1:36" x14ac:dyDescent="0.25">
      <c r="A267" s="88">
        <v>265</v>
      </c>
      <c r="B267" s="94" t="s">
        <v>762</v>
      </c>
      <c r="C267" s="90" t="s">
        <v>6</v>
      </c>
      <c r="D267" s="91" t="s">
        <v>58</v>
      </c>
      <c r="E267" s="92">
        <v>4</v>
      </c>
      <c r="F267" s="93">
        <v>94.093188352610781</v>
      </c>
      <c r="G267" s="93">
        <v>92.524757170419548</v>
      </c>
      <c r="H267" s="93"/>
      <c r="I267" s="93"/>
      <c r="J267" s="88"/>
      <c r="K267" s="94"/>
      <c r="L267" s="90"/>
      <c r="M267" s="91"/>
      <c r="N267" s="92"/>
      <c r="O267" s="93"/>
      <c r="P267" s="93"/>
      <c r="Q267" s="93"/>
      <c r="R267" s="165"/>
      <c r="S267" s="179">
        <f t="shared" si="4"/>
        <v>265</v>
      </c>
      <c r="T267" s="94" t="s">
        <v>771</v>
      </c>
      <c r="U267" s="90" t="s">
        <v>6</v>
      </c>
      <c r="V267" s="91" t="s">
        <v>62</v>
      </c>
      <c r="W267" s="92">
        <v>3</v>
      </c>
      <c r="X267" s="93">
        <v>40.260450989066918</v>
      </c>
      <c r="Y267" s="93">
        <v>50.001880602014332</v>
      </c>
      <c r="Z267" s="180">
        <v>49.195081269199463</v>
      </c>
      <c r="AA267" s="168"/>
      <c r="AB267" s="127"/>
      <c r="AC267" s="94"/>
      <c r="AD267" s="90"/>
      <c r="AE267" s="91"/>
      <c r="AF267" s="92"/>
      <c r="AG267" s="93"/>
      <c r="AH267" s="93"/>
      <c r="AI267" s="93"/>
      <c r="AJ267" s="93"/>
    </row>
    <row r="268" spans="1:36" x14ac:dyDescent="0.25">
      <c r="A268" s="88">
        <v>266</v>
      </c>
      <c r="B268" s="89" t="s">
        <v>165</v>
      </c>
      <c r="C268" s="90" t="s">
        <v>6</v>
      </c>
      <c r="D268" s="90" t="s">
        <v>62</v>
      </c>
      <c r="E268" s="92">
        <v>1</v>
      </c>
      <c r="F268" s="93">
        <v>73.863711227329304</v>
      </c>
      <c r="G268" s="93">
        <v>75.432601758267779</v>
      </c>
      <c r="H268" s="93"/>
      <c r="I268" s="93"/>
      <c r="J268" s="88"/>
      <c r="K268" s="94"/>
      <c r="L268" s="90"/>
      <c r="M268" s="91"/>
      <c r="N268" s="92"/>
      <c r="O268" s="93"/>
      <c r="P268" s="93"/>
      <c r="Q268" s="93"/>
      <c r="R268" s="165"/>
      <c r="S268" s="179">
        <f t="shared" si="4"/>
        <v>266</v>
      </c>
      <c r="T268" s="94" t="s">
        <v>942</v>
      </c>
      <c r="U268" s="90" t="s">
        <v>6</v>
      </c>
      <c r="V268" s="91" t="s">
        <v>69</v>
      </c>
      <c r="W268" s="92">
        <v>3</v>
      </c>
      <c r="X268" s="93">
        <v>0</v>
      </c>
      <c r="Y268" s="93">
        <v>49.920113127467367</v>
      </c>
      <c r="Z268" s="180">
        <v>49.114633143907284</v>
      </c>
      <c r="AA268" s="168"/>
      <c r="AB268" s="127"/>
      <c r="AC268" s="94"/>
      <c r="AD268" s="90"/>
      <c r="AE268" s="91"/>
      <c r="AF268" s="92"/>
      <c r="AG268" s="93"/>
      <c r="AH268" s="93"/>
      <c r="AI268" s="93"/>
      <c r="AJ268" s="93"/>
    </row>
    <row r="269" spans="1:36" ht="13.8" thickBot="1" x14ac:dyDescent="0.3">
      <c r="A269" s="88">
        <v>267</v>
      </c>
      <c r="B269" s="94" t="s">
        <v>758</v>
      </c>
      <c r="C269" s="90" t="s">
        <v>6</v>
      </c>
      <c r="D269" s="91" t="s">
        <v>87</v>
      </c>
      <c r="E269" s="92">
        <v>0</v>
      </c>
      <c r="F269" s="93">
        <v>45.907986673761499</v>
      </c>
      <c r="G269" s="93">
        <v>45.907986673761499</v>
      </c>
      <c r="H269" s="93"/>
      <c r="I269" s="93"/>
      <c r="J269" s="88"/>
      <c r="K269" s="135"/>
      <c r="L269" s="136"/>
      <c r="M269" s="137"/>
      <c r="N269" s="138"/>
      <c r="O269" s="139"/>
      <c r="P269" s="139"/>
      <c r="Q269" s="139"/>
      <c r="R269" s="166"/>
      <c r="S269" s="179">
        <f t="shared" si="4"/>
        <v>267</v>
      </c>
      <c r="T269" s="94" t="s">
        <v>1088</v>
      </c>
      <c r="U269" s="90" t="s">
        <v>6</v>
      </c>
      <c r="V269" s="91" t="s">
        <v>69</v>
      </c>
      <c r="W269" s="92">
        <v>1</v>
      </c>
      <c r="X269" s="93">
        <v>0</v>
      </c>
      <c r="Y269" s="93">
        <v>49.917106335945576</v>
      </c>
      <c r="Z269" s="180">
        <v>49.111674868108594</v>
      </c>
      <c r="AA269" s="168"/>
      <c r="AB269" s="127"/>
      <c r="AC269" s="94"/>
      <c r="AD269" s="90"/>
      <c r="AE269" s="91"/>
      <c r="AF269" s="92"/>
      <c r="AG269" s="93"/>
      <c r="AH269" s="93"/>
      <c r="AI269" s="93"/>
      <c r="AJ269" s="93"/>
    </row>
    <row r="270" spans="1:36" ht="13.8" thickTop="1" x14ac:dyDescent="0.25">
      <c r="A270" s="88">
        <v>268</v>
      </c>
      <c r="B270" s="94" t="s">
        <v>399</v>
      </c>
      <c r="C270" s="90" t="s">
        <v>6</v>
      </c>
      <c r="D270" s="90" t="s">
        <v>58</v>
      </c>
      <c r="E270" s="92">
        <v>0</v>
      </c>
      <c r="F270" s="93">
        <v>58.688336780834739</v>
      </c>
      <c r="G270" s="93">
        <v>58.688336780834739</v>
      </c>
      <c r="H270" s="93"/>
      <c r="I270" s="93"/>
      <c r="J270" s="88"/>
      <c r="K270" s="144"/>
      <c r="L270" s="140"/>
      <c r="M270" s="141"/>
      <c r="N270" s="142"/>
      <c r="O270" s="143"/>
      <c r="P270" s="143"/>
      <c r="Q270" s="143"/>
      <c r="R270" s="167"/>
      <c r="S270" s="179">
        <f t="shared" si="4"/>
        <v>268</v>
      </c>
      <c r="T270" s="94" t="s">
        <v>1142</v>
      </c>
      <c r="U270" s="90" t="s">
        <v>6</v>
      </c>
      <c r="V270" s="91" t="s">
        <v>67</v>
      </c>
      <c r="W270" s="92">
        <v>5</v>
      </c>
      <c r="X270" s="93">
        <v>43.817120259708126</v>
      </c>
      <c r="Y270" s="93">
        <v>49.495002768766703</v>
      </c>
      <c r="Z270" s="180">
        <v>48.696382102289157</v>
      </c>
      <c r="AA270" s="168"/>
    </row>
    <row r="271" spans="1:36" x14ac:dyDescent="0.25">
      <c r="A271" s="88">
        <v>269</v>
      </c>
      <c r="B271" s="89" t="s">
        <v>860</v>
      </c>
      <c r="C271" s="90" t="s">
        <v>6</v>
      </c>
      <c r="D271" s="91" t="s">
        <v>87</v>
      </c>
      <c r="E271" s="92">
        <v>0</v>
      </c>
      <c r="F271" s="93">
        <v>40.492629924536757</v>
      </c>
      <c r="G271" s="93">
        <v>40.492629924536757</v>
      </c>
      <c r="H271" s="93"/>
      <c r="I271" s="93"/>
      <c r="J271" s="88"/>
      <c r="K271" s="94"/>
      <c r="L271" s="90"/>
      <c r="M271" s="91"/>
      <c r="N271" s="92"/>
      <c r="O271" s="93"/>
      <c r="P271" s="93"/>
      <c r="Q271" s="93"/>
      <c r="R271" s="165"/>
      <c r="S271" s="179">
        <f t="shared" si="4"/>
        <v>269</v>
      </c>
      <c r="T271" s="94" t="s">
        <v>1002</v>
      </c>
      <c r="U271" s="90" t="s">
        <v>6</v>
      </c>
      <c r="V271" s="91" t="s">
        <v>59</v>
      </c>
      <c r="W271" s="92">
        <v>1</v>
      </c>
      <c r="X271" s="93">
        <v>49.890115442943276</v>
      </c>
      <c r="Y271" s="93">
        <v>49.468628955391111</v>
      </c>
      <c r="Z271" s="180">
        <v>48.670433840408414</v>
      </c>
      <c r="AA271" s="168"/>
      <c r="AD271" s="113" t="s">
        <v>62</v>
      </c>
      <c r="AE271" s="42">
        <f>COUNTIF($V$3:$V$308,"CO")</f>
        <v>58</v>
      </c>
      <c r="AF271" s="42">
        <f>COUNTIF($M$3:$M$25,"CO")</f>
        <v>0</v>
      </c>
    </row>
    <row r="272" spans="1:36" x14ac:dyDescent="0.25">
      <c r="A272" s="88">
        <v>270</v>
      </c>
      <c r="B272" s="94" t="s">
        <v>81</v>
      </c>
      <c r="C272" s="90" t="s">
        <v>6</v>
      </c>
      <c r="D272" s="90" t="s">
        <v>57</v>
      </c>
      <c r="E272" s="92">
        <v>0</v>
      </c>
      <c r="F272" s="93">
        <v>59.764313956813048</v>
      </c>
      <c r="G272" s="93">
        <v>59.764313956813048</v>
      </c>
      <c r="H272" s="93"/>
      <c r="I272" s="93"/>
      <c r="J272" s="88"/>
      <c r="K272" s="94"/>
      <c r="L272" s="90"/>
      <c r="M272" s="91"/>
      <c r="N272" s="92"/>
      <c r="O272" s="93"/>
      <c r="P272" s="93"/>
      <c r="Q272" s="93"/>
      <c r="R272" s="165"/>
      <c r="S272" s="179">
        <f t="shared" si="4"/>
        <v>270</v>
      </c>
      <c r="T272" s="94" t="s">
        <v>1149</v>
      </c>
      <c r="U272" s="90" t="s">
        <v>6</v>
      </c>
      <c r="V272" s="91" t="s">
        <v>66</v>
      </c>
      <c r="W272" s="92">
        <v>4</v>
      </c>
      <c r="X272" s="93">
        <v>0</v>
      </c>
      <c r="Y272" s="93">
        <v>49.336753285347086</v>
      </c>
      <c r="Z272" s="180">
        <v>48.540686034383199</v>
      </c>
      <c r="AA272" s="168"/>
      <c r="AD272" s="113" t="s">
        <v>57</v>
      </c>
      <c r="AE272" s="42">
        <f>COUNTIF($V$3:$V$308,"NY")</f>
        <v>24</v>
      </c>
      <c r="AF272" s="42">
        <f>COUNTIF($M$3:$M$25,"NY")</f>
        <v>0</v>
      </c>
    </row>
    <row r="273" spans="1:32" x14ac:dyDescent="0.25">
      <c r="A273" s="88">
        <v>271</v>
      </c>
      <c r="B273" s="94" t="s">
        <v>926</v>
      </c>
      <c r="C273" s="90" t="s">
        <v>6</v>
      </c>
      <c r="D273" s="90" t="s">
        <v>781</v>
      </c>
      <c r="E273" s="92">
        <v>0</v>
      </c>
      <c r="F273" s="93">
        <v>30.444874424475742</v>
      </c>
      <c r="G273" s="93">
        <v>30.444874424475742</v>
      </c>
      <c r="H273" s="93"/>
      <c r="I273" s="93"/>
      <c r="J273" s="88"/>
      <c r="K273" s="94"/>
      <c r="L273" s="90"/>
      <c r="M273" s="91"/>
      <c r="N273" s="92"/>
      <c r="O273" s="93"/>
      <c r="P273" s="93"/>
      <c r="Q273" s="93"/>
      <c r="R273" s="165"/>
      <c r="S273" s="179">
        <f t="shared" si="4"/>
        <v>271</v>
      </c>
      <c r="T273" s="94" t="s">
        <v>752</v>
      </c>
      <c r="U273" s="90" t="s">
        <v>6</v>
      </c>
      <c r="V273" s="91" t="s">
        <v>88</v>
      </c>
      <c r="W273" s="92">
        <v>6</v>
      </c>
      <c r="X273" s="93">
        <v>0</v>
      </c>
      <c r="Y273" s="93">
        <v>49.335439972028794</v>
      </c>
      <c r="Z273" s="180">
        <v>48.539393911874065</v>
      </c>
      <c r="AA273" s="168"/>
      <c r="AD273" s="113" t="s">
        <v>69</v>
      </c>
      <c r="AE273" s="42">
        <f>COUNTIF($V$3:$V$308,"WA")</f>
        <v>27</v>
      </c>
      <c r="AF273" s="42">
        <f>COUNTIF($M$3:$M$25,"WA")</f>
        <v>0</v>
      </c>
    </row>
    <row r="274" spans="1:32" x14ac:dyDescent="0.25">
      <c r="A274" s="88">
        <v>272</v>
      </c>
      <c r="B274" s="94" t="s">
        <v>109</v>
      </c>
      <c r="C274" s="90" t="s">
        <v>6</v>
      </c>
      <c r="D274" s="91" t="s">
        <v>69</v>
      </c>
      <c r="E274" s="92">
        <v>0</v>
      </c>
      <c r="F274" s="93">
        <v>61.177974101557659</v>
      </c>
      <c r="G274" s="93">
        <v>61.177974101557659</v>
      </c>
      <c r="H274" s="93"/>
      <c r="I274" s="93"/>
      <c r="J274" s="88"/>
      <c r="K274" s="94"/>
      <c r="L274" s="90"/>
      <c r="M274" s="91"/>
      <c r="N274" s="92"/>
      <c r="O274" s="93"/>
      <c r="P274" s="93"/>
      <c r="Q274" s="93"/>
      <c r="R274" s="165"/>
      <c r="S274" s="179">
        <f t="shared" si="4"/>
        <v>272</v>
      </c>
      <c r="T274" s="94" t="s">
        <v>1106</v>
      </c>
      <c r="U274" s="90" t="s">
        <v>16</v>
      </c>
      <c r="V274" s="91" t="s">
        <v>63</v>
      </c>
      <c r="W274" s="92">
        <v>1</v>
      </c>
      <c r="X274" s="93">
        <v>0</v>
      </c>
      <c r="Y274" s="93">
        <v>49.16342616001247</v>
      </c>
      <c r="Z274" s="180">
        <v>48.370155608040605</v>
      </c>
      <c r="AA274" s="168"/>
      <c r="AD274" s="113" t="s">
        <v>63</v>
      </c>
      <c r="AE274" s="42">
        <f>COUNTIF($V$3:$V$308,"VT")</f>
        <v>32</v>
      </c>
      <c r="AF274" s="42">
        <f>COUNTIF($M$3:$M$25,"VT")</f>
        <v>0</v>
      </c>
    </row>
    <row r="275" spans="1:32" x14ac:dyDescent="0.25">
      <c r="A275" s="88">
        <v>273</v>
      </c>
      <c r="B275" s="94" t="s">
        <v>743</v>
      </c>
      <c r="C275" s="90" t="s">
        <v>6</v>
      </c>
      <c r="D275" s="91" t="s">
        <v>69</v>
      </c>
      <c r="E275" s="92">
        <v>0</v>
      </c>
      <c r="F275" s="93">
        <v>58.824422672637624</v>
      </c>
      <c r="G275" s="93">
        <v>58.824422672637624</v>
      </c>
      <c r="H275" s="93"/>
      <c r="I275" s="93"/>
      <c r="J275" s="88"/>
      <c r="K275" s="94"/>
      <c r="L275" s="90"/>
      <c r="M275" s="91"/>
      <c r="N275" s="92"/>
      <c r="O275" s="93"/>
      <c r="P275" s="93"/>
      <c r="Q275" s="93"/>
      <c r="R275" s="165"/>
      <c r="S275" s="179">
        <f t="shared" si="4"/>
        <v>273</v>
      </c>
      <c r="T275" s="94" t="s">
        <v>14</v>
      </c>
      <c r="U275" s="90" t="s">
        <v>6</v>
      </c>
      <c r="V275" s="91" t="s">
        <v>57</v>
      </c>
      <c r="W275" s="92">
        <v>2</v>
      </c>
      <c r="X275" s="93">
        <v>44.279717789493709</v>
      </c>
      <c r="Y275" s="93">
        <v>49.157513366472287</v>
      </c>
      <c r="Z275" s="180">
        <v>48.364338219669705</v>
      </c>
      <c r="AA275" s="168"/>
      <c r="AD275" s="113" t="s">
        <v>88</v>
      </c>
      <c r="AE275" s="42">
        <f>COUNTIF($V$3:$V$308,"WI")</f>
        <v>34</v>
      </c>
      <c r="AF275" s="42">
        <f>COUNTIF($M$3:$M$25,"WI")</f>
        <v>0</v>
      </c>
    </row>
    <row r="276" spans="1:32" x14ac:dyDescent="0.25">
      <c r="A276" s="88">
        <v>274</v>
      </c>
      <c r="B276" s="89" t="s">
        <v>912</v>
      </c>
      <c r="C276" s="90" t="s">
        <v>6</v>
      </c>
      <c r="D276" s="91" t="s">
        <v>78</v>
      </c>
      <c r="E276" s="92">
        <v>0</v>
      </c>
      <c r="F276" s="93">
        <v>54.92732370908567</v>
      </c>
      <c r="G276" s="93">
        <v>54.92732370908567</v>
      </c>
      <c r="H276" s="93"/>
      <c r="I276" s="93"/>
      <c r="J276" s="88"/>
      <c r="K276" s="94"/>
      <c r="L276" s="90"/>
      <c r="M276" s="91"/>
      <c r="N276" s="92"/>
      <c r="O276" s="93"/>
      <c r="P276" s="93"/>
      <c r="Q276" s="93"/>
      <c r="R276" s="165"/>
      <c r="S276" s="179">
        <f t="shared" si="4"/>
        <v>274</v>
      </c>
      <c r="T276" s="94" t="s">
        <v>1125</v>
      </c>
      <c r="U276" s="90" t="s">
        <v>6</v>
      </c>
      <c r="V276" s="91" t="s">
        <v>77</v>
      </c>
      <c r="W276" s="92">
        <v>2</v>
      </c>
      <c r="X276" s="93">
        <v>0</v>
      </c>
      <c r="Y276" s="93">
        <v>49.137260700923846</v>
      </c>
      <c r="Z276" s="180">
        <v>48.344412338571274</v>
      </c>
      <c r="AA276" s="168"/>
      <c r="AD276" s="113" t="s">
        <v>58</v>
      </c>
      <c r="AE276" s="42">
        <f>COUNTIF($V$3:$V$308,"MN")</f>
        <v>19</v>
      </c>
      <c r="AF276" s="42">
        <f>COUNTIF($M$3:$M$25,"MN")</f>
        <v>0</v>
      </c>
    </row>
    <row r="277" spans="1:32" x14ac:dyDescent="0.25">
      <c r="A277" s="88">
        <v>275</v>
      </c>
      <c r="B277" s="89" t="s">
        <v>695</v>
      </c>
      <c r="C277" s="90" t="s">
        <v>6</v>
      </c>
      <c r="D277" s="91" t="s">
        <v>80</v>
      </c>
      <c r="E277" s="92">
        <v>0</v>
      </c>
      <c r="F277" s="93">
        <v>54.923238423217185</v>
      </c>
      <c r="G277" s="93">
        <v>54.923238423217185</v>
      </c>
      <c r="H277" s="93"/>
      <c r="I277" s="93"/>
      <c r="J277" s="88"/>
      <c r="K277" s="94"/>
      <c r="L277" s="90"/>
      <c r="M277" s="91"/>
      <c r="N277" s="92"/>
      <c r="O277" s="93"/>
      <c r="P277" s="93"/>
      <c r="Q277" s="93"/>
      <c r="R277" s="165"/>
      <c r="S277" s="179">
        <f t="shared" si="4"/>
        <v>275</v>
      </c>
      <c r="T277" s="94" t="s">
        <v>859</v>
      </c>
      <c r="U277" s="90" t="s">
        <v>6</v>
      </c>
      <c r="V277" s="91" t="s">
        <v>59</v>
      </c>
      <c r="W277" s="92">
        <v>2</v>
      </c>
      <c r="X277" s="93">
        <v>42.726926272293511</v>
      </c>
      <c r="Y277" s="93">
        <v>49.10378673269868</v>
      </c>
      <c r="Z277" s="180">
        <v>48.311478485535893</v>
      </c>
      <c r="AA277" s="168"/>
      <c r="AD277" s="113" t="s">
        <v>67</v>
      </c>
      <c r="AE277" s="42">
        <f>COUNTIF($V$3:$V$308,"UT")</f>
        <v>14</v>
      </c>
      <c r="AF277" s="42">
        <f>COUNTIF($M$3:$M$25,"UT")</f>
        <v>0</v>
      </c>
    </row>
    <row r="278" spans="1:32" x14ac:dyDescent="0.25">
      <c r="A278" s="88">
        <v>276</v>
      </c>
      <c r="B278" s="94" t="s">
        <v>770</v>
      </c>
      <c r="C278" s="90" t="s">
        <v>6</v>
      </c>
      <c r="D278" s="91" t="s">
        <v>62</v>
      </c>
      <c r="E278" s="92">
        <v>0</v>
      </c>
      <c r="F278" s="93">
        <v>56.854090021592278</v>
      </c>
      <c r="G278" s="93">
        <v>56.854090021592278</v>
      </c>
      <c r="H278" s="93"/>
      <c r="I278" s="93"/>
      <c r="J278" s="88"/>
      <c r="K278" s="94"/>
      <c r="L278" s="90"/>
      <c r="M278" s="91"/>
      <c r="N278" s="92"/>
      <c r="O278" s="93"/>
      <c r="P278" s="93"/>
      <c r="Q278" s="93"/>
      <c r="R278" s="165"/>
      <c r="S278" s="179">
        <f t="shared" si="4"/>
        <v>276</v>
      </c>
      <c r="T278" s="94" t="s">
        <v>824</v>
      </c>
      <c r="U278" s="90" t="s">
        <v>6</v>
      </c>
      <c r="V278" s="91" t="s">
        <v>88</v>
      </c>
      <c r="W278" s="92">
        <v>5</v>
      </c>
      <c r="X278" s="93">
        <v>45.59893970758165</v>
      </c>
      <c r="Y278" s="93">
        <v>49.066143511294854</v>
      </c>
      <c r="Z278" s="180">
        <v>48.274442651805245</v>
      </c>
      <c r="AA278" s="168"/>
      <c r="AD278" s="113" t="s">
        <v>61</v>
      </c>
      <c r="AE278" s="42">
        <f>COUNTIF($V$3:$V$308,"AK")</f>
        <v>17</v>
      </c>
      <c r="AF278" s="42">
        <f>COUNTIF($M$3:$M$25,"AK")</f>
        <v>0</v>
      </c>
    </row>
    <row r="279" spans="1:32" x14ac:dyDescent="0.25">
      <c r="A279" s="88">
        <v>277</v>
      </c>
      <c r="B279" s="94" t="s">
        <v>716</v>
      </c>
      <c r="C279" s="90" t="s">
        <v>6</v>
      </c>
      <c r="D279" s="91" t="s">
        <v>62</v>
      </c>
      <c r="E279" s="92">
        <v>0</v>
      </c>
      <c r="F279" s="93">
        <v>55.959542997423206</v>
      </c>
      <c r="G279" s="93">
        <v>55.959542997423206</v>
      </c>
      <c r="H279" s="93"/>
      <c r="I279" s="93"/>
      <c r="J279" s="88"/>
      <c r="K279" s="94"/>
      <c r="L279" s="90"/>
      <c r="M279" s="91"/>
      <c r="N279" s="92"/>
      <c r="O279" s="93"/>
      <c r="P279" s="93"/>
      <c r="Q279" s="93"/>
      <c r="R279" s="165"/>
      <c r="S279" s="179">
        <f t="shared" si="4"/>
        <v>277</v>
      </c>
      <c r="T279" s="94" t="s">
        <v>804</v>
      </c>
      <c r="U279" s="90" t="s">
        <v>6</v>
      </c>
      <c r="V279" s="91" t="s">
        <v>62</v>
      </c>
      <c r="W279" s="92">
        <v>2</v>
      </c>
      <c r="X279" s="93">
        <v>53.321556703368351</v>
      </c>
      <c r="Y279" s="93">
        <v>48.931033092858321</v>
      </c>
      <c r="Z279" s="180">
        <v>48.141512291281309</v>
      </c>
      <c r="AA279" s="168"/>
      <c r="AD279" s="113" t="s">
        <v>64</v>
      </c>
      <c r="AE279" s="42">
        <f>COUNTIF($V$3:$V$308,"ME")</f>
        <v>5</v>
      </c>
      <c r="AF279" s="42">
        <f>COUNTIF($M$3:$M$25,"ME")</f>
        <v>0</v>
      </c>
    </row>
    <row r="280" spans="1:32" x14ac:dyDescent="0.25">
      <c r="A280" s="88">
        <v>278</v>
      </c>
      <c r="B280" s="89" t="s">
        <v>110</v>
      </c>
      <c r="C280" s="90" t="s">
        <v>6</v>
      </c>
      <c r="D280" s="91" t="s">
        <v>57</v>
      </c>
      <c r="E280" s="92">
        <v>0</v>
      </c>
      <c r="F280" s="93">
        <v>45.826273858324868</v>
      </c>
      <c r="G280" s="93">
        <v>45.826273858324868</v>
      </c>
      <c r="H280" s="93"/>
      <c r="I280" s="93"/>
      <c r="J280" s="88"/>
      <c r="K280" s="94"/>
      <c r="L280" s="90"/>
      <c r="M280" s="91"/>
      <c r="N280" s="92"/>
      <c r="O280" s="93"/>
      <c r="P280" s="93"/>
      <c r="Q280" s="93"/>
      <c r="R280" s="165"/>
      <c r="S280" s="179">
        <f t="shared" si="4"/>
        <v>278</v>
      </c>
      <c r="T280" s="94" t="s">
        <v>436</v>
      </c>
      <c r="U280" s="90" t="s">
        <v>6</v>
      </c>
      <c r="V280" s="91" t="s">
        <v>69</v>
      </c>
      <c r="W280" s="92">
        <v>1</v>
      </c>
      <c r="X280" s="93">
        <v>49.512158141626699</v>
      </c>
      <c r="Y280" s="93">
        <v>48.917822128678836</v>
      </c>
      <c r="Z280" s="180">
        <v>48.12851449102601</v>
      </c>
      <c r="AA280" s="168"/>
      <c r="AD280" s="113" t="s">
        <v>59</v>
      </c>
      <c r="AE280" s="42">
        <f>COUNTIF($V$3:$V$308,"MT")</f>
        <v>14</v>
      </c>
      <c r="AF280" s="42">
        <f>COUNTIF($M$3:$M$25,"MT")</f>
        <v>0</v>
      </c>
    </row>
    <row r="281" spans="1:32" x14ac:dyDescent="0.25">
      <c r="A281" s="88">
        <v>279</v>
      </c>
      <c r="B281" s="94" t="s">
        <v>244</v>
      </c>
      <c r="C281" s="90" t="s">
        <v>6</v>
      </c>
      <c r="D281" s="91" t="s">
        <v>69</v>
      </c>
      <c r="E281" s="92">
        <v>0</v>
      </c>
      <c r="F281" s="93">
        <v>53.214075674963304</v>
      </c>
      <c r="G281" s="93">
        <v>53.214075674963304</v>
      </c>
      <c r="H281" s="93"/>
      <c r="I281" s="93"/>
      <c r="J281" s="88"/>
      <c r="K281" s="94"/>
      <c r="L281" s="90"/>
      <c r="M281" s="91"/>
      <c r="N281" s="92"/>
      <c r="O281" s="93"/>
      <c r="P281" s="93"/>
      <c r="Q281" s="93"/>
      <c r="R281" s="165"/>
      <c r="S281" s="179">
        <f t="shared" si="4"/>
        <v>279</v>
      </c>
      <c r="T281" s="94" t="s">
        <v>110</v>
      </c>
      <c r="U281" s="90" t="s">
        <v>6</v>
      </c>
      <c r="V281" s="91" t="s">
        <v>57</v>
      </c>
      <c r="W281" s="92">
        <v>6</v>
      </c>
      <c r="X281" s="93">
        <v>45.826273858324868</v>
      </c>
      <c r="Y281" s="93">
        <v>48.832067145862474</v>
      </c>
      <c r="Z281" s="180">
        <v>48.04414319742471</v>
      </c>
      <c r="AA281" s="168"/>
      <c r="AD281" s="113" t="s">
        <v>66</v>
      </c>
      <c r="AE281" s="42">
        <f>COUNTIF($V$3:$V$308,"WY")</f>
        <v>6</v>
      </c>
      <c r="AF281" s="42">
        <f>COUNTIF($M$3:$M$25,"WY")</f>
        <v>0</v>
      </c>
    </row>
    <row r="282" spans="1:32" x14ac:dyDescent="0.25">
      <c r="A282" s="88">
        <v>280</v>
      </c>
      <c r="B282" s="94" t="s">
        <v>864</v>
      </c>
      <c r="C282" s="90" t="s">
        <v>6</v>
      </c>
      <c r="D282" s="91" t="s">
        <v>62</v>
      </c>
      <c r="E282" s="92">
        <v>0</v>
      </c>
      <c r="F282" s="93">
        <v>36.92521163114376</v>
      </c>
      <c r="G282" s="93">
        <v>36.92521163114376</v>
      </c>
      <c r="H282" s="93"/>
      <c r="I282" s="93"/>
      <c r="J282" s="88"/>
      <c r="K282" s="94"/>
      <c r="L282" s="90"/>
      <c r="M282" s="91"/>
      <c r="N282" s="92"/>
      <c r="O282" s="93"/>
      <c r="P282" s="93"/>
      <c r="Q282" s="93"/>
      <c r="R282" s="165"/>
      <c r="S282" s="179">
        <f t="shared" si="4"/>
        <v>280</v>
      </c>
      <c r="T282" s="94" t="s">
        <v>1345</v>
      </c>
      <c r="U282" s="90" t="s">
        <v>6</v>
      </c>
      <c r="V282" s="91" t="s">
        <v>87</v>
      </c>
      <c r="W282" s="92">
        <v>4</v>
      </c>
      <c r="X282" s="93">
        <v>48.414196577914218</v>
      </c>
      <c r="Y282" s="93">
        <v>48.811881466718802</v>
      </c>
      <c r="Z282" s="180">
        <v>48.024283221879976</v>
      </c>
      <c r="AA282" s="168"/>
      <c r="AD282" s="113" t="s">
        <v>87</v>
      </c>
      <c r="AE282" s="42">
        <f>COUNTIF($V$3:$V$308,"WY")</f>
        <v>6</v>
      </c>
      <c r="AF282" s="42">
        <f>COUNTIF($M$3:$M$25,"CA")</f>
        <v>0</v>
      </c>
    </row>
    <row r="283" spans="1:32" x14ac:dyDescent="0.25">
      <c r="A283" s="88">
        <v>281</v>
      </c>
      <c r="B283" s="94" t="s">
        <v>280</v>
      </c>
      <c r="C283" s="90" t="s">
        <v>6</v>
      </c>
      <c r="D283" s="90" t="s">
        <v>62</v>
      </c>
      <c r="E283" s="92">
        <v>0</v>
      </c>
      <c r="F283" s="93">
        <v>51.87683747526976</v>
      </c>
      <c r="G283" s="93">
        <v>51.87683747526976</v>
      </c>
      <c r="H283" s="93"/>
      <c r="I283" s="93"/>
      <c r="J283" s="88"/>
      <c r="K283" s="94"/>
      <c r="L283" s="90"/>
      <c r="M283" s="91"/>
      <c r="N283" s="92"/>
      <c r="O283" s="93"/>
      <c r="P283" s="93"/>
      <c r="Q283" s="93"/>
      <c r="R283" s="165"/>
      <c r="S283" s="179">
        <f t="shared" si="4"/>
        <v>281</v>
      </c>
      <c r="T283" s="94" t="s">
        <v>1112</v>
      </c>
      <c r="U283" s="90" t="s">
        <v>6</v>
      </c>
      <c r="V283" s="91" t="s">
        <v>63</v>
      </c>
      <c r="W283" s="92">
        <v>8</v>
      </c>
      <c r="X283" s="93">
        <v>0</v>
      </c>
      <c r="Y283" s="93">
        <v>48.77486368642284</v>
      </c>
      <c r="Z283" s="180">
        <v>47.987862737527394</v>
      </c>
      <c r="AA283" s="168"/>
      <c r="AD283" s="113" t="s">
        <v>65</v>
      </c>
      <c r="AE283" s="42">
        <f>COUNTIF($V$3:$V$308,"NH")</f>
        <v>4</v>
      </c>
      <c r="AF283" s="42">
        <f>COUNTIF($M$3:$M$25,"NH")</f>
        <v>0</v>
      </c>
    </row>
    <row r="284" spans="1:32" x14ac:dyDescent="0.25">
      <c r="A284" s="88">
        <v>282</v>
      </c>
      <c r="B284" s="94" t="s">
        <v>780</v>
      </c>
      <c r="C284" s="90" t="s">
        <v>6</v>
      </c>
      <c r="D284" s="91" t="s">
        <v>89</v>
      </c>
      <c r="E284" s="92">
        <v>0</v>
      </c>
      <c r="F284" s="93">
        <v>43.547029406122483</v>
      </c>
      <c r="G284" s="93">
        <v>43.547029406122483</v>
      </c>
      <c r="H284" s="93"/>
      <c r="I284" s="93"/>
      <c r="J284" s="88"/>
      <c r="K284" s="94"/>
      <c r="L284" s="90"/>
      <c r="M284" s="91"/>
      <c r="N284" s="92"/>
      <c r="O284" s="93"/>
      <c r="P284" s="93"/>
      <c r="Q284" s="93"/>
      <c r="R284" s="165"/>
      <c r="S284" s="179">
        <f t="shared" si="4"/>
        <v>282</v>
      </c>
      <c r="T284" s="94" t="s">
        <v>1108</v>
      </c>
      <c r="U284" s="90" t="s">
        <v>6</v>
      </c>
      <c r="V284" s="91" t="s">
        <v>63</v>
      </c>
      <c r="W284" s="92">
        <v>1</v>
      </c>
      <c r="X284" s="93">
        <v>0</v>
      </c>
      <c r="Y284" s="93">
        <v>48.716688984546664</v>
      </c>
      <c r="Z284" s="180">
        <v>47.930626706559096</v>
      </c>
      <c r="AA284" s="168"/>
      <c r="AE284" s="42"/>
    </row>
    <row r="285" spans="1:32" x14ac:dyDescent="0.25">
      <c r="A285" s="88">
        <v>283</v>
      </c>
      <c r="B285" s="94" t="s">
        <v>898</v>
      </c>
      <c r="C285" s="90" t="s">
        <v>6</v>
      </c>
      <c r="D285" s="90" t="s">
        <v>69</v>
      </c>
      <c r="E285" s="92">
        <v>0</v>
      </c>
      <c r="F285" s="93">
        <v>51.279679442015549</v>
      </c>
      <c r="G285" s="93">
        <v>51.279679442015549</v>
      </c>
      <c r="H285" s="93"/>
      <c r="I285" s="93"/>
      <c r="J285" s="88"/>
      <c r="K285" s="94"/>
      <c r="L285" s="90"/>
      <c r="M285" s="91"/>
      <c r="N285" s="92"/>
      <c r="O285" s="93"/>
      <c r="P285" s="93"/>
      <c r="Q285" s="93"/>
      <c r="R285" s="165"/>
      <c r="S285" s="179">
        <f t="shared" si="4"/>
        <v>283</v>
      </c>
      <c r="T285" s="94" t="s">
        <v>1190</v>
      </c>
      <c r="U285" s="90" t="s">
        <v>6</v>
      </c>
      <c r="V285" s="91" t="s">
        <v>63</v>
      </c>
      <c r="W285" s="92">
        <v>1</v>
      </c>
      <c r="X285" s="93">
        <v>0</v>
      </c>
      <c r="Y285" s="93">
        <v>48.632429816605011</v>
      </c>
      <c r="Z285" s="180">
        <v>47.847727092291429</v>
      </c>
      <c r="AA285" s="168"/>
      <c r="AE285" s="42"/>
    </row>
    <row r="286" spans="1:32" x14ac:dyDescent="0.25">
      <c r="A286" s="88">
        <v>284</v>
      </c>
      <c r="B286" s="89" t="s">
        <v>140</v>
      </c>
      <c r="C286" s="90" t="s">
        <v>6</v>
      </c>
      <c r="D286" s="91" t="s">
        <v>57</v>
      </c>
      <c r="E286" s="92">
        <v>0</v>
      </c>
      <c r="F286" s="93">
        <v>41.802096726598563</v>
      </c>
      <c r="G286" s="93">
        <v>41.802096726598563</v>
      </c>
      <c r="H286" s="93"/>
      <c r="I286" s="93"/>
      <c r="J286" s="88"/>
      <c r="K286" s="94"/>
      <c r="L286" s="90"/>
      <c r="M286" s="91"/>
      <c r="N286" s="92"/>
      <c r="O286" s="93"/>
      <c r="P286" s="93"/>
      <c r="Q286" s="93"/>
      <c r="R286" s="165"/>
      <c r="S286" s="179">
        <f t="shared" si="4"/>
        <v>284</v>
      </c>
      <c r="T286" s="94" t="s">
        <v>1177</v>
      </c>
      <c r="U286" s="90" t="s">
        <v>6</v>
      </c>
      <c r="V286" s="91" t="s">
        <v>88</v>
      </c>
      <c r="W286" s="92">
        <v>5</v>
      </c>
      <c r="X286" s="93">
        <v>0</v>
      </c>
      <c r="Y286" s="93">
        <v>48.522265516593443</v>
      </c>
      <c r="Z286" s="180">
        <v>47.739340335097836</v>
      </c>
      <c r="AA286" s="168"/>
      <c r="AE286" s="42"/>
    </row>
    <row r="287" spans="1:32" x14ac:dyDescent="0.25">
      <c r="A287" s="88">
        <v>285</v>
      </c>
      <c r="B287" s="94" t="s">
        <v>411</v>
      </c>
      <c r="C287" s="90" t="s">
        <v>6</v>
      </c>
      <c r="D287" s="91" t="s">
        <v>143</v>
      </c>
      <c r="E287" s="92">
        <v>0</v>
      </c>
      <c r="F287" s="93">
        <v>52.571291503624565</v>
      </c>
      <c r="G287" s="93">
        <v>52.571291503624565</v>
      </c>
      <c r="H287" s="93"/>
      <c r="I287" s="93"/>
      <c r="J287" s="88"/>
      <c r="K287" s="94"/>
      <c r="L287" s="90"/>
      <c r="M287" s="91"/>
      <c r="N287" s="92"/>
      <c r="O287" s="93"/>
      <c r="P287" s="93"/>
      <c r="Q287" s="93"/>
      <c r="R287" s="165"/>
      <c r="S287" s="179">
        <f t="shared" si="4"/>
        <v>285</v>
      </c>
      <c r="T287" s="94" t="s">
        <v>881</v>
      </c>
      <c r="U287" s="90" t="s">
        <v>6</v>
      </c>
      <c r="V287" s="91" t="s">
        <v>88</v>
      </c>
      <c r="W287" s="92">
        <v>4</v>
      </c>
      <c r="X287" s="93">
        <v>44.278313510549403</v>
      </c>
      <c r="Y287" s="93">
        <v>48.33400211477997</v>
      </c>
      <c r="Z287" s="180">
        <v>47.554114634769746</v>
      </c>
      <c r="AA287" s="168"/>
      <c r="AE287" s="42"/>
    </row>
    <row r="288" spans="1:32" x14ac:dyDescent="0.25">
      <c r="A288" s="88">
        <v>286</v>
      </c>
      <c r="B288" s="89" t="s">
        <v>1030</v>
      </c>
      <c r="C288" s="90" t="s">
        <v>16</v>
      </c>
      <c r="D288" s="91" t="s">
        <v>58</v>
      </c>
      <c r="E288" s="92">
        <v>3</v>
      </c>
      <c r="F288" s="93">
        <v>0</v>
      </c>
      <c r="G288" s="93">
        <v>72.059582235115087</v>
      </c>
      <c r="H288" s="93"/>
      <c r="I288" s="93"/>
      <c r="J288" s="88"/>
      <c r="K288" s="94"/>
      <c r="L288" s="90"/>
      <c r="M288" s="91"/>
      <c r="N288" s="92"/>
      <c r="O288" s="93"/>
      <c r="P288" s="93"/>
      <c r="Q288" s="93"/>
      <c r="R288" s="165"/>
      <c r="S288" s="179">
        <f t="shared" si="4"/>
        <v>286</v>
      </c>
      <c r="T288" s="169" t="s">
        <v>132</v>
      </c>
      <c r="U288" s="170" t="s">
        <v>6</v>
      </c>
      <c r="V288" s="171" t="s">
        <v>79</v>
      </c>
      <c r="W288" s="172">
        <v>4</v>
      </c>
      <c r="X288" s="173">
        <v>45.438067890189281</v>
      </c>
      <c r="Y288" s="173">
        <v>48.094013792143741</v>
      </c>
      <c r="Z288" s="180">
        <v>47.317998614860038</v>
      </c>
      <c r="AA288" s="168"/>
      <c r="AE288" s="42"/>
    </row>
    <row r="289" spans="1:31" x14ac:dyDescent="0.25">
      <c r="A289" s="88">
        <v>287</v>
      </c>
      <c r="B289" s="89" t="s">
        <v>132</v>
      </c>
      <c r="C289" s="90" t="s">
        <v>6</v>
      </c>
      <c r="D289" s="91" t="s">
        <v>79</v>
      </c>
      <c r="E289" s="92">
        <v>0</v>
      </c>
      <c r="F289" s="93">
        <v>45.438067890189281</v>
      </c>
      <c r="G289" s="93">
        <v>45.438067890189281</v>
      </c>
      <c r="H289" s="93"/>
      <c r="I289" s="93"/>
      <c r="J289" s="88"/>
      <c r="K289" s="94"/>
      <c r="L289" s="90"/>
      <c r="M289" s="91"/>
      <c r="N289" s="92"/>
      <c r="O289" s="93"/>
      <c r="P289" s="93"/>
      <c r="Q289" s="93"/>
      <c r="R289" s="165"/>
      <c r="S289" s="179">
        <f t="shared" si="4"/>
        <v>287</v>
      </c>
      <c r="T289" s="94" t="s">
        <v>734</v>
      </c>
      <c r="U289" s="90" t="s">
        <v>6</v>
      </c>
      <c r="V289" s="91" t="s">
        <v>65</v>
      </c>
      <c r="W289" s="92">
        <v>5</v>
      </c>
      <c r="X289" s="93">
        <v>42.746778636290308</v>
      </c>
      <c r="Y289" s="93">
        <v>48.024436167431986</v>
      </c>
      <c r="Z289" s="180">
        <v>47.249543651546624</v>
      </c>
      <c r="AA289" s="168"/>
      <c r="AE289" s="42"/>
    </row>
    <row r="290" spans="1:31" x14ac:dyDescent="0.25">
      <c r="A290" s="88">
        <v>288</v>
      </c>
      <c r="B290" s="89" t="s">
        <v>308</v>
      </c>
      <c r="C290" s="90" t="s">
        <v>6</v>
      </c>
      <c r="D290" s="91" t="s">
        <v>77</v>
      </c>
      <c r="E290" s="92">
        <v>0</v>
      </c>
      <c r="F290" s="93">
        <v>52.425251951062656</v>
      </c>
      <c r="G290" s="93">
        <v>52.425251951062656</v>
      </c>
      <c r="H290" s="93"/>
      <c r="I290" s="93"/>
      <c r="J290" s="88"/>
      <c r="K290" s="94"/>
      <c r="L290" s="90"/>
      <c r="M290" s="91"/>
      <c r="N290" s="92"/>
      <c r="O290" s="93"/>
      <c r="P290" s="93"/>
      <c r="Q290" s="93"/>
      <c r="R290" s="165"/>
      <c r="S290" s="179">
        <f t="shared" si="4"/>
        <v>288</v>
      </c>
      <c r="T290" s="94" t="s">
        <v>1155</v>
      </c>
      <c r="U290" s="90" t="s">
        <v>6</v>
      </c>
      <c r="V290" s="91" t="s">
        <v>62</v>
      </c>
      <c r="W290" s="92">
        <v>2</v>
      </c>
      <c r="X290" s="93">
        <v>0</v>
      </c>
      <c r="Y290" s="93">
        <v>47.922623726312565</v>
      </c>
      <c r="Z290" s="180">
        <v>47.149373992830149</v>
      </c>
      <c r="AA290" s="168"/>
      <c r="AE290" s="42"/>
    </row>
    <row r="291" spans="1:31" x14ac:dyDescent="0.25">
      <c r="A291" s="88">
        <v>289</v>
      </c>
      <c r="B291" s="94" t="s">
        <v>892</v>
      </c>
      <c r="C291" s="90" t="s">
        <v>6</v>
      </c>
      <c r="D291" s="91" t="s">
        <v>143</v>
      </c>
      <c r="E291" s="92">
        <v>0</v>
      </c>
      <c r="F291" s="93">
        <v>45.442720739462018</v>
      </c>
      <c r="G291" s="93">
        <v>45.442720739462018</v>
      </c>
      <c r="H291" s="93"/>
      <c r="I291" s="93"/>
      <c r="J291" s="88"/>
      <c r="K291" s="94"/>
      <c r="L291" s="90"/>
      <c r="M291" s="91"/>
      <c r="N291" s="92"/>
      <c r="O291" s="93"/>
      <c r="P291" s="93"/>
      <c r="Q291" s="93"/>
      <c r="R291" s="165"/>
      <c r="S291" s="179">
        <f t="shared" si="4"/>
        <v>289</v>
      </c>
      <c r="T291" s="94" t="s">
        <v>1157</v>
      </c>
      <c r="U291" s="90" t="s">
        <v>6</v>
      </c>
      <c r="V291" s="91" t="s">
        <v>63</v>
      </c>
      <c r="W291" s="92">
        <v>3</v>
      </c>
      <c r="X291" s="93">
        <v>0</v>
      </c>
      <c r="Y291" s="93">
        <v>47.523381469419604</v>
      </c>
      <c r="Z291" s="180">
        <v>46.756573661373082</v>
      </c>
      <c r="AA291" s="168"/>
    </row>
    <row r="292" spans="1:31" x14ac:dyDescent="0.25">
      <c r="A292" s="88">
        <v>290</v>
      </c>
      <c r="B292" s="94" t="s">
        <v>5</v>
      </c>
      <c r="C292" s="90" t="s">
        <v>6</v>
      </c>
      <c r="D292" s="90" t="s">
        <v>61</v>
      </c>
      <c r="E292" s="92">
        <v>0</v>
      </c>
      <c r="F292" s="93">
        <v>73.952833974019228</v>
      </c>
      <c r="G292" s="93">
        <v>73.952833974019228</v>
      </c>
      <c r="H292" s="93"/>
      <c r="I292" s="93"/>
      <c r="J292" s="88"/>
      <c r="K292" s="94"/>
      <c r="L292" s="90"/>
      <c r="M292" s="91"/>
      <c r="N292" s="92"/>
      <c r="O292" s="93"/>
      <c r="P292" s="93"/>
      <c r="Q292" s="93"/>
      <c r="R292" s="165"/>
      <c r="S292" s="179">
        <f t="shared" si="4"/>
        <v>290</v>
      </c>
      <c r="T292" s="94" t="s">
        <v>1246</v>
      </c>
      <c r="U292" s="90" t="s">
        <v>6</v>
      </c>
      <c r="V292" s="91" t="s">
        <v>64</v>
      </c>
      <c r="W292" s="92">
        <v>2</v>
      </c>
      <c r="X292" s="93">
        <v>0</v>
      </c>
      <c r="Y292" s="93">
        <v>47.343275098887858</v>
      </c>
      <c r="Z292" s="180">
        <v>46.57937337552918</v>
      </c>
      <c r="AA292" s="168"/>
    </row>
    <row r="293" spans="1:31" x14ac:dyDescent="0.25">
      <c r="A293" s="88">
        <v>291</v>
      </c>
      <c r="B293" s="89" t="s">
        <v>909</v>
      </c>
      <c r="C293" s="90" t="s">
        <v>6</v>
      </c>
      <c r="D293" s="91" t="s">
        <v>96</v>
      </c>
      <c r="E293" s="92">
        <v>0</v>
      </c>
      <c r="F293" s="93">
        <v>62.314957240197394</v>
      </c>
      <c r="G293" s="93">
        <v>62.314957240197394</v>
      </c>
      <c r="H293" s="93"/>
      <c r="I293" s="93"/>
      <c r="J293" s="88"/>
      <c r="K293" s="94"/>
      <c r="L293" s="90"/>
      <c r="M293" s="91"/>
      <c r="N293" s="92"/>
      <c r="O293" s="93"/>
      <c r="P293" s="93"/>
      <c r="Q293" s="93"/>
      <c r="R293" s="165"/>
      <c r="S293" s="179">
        <f t="shared" si="4"/>
        <v>291</v>
      </c>
      <c r="T293" s="94" t="s">
        <v>1294</v>
      </c>
      <c r="U293" s="90" t="s">
        <v>6</v>
      </c>
      <c r="V293" s="91" t="s">
        <v>89</v>
      </c>
      <c r="W293" s="92">
        <v>4</v>
      </c>
      <c r="X293" s="93">
        <v>45.234917421915668</v>
      </c>
      <c r="Y293" s="93">
        <v>47.336155078025712</v>
      </c>
      <c r="Z293" s="180">
        <v>46.572368238907629</v>
      </c>
      <c r="AA293" s="168"/>
    </row>
    <row r="294" spans="1:31" x14ac:dyDescent="0.25">
      <c r="A294" s="88">
        <v>292</v>
      </c>
      <c r="B294" s="94" t="s">
        <v>820</v>
      </c>
      <c r="C294" s="90" t="s">
        <v>6</v>
      </c>
      <c r="D294" s="91" t="s">
        <v>87</v>
      </c>
      <c r="E294" s="92">
        <v>0</v>
      </c>
      <c r="F294" s="93">
        <v>48.414196577914218</v>
      </c>
      <c r="G294" s="93">
        <v>48.414196577914218</v>
      </c>
      <c r="H294" s="93"/>
      <c r="I294" s="93"/>
      <c r="J294" s="88"/>
      <c r="K294" s="94"/>
      <c r="L294" s="90"/>
      <c r="M294" s="91"/>
      <c r="N294" s="92"/>
      <c r="O294" s="93"/>
      <c r="P294" s="93"/>
      <c r="Q294" s="93"/>
      <c r="R294" s="165"/>
      <c r="S294" s="179">
        <f t="shared" si="4"/>
        <v>292</v>
      </c>
      <c r="T294" s="94" t="s">
        <v>1136</v>
      </c>
      <c r="U294" s="90" t="s">
        <v>6</v>
      </c>
      <c r="V294" s="91" t="s">
        <v>143</v>
      </c>
      <c r="W294" s="92">
        <v>2</v>
      </c>
      <c r="X294" s="93">
        <v>0</v>
      </c>
      <c r="Y294" s="93">
        <v>47.321564108669563</v>
      </c>
      <c r="Z294" s="180">
        <v>46.55801270038328</v>
      </c>
      <c r="AA294" s="168"/>
    </row>
    <row r="295" spans="1:31" x14ac:dyDescent="0.25">
      <c r="A295" s="88">
        <v>293</v>
      </c>
      <c r="B295" s="94" t="s">
        <v>856</v>
      </c>
      <c r="C295" s="90" t="s">
        <v>6</v>
      </c>
      <c r="D295" s="91" t="s">
        <v>69</v>
      </c>
      <c r="E295" s="92">
        <v>0</v>
      </c>
      <c r="F295" s="93">
        <v>49.453335550873589</v>
      </c>
      <c r="G295" s="93">
        <v>49.453335550873589</v>
      </c>
      <c r="H295" s="93"/>
      <c r="I295" s="93"/>
      <c r="J295" s="88"/>
      <c r="K295" s="94"/>
      <c r="L295" s="90"/>
      <c r="M295" s="91"/>
      <c r="N295" s="92"/>
      <c r="O295" s="93"/>
      <c r="P295" s="93"/>
      <c r="Q295" s="93"/>
      <c r="R295" s="165"/>
      <c r="S295" s="179">
        <f t="shared" si="4"/>
        <v>293</v>
      </c>
      <c r="T295" s="94" t="s">
        <v>452</v>
      </c>
      <c r="U295" s="90" t="s">
        <v>6</v>
      </c>
      <c r="V295" s="91" t="s">
        <v>59</v>
      </c>
      <c r="W295" s="92">
        <v>4</v>
      </c>
      <c r="X295" s="93">
        <v>41.478551768004372</v>
      </c>
      <c r="Y295" s="93">
        <v>47.214395054114604</v>
      </c>
      <c r="Z295" s="180">
        <v>46.452572859223338</v>
      </c>
      <c r="AA295" s="168"/>
    </row>
    <row r="296" spans="1:31" x14ac:dyDescent="0.25">
      <c r="A296" s="88">
        <v>294</v>
      </c>
      <c r="B296" s="94" t="s">
        <v>874</v>
      </c>
      <c r="C296" s="90" t="s">
        <v>6</v>
      </c>
      <c r="D296" s="91" t="s">
        <v>63</v>
      </c>
      <c r="E296" s="92">
        <v>0</v>
      </c>
      <c r="F296" s="93">
        <v>45.893597632545209</v>
      </c>
      <c r="G296" s="93">
        <v>45.893597632545209</v>
      </c>
      <c r="H296" s="93"/>
      <c r="I296" s="93"/>
      <c r="J296" s="88"/>
      <c r="K296" s="94"/>
      <c r="L296" s="90"/>
      <c r="M296" s="91"/>
      <c r="N296" s="92"/>
      <c r="O296" s="93"/>
      <c r="P296" s="93"/>
      <c r="Q296" s="93"/>
      <c r="R296" s="165"/>
      <c r="S296" s="179">
        <f t="shared" si="4"/>
        <v>294</v>
      </c>
      <c r="T296" s="94" t="s">
        <v>1081</v>
      </c>
      <c r="U296" s="90" t="s">
        <v>6</v>
      </c>
      <c r="V296" s="91" t="s">
        <v>69</v>
      </c>
      <c r="W296" s="92">
        <v>2</v>
      </c>
      <c r="X296" s="93">
        <v>0</v>
      </c>
      <c r="Y296" s="93">
        <v>47.106773979494548</v>
      </c>
      <c r="Z296" s="180">
        <v>46.346688291513722</v>
      </c>
      <c r="AA296" s="168"/>
    </row>
    <row r="297" spans="1:31" x14ac:dyDescent="0.25">
      <c r="A297" s="88">
        <v>295</v>
      </c>
      <c r="B297" s="89" t="s">
        <v>900</v>
      </c>
      <c r="C297" s="90" t="s">
        <v>6</v>
      </c>
      <c r="D297" s="91" t="s">
        <v>69</v>
      </c>
      <c r="E297" s="92">
        <v>0</v>
      </c>
      <c r="F297" s="93">
        <v>34.831596322857962</v>
      </c>
      <c r="G297" s="93">
        <v>34.831596322857962</v>
      </c>
      <c r="H297" s="93"/>
      <c r="I297" s="93"/>
      <c r="J297" s="88"/>
      <c r="K297" s="94"/>
      <c r="L297" s="90"/>
      <c r="M297" s="91"/>
      <c r="N297" s="92"/>
      <c r="O297" s="93"/>
      <c r="P297" s="93"/>
      <c r="Q297" s="93"/>
      <c r="R297" s="165"/>
      <c r="S297" s="179">
        <f t="shared" si="4"/>
        <v>295</v>
      </c>
      <c r="T297" s="94" t="s">
        <v>731</v>
      </c>
      <c r="U297" s="90" t="s">
        <v>6</v>
      </c>
      <c r="V297" s="91" t="s">
        <v>57</v>
      </c>
      <c r="W297" s="92">
        <v>5</v>
      </c>
      <c r="X297" s="93">
        <v>45.896656893682632</v>
      </c>
      <c r="Y297" s="93">
        <v>47.00066482043443</v>
      </c>
      <c r="Z297" s="180">
        <v>46.242291244032302</v>
      </c>
      <c r="AA297" s="168"/>
    </row>
    <row r="298" spans="1:31" x14ac:dyDescent="0.25">
      <c r="A298" s="88">
        <v>296</v>
      </c>
      <c r="B298" s="89" t="s">
        <v>816</v>
      </c>
      <c r="C298" s="90" t="s">
        <v>6</v>
      </c>
      <c r="D298" s="91" t="s">
        <v>88</v>
      </c>
      <c r="E298" s="92">
        <v>0</v>
      </c>
      <c r="F298" s="93">
        <v>50.037446296979134</v>
      </c>
      <c r="G298" s="93">
        <v>50.037446296979134</v>
      </c>
      <c r="H298" s="93"/>
      <c r="I298" s="93"/>
      <c r="J298" s="88"/>
      <c r="K298" s="94"/>
      <c r="L298" s="90"/>
      <c r="M298" s="91"/>
      <c r="N298" s="92"/>
      <c r="O298" s="93"/>
      <c r="P298" s="93"/>
      <c r="Q298" s="93"/>
      <c r="R298" s="165"/>
      <c r="S298" s="179">
        <f t="shared" si="4"/>
        <v>296</v>
      </c>
      <c r="T298" s="94" t="s">
        <v>281</v>
      </c>
      <c r="U298" s="90" t="s">
        <v>6</v>
      </c>
      <c r="V298" s="91" t="s">
        <v>62</v>
      </c>
      <c r="W298" s="92">
        <v>2</v>
      </c>
      <c r="X298" s="93">
        <v>45.781614416307285</v>
      </c>
      <c r="Y298" s="93">
        <v>46.97534018582725</v>
      </c>
      <c r="Z298" s="180">
        <v>46.217375232022093</v>
      </c>
      <c r="AA298" s="168"/>
    </row>
    <row r="299" spans="1:31" x14ac:dyDescent="0.25">
      <c r="A299" s="88">
        <v>297</v>
      </c>
      <c r="B299" s="89" t="s">
        <v>113</v>
      </c>
      <c r="C299" s="90" t="s">
        <v>6</v>
      </c>
      <c r="D299" s="91" t="s">
        <v>62</v>
      </c>
      <c r="E299" s="92">
        <v>0</v>
      </c>
      <c r="F299" s="93">
        <v>69.43679629570974</v>
      </c>
      <c r="G299" s="93">
        <v>69.43679629570974</v>
      </c>
      <c r="H299" s="93"/>
      <c r="I299" s="93"/>
      <c r="J299" s="88"/>
      <c r="K299" s="94"/>
      <c r="L299" s="90"/>
      <c r="M299" s="91"/>
      <c r="N299" s="92"/>
      <c r="O299" s="93"/>
      <c r="P299" s="93"/>
      <c r="Q299" s="93"/>
      <c r="R299" s="165"/>
      <c r="S299" s="179">
        <f t="shared" si="4"/>
        <v>297</v>
      </c>
      <c r="T299" s="94" t="s">
        <v>1120</v>
      </c>
      <c r="U299" s="90" t="s">
        <v>6</v>
      </c>
      <c r="V299" s="91" t="s">
        <v>57</v>
      </c>
      <c r="W299" s="92">
        <v>1</v>
      </c>
      <c r="X299" s="93">
        <v>0</v>
      </c>
      <c r="Y299" s="93">
        <v>46.606666598930907</v>
      </c>
      <c r="Z299" s="180">
        <v>45.854650333462125</v>
      </c>
      <c r="AA299" s="168"/>
    </row>
    <row r="300" spans="1:31" x14ac:dyDescent="0.25">
      <c r="A300" s="88">
        <v>298</v>
      </c>
      <c r="B300" s="89" t="s">
        <v>882</v>
      </c>
      <c r="C300" s="90" t="s">
        <v>6</v>
      </c>
      <c r="D300" s="91" t="s">
        <v>88</v>
      </c>
      <c r="E300" s="92">
        <v>0</v>
      </c>
      <c r="F300" s="93">
        <v>43.673279471570424</v>
      </c>
      <c r="G300" s="93">
        <v>43.673279471570424</v>
      </c>
      <c r="H300" s="93"/>
      <c r="I300" s="93"/>
      <c r="J300" s="88"/>
      <c r="K300" s="94"/>
      <c r="L300" s="90"/>
      <c r="M300" s="91"/>
      <c r="N300" s="92"/>
      <c r="O300" s="93"/>
      <c r="P300" s="93"/>
      <c r="Q300" s="93"/>
      <c r="R300" s="165"/>
      <c r="S300" s="179">
        <f t="shared" si="4"/>
        <v>298</v>
      </c>
      <c r="T300" s="94" t="s">
        <v>791</v>
      </c>
      <c r="U300" s="90" t="s">
        <v>6</v>
      </c>
      <c r="V300" s="91" t="s">
        <v>88</v>
      </c>
      <c r="W300" s="92">
        <v>3</v>
      </c>
      <c r="X300" s="93">
        <v>48.261767136117484</v>
      </c>
      <c r="Y300" s="93">
        <v>46.490782543000371</v>
      </c>
      <c r="Z300" s="180">
        <v>45.74063611078352</v>
      </c>
      <c r="AA300" s="168"/>
    </row>
    <row r="301" spans="1:31" x14ac:dyDescent="0.25">
      <c r="A301" s="88">
        <v>299</v>
      </c>
      <c r="B301" s="94" t="s">
        <v>207</v>
      </c>
      <c r="C301" s="90" t="s">
        <v>6</v>
      </c>
      <c r="D301" s="91" t="s">
        <v>69</v>
      </c>
      <c r="E301" s="92">
        <v>0</v>
      </c>
      <c r="F301" s="93">
        <v>51.435829495418268</v>
      </c>
      <c r="G301" s="93">
        <v>51.435829495418268</v>
      </c>
      <c r="H301" s="93"/>
      <c r="I301" s="93"/>
      <c r="J301" s="88"/>
      <c r="K301" s="94"/>
      <c r="L301" s="90"/>
      <c r="M301" s="91"/>
      <c r="N301" s="92"/>
      <c r="O301" s="93"/>
      <c r="P301" s="93"/>
      <c r="Q301" s="93"/>
      <c r="R301" s="165"/>
      <c r="S301" s="179">
        <f t="shared" si="4"/>
        <v>299</v>
      </c>
      <c r="T301" s="94" t="s">
        <v>908</v>
      </c>
      <c r="U301" s="90" t="s">
        <v>6</v>
      </c>
      <c r="V301" s="91" t="s">
        <v>88</v>
      </c>
      <c r="W301" s="92">
        <v>2</v>
      </c>
      <c r="X301" s="93">
        <v>43.724213155970737</v>
      </c>
      <c r="Y301" s="93">
        <v>46.368797610289974</v>
      </c>
      <c r="Z301" s="180">
        <v>45.620619451288839</v>
      </c>
      <c r="AA301" s="168"/>
    </row>
    <row r="302" spans="1:31" x14ac:dyDescent="0.25">
      <c r="A302" s="88">
        <v>300</v>
      </c>
      <c r="B302" s="94" t="s">
        <v>1042</v>
      </c>
      <c r="C302" s="90" t="s">
        <v>16</v>
      </c>
      <c r="D302" s="91" t="s">
        <v>61</v>
      </c>
      <c r="E302" s="92">
        <v>2</v>
      </c>
      <c r="F302" s="93">
        <v>0</v>
      </c>
      <c r="G302" s="93">
        <v>67.535448141821149</v>
      </c>
      <c r="H302" s="93"/>
      <c r="I302" s="93"/>
      <c r="J302" s="88"/>
      <c r="K302" s="94"/>
      <c r="L302" s="90"/>
      <c r="M302" s="91"/>
      <c r="N302" s="92"/>
      <c r="O302" s="93"/>
      <c r="P302" s="93"/>
      <c r="Q302" s="93"/>
      <c r="R302" s="165"/>
      <c r="S302" s="179">
        <f t="shared" si="4"/>
        <v>300</v>
      </c>
      <c r="T302" s="94" t="s">
        <v>1260</v>
      </c>
      <c r="U302" s="90" t="s">
        <v>6</v>
      </c>
      <c r="V302" s="91" t="s">
        <v>781</v>
      </c>
      <c r="W302" s="92">
        <v>1</v>
      </c>
      <c r="X302" s="93">
        <v>0</v>
      </c>
      <c r="Y302" s="93">
        <v>46.32871186124693</v>
      </c>
      <c r="Z302" s="180">
        <v>45.581180501030033</v>
      </c>
      <c r="AA302" s="168"/>
    </row>
    <row r="303" spans="1:31" x14ac:dyDescent="0.25">
      <c r="A303" s="88">
        <v>301</v>
      </c>
      <c r="B303" s="89" t="s">
        <v>734</v>
      </c>
      <c r="C303" s="90" t="s">
        <v>6</v>
      </c>
      <c r="D303" s="91" t="s">
        <v>65</v>
      </c>
      <c r="E303" s="92">
        <v>0</v>
      </c>
      <c r="F303" s="93">
        <v>42.746778636290308</v>
      </c>
      <c r="G303" s="93">
        <v>42.746778636290308</v>
      </c>
      <c r="H303" s="93"/>
      <c r="I303" s="93"/>
      <c r="J303" s="88"/>
      <c r="K303" s="94"/>
      <c r="L303" s="90"/>
      <c r="M303" s="91"/>
      <c r="N303" s="92"/>
      <c r="O303" s="93"/>
      <c r="P303" s="93"/>
      <c r="Q303" s="93"/>
      <c r="R303" s="165"/>
      <c r="S303" s="179">
        <f t="shared" si="4"/>
        <v>301</v>
      </c>
      <c r="T303" s="94" t="s">
        <v>784</v>
      </c>
      <c r="U303" s="90" t="s">
        <v>6</v>
      </c>
      <c r="V303" s="91" t="s">
        <v>87</v>
      </c>
      <c r="W303" s="92">
        <v>2</v>
      </c>
      <c r="X303" s="93">
        <v>48.676270052437225</v>
      </c>
      <c r="Y303" s="93">
        <v>46.119677737621515</v>
      </c>
      <c r="Z303" s="180">
        <v>45.375519222374571</v>
      </c>
      <c r="AA303" s="168"/>
    </row>
    <row r="304" spans="1:31" x14ac:dyDescent="0.25">
      <c r="A304" s="88">
        <v>302</v>
      </c>
      <c r="B304" s="94" t="s">
        <v>817</v>
      </c>
      <c r="C304" s="90" t="s">
        <v>6</v>
      </c>
      <c r="D304" s="91" t="s">
        <v>88</v>
      </c>
      <c r="E304" s="92">
        <v>0</v>
      </c>
      <c r="F304" s="93">
        <v>41.838699749319133</v>
      </c>
      <c r="G304" s="93">
        <v>41.838699749319133</v>
      </c>
      <c r="H304" s="93"/>
      <c r="I304" s="93"/>
      <c r="J304" s="88"/>
      <c r="K304" s="94"/>
      <c r="L304" s="90"/>
      <c r="M304" s="91"/>
      <c r="N304" s="92"/>
      <c r="O304" s="93"/>
      <c r="P304" s="93"/>
      <c r="Q304" s="93"/>
      <c r="R304" s="165"/>
      <c r="S304" s="179">
        <f t="shared" si="4"/>
        <v>302</v>
      </c>
      <c r="T304" s="94" t="s">
        <v>1309</v>
      </c>
      <c r="U304" s="90" t="s">
        <v>6</v>
      </c>
      <c r="V304" s="91" t="s">
        <v>69</v>
      </c>
      <c r="W304" s="92">
        <v>1</v>
      </c>
      <c r="X304" s="93">
        <v>0</v>
      </c>
      <c r="Y304" s="93">
        <v>45.769527607356636</v>
      </c>
      <c r="Z304" s="180">
        <v>45.031018897438649</v>
      </c>
      <c r="AA304" s="168"/>
    </row>
    <row r="305" spans="1:27" x14ac:dyDescent="0.25">
      <c r="A305" s="88">
        <v>303</v>
      </c>
      <c r="B305" s="94" t="s">
        <v>870</v>
      </c>
      <c r="C305" s="90" t="s">
        <v>6</v>
      </c>
      <c r="D305" s="91" t="s">
        <v>62</v>
      </c>
      <c r="E305" s="92">
        <v>0</v>
      </c>
      <c r="F305" s="93">
        <v>47.281785990377266</v>
      </c>
      <c r="G305" s="93">
        <v>47.281785990377266</v>
      </c>
      <c r="H305" s="93"/>
      <c r="I305" s="93"/>
      <c r="J305" s="88"/>
      <c r="K305" s="94"/>
      <c r="L305" s="90"/>
      <c r="M305" s="91"/>
      <c r="N305" s="92"/>
      <c r="O305" s="93"/>
      <c r="P305" s="93"/>
      <c r="Q305" s="93"/>
      <c r="R305" s="165"/>
      <c r="S305" s="179">
        <f t="shared" si="4"/>
        <v>303</v>
      </c>
      <c r="T305" s="94" t="s">
        <v>1152</v>
      </c>
      <c r="U305" s="90" t="s">
        <v>6</v>
      </c>
      <c r="V305" s="91" t="s">
        <v>87</v>
      </c>
      <c r="W305" s="92">
        <v>4</v>
      </c>
      <c r="X305" s="93">
        <v>0</v>
      </c>
      <c r="Y305" s="93">
        <v>45.703832995167325</v>
      </c>
      <c r="Z305" s="180">
        <v>44.966384292765959</v>
      </c>
      <c r="AA305" s="168"/>
    </row>
    <row r="306" spans="1:27" x14ac:dyDescent="0.25">
      <c r="A306" s="88">
        <v>304</v>
      </c>
      <c r="B306" s="94" t="s">
        <v>888</v>
      </c>
      <c r="C306" s="90" t="s">
        <v>6</v>
      </c>
      <c r="D306" s="90" t="s">
        <v>63</v>
      </c>
      <c r="E306" s="92">
        <v>0</v>
      </c>
      <c r="F306" s="93">
        <v>55.369402232529268</v>
      </c>
      <c r="G306" s="93">
        <v>55.369402232529268</v>
      </c>
      <c r="H306" s="93"/>
      <c r="I306" s="93"/>
      <c r="J306" s="88"/>
      <c r="K306" s="94"/>
      <c r="L306" s="90"/>
      <c r="M306" s="91"/>
      <c r="N306" s="92"/>
      <c r="O306" s="93"/>
      <c r="P306" s="93"/>
      <c r="Q306" s="93"/>
      <c r="R306" s="165"/>
      <c r="S306" s="179">
        <f t="shared" si="4"/>
        <v>304</v>
      </c>
      <c r="T306" s="94" t="s">
        <v>1156</v>
      </c>
      <c r="U306" s="90" t="s">
        <v>6</v>
      </c>
      <c r="V306" s="91" t="s">
        <v>69</v>
      </c>
      <c r="W306" s="92">
        <v>2</v>
      </c>
      <c r="X306" s="93">
        <v>0</v>
      </c>
      <c r="Y306" s="93">
        <v>45.350198032662384</v>
      </c>
      <c r="Z306" s="180">
        <v>44.618455364681601</v>
      </c>
      <c r="AA306" s="168"/>
    </row>
    <row r="307" spans="1:27" x14ac:dyDescent="0.25">
      <c r="A307" s="88">
        <v>305</v>
      </c>
      <c r="B307" s="94" t="s">
        <v>728</v>
      </c>
      <c r="C307" s="90" t="s">
        <v>6</v>
      </c>
      <c r="D307" s="91" t="s">
        <v>64</v>
      </c>
      <c r="E307" s="92">
        <v>0</v>
      </c>
      <c r="F307" s="93">
        <v>43.019579337649425</v>
      </c>
      <c r="G307" s="93">
        <v>43.019579337649425</v>
      </c>
      <c r="H307" s="93"/>
      <c r="I307" s="93"/>
      <c r="J307" s="88"/>
      <c r="K307" s="94"/>
      <c r="L307" s="90"/>
      <c r="M307" s="91"/>
      <c r="N307" s="92"/>
      <c r="O307" s="93"/>
      <c r="P307" s="93"/>
      <c r="Q307" s="93"/>
      <c r="R307" s="165"/>
      <c r="S307" s="179">
        <f t="shared" si="4"/>
        <v>305</v>
      </c>
      <c r="T307" s="169" t="s">
        <v>1222</v>
      </c>
      <c r="U307" s="170" t="s">
        <v>6</v>
      </c>
      <c r="V307" s="171" t="s">
        <v>88</v>
      </c>
      <c r="W307" s="172">
        <v>1</v>
      </c>
      <c r="X307" s="173">
        <v>0</v>
      </c>
      <c r="Y307" s="173">
        <v>45.307880608312644</v>
      </c>
      <c r="Z307" s="180">
        <v>44.57682074804471</v>
      </c>
      <c r="AA307" s="168"/>
    </row>
    <row r="308" spans="1:27" x14ac:dyDescent="0.25">
      <c r="A308" s="88">
        <v>306</v>
      </c>
      <c r="B308" s="94" t="s">
        <v>1003</v>
      </c>
      <c r="C308" s="90" t="s">
        <v>6</v>
      </c>
      <c r="D308" s="91" t="s">
        <v>69</v>
      </c>
      <c r="E308" s="92">
        <v>1</v>
      </c>
      <c r="F308" s="93">
        <v>0</v>
      </c>
      <c r="G308" s="93">
        <v>68.566123344222362</v>
      </c>
      <c r="H308" s="93"/>
      <c r="I308" s="93"/>
      <c r="J308" s="88"/>
      <c r="K308" s="94"/>
      <c r="L308" s="90"/>
      <c r="M308" s="91"/>
      <c r="N308" s="92"/>
      <c r="O308" s="93"/>
      <c r="P308" s="93"/>
      <c r="Q308" s="93"/>
      <c r="R308" s="165"/>
      <c r="S308" s="179">
        <f t="shared" si="4"/>
        <v>306</v>
      </c>
      <c r="T308" s="94" t="s">
        <v>1291</v>
      </c>
      <c r="U308" s="90" t="s">
        <v>6</v>
      </c>
      <c r="V308" s="91" t="s">
        <v>122</v>
      </c>
      <c r="W308" s="92">
        <v>2</v>
      </c>
      <c r="X308" s="93">
        <v>0</v>
      </c>
      <c r="Y308" s="93">
        <v>45.214302840076108</v>
      </c>
      <c r="Z308" s="180">
        <v>44.484752892636862</v>
      </c>
      <c r="AA308" s="168"/>
    </row>
    <row r="309" spans="1:27" x14ac:dyDescent="0.25">
      <c r="A309" s="88">
        <v>307</v>
      </c>
      <c r="B309" s="94" t="s">
        <v>11</v>
      </c>
      <c r="C309" s="90" t="s">
        <v>6</v>
      </c>
      <c r="D309" s="91" t="s">
        <v>65</v>
      </c>
      <c r="E309" s="92">
        <v>0</v>
      </c>
      <c r="F309" s="93">
        <v>66.843409203160235</v>
      </c>
      <c r="G309" s="93">
        <v>66.843409203160235</v>
      </c>
      <c r="H309" s="93"/>
      <c r="I309" s="93"/>
      <c r="J309" s="88"/>
      <c r="K309" s="94"/>
      <c r="L309" s="90"/>
      <c r="M309" s="91"/>
      <c r="N309" s="92"/>
      <c r="O309" s="93"/>
      <c r="P309" s="93"/>
      <c r="Q309" s="93"/>
      <c r="R309" s="93"/>
      <c r="S309" s="179">
        <f t="shared" si="4"/>
        <v>307</v>
      </c>
      <c r="T309" s="94" t="s">
        <v>1162</v>
      </c>
      <c r="U309" s="90" t="s">
        <v>6</v>
      </c>
      <c r="V309" s="91" t="s">
        <v>63</v>
      </c>
      <c r="W309" s="92">
        <v>2</v>
      </c>
      <c r="X309" s="93">
        <v>0</v>
      </c>
      <c r="Y309" s="93">
        <v>45.213819795451059</v>
      </c>
      <c r="Z309" s="180">
        <v>44.484277642120283</v>
      </c>
      <c r="AA309" s="93"/>
    </row>
    <row r="310" spans="1:27" x14ac:dyDescent="0.25">
      <c r="A310" s="88">
        <v>308</v>
      </c>
      <c r="B310" s="94" t="s">
        <v>814</v>
      </c>
      <c r="C310" s="90" t="s">
        <v>6</v>
      </c>
      <c r="D310" s="91" t="s">
        <v>88</v>
      </c>
      <c r="E310" s="92">
        <v>0</v>
      </c>
      <c r="F310" s="93">
        <v>42.871754071716111</v>
      </c>
      <c r="G310" s="93">
        <v>42.871754071716111</v>
      </c>
      <c r="H310" s="93"/>
      <c r="I310" s="93"/>
      <c r="J310" s="88"/>
      <c r="K310" s="94"/>
      <c r="L310" s="90"/>
      <c r="M310" s="91"/>
      <c r="N310" s="92"/>
      <c r="O310" s="93"/>
      <c r="P310" s="93"/>
      <c r="Q310" s="93"/>
      <c r="R310" s="93"/>
      <c r="S310" s="179">
        <f t="shared" si="4"/>
        <v>308</v>
      </c>
      <c r="T310" s="94" t="s">
        <v>924</v>
      </c>
      <c r="U310" s="90" t="s">
        <v>6</v>
      </c>
      <c r="V310" s="91" t="s">
        <v>781</v>
      </c>
      <c r="W310" s="92">
        <v>4</v>
      </c>
      <c r="X310" s="93">
        <v>33.693573573651193</v>
      </c>
      <c r="Y310" s="93">
        <v>44.939119601562865</v>
      </c>
      <c r="Z310" s="180">
        <v>44.214009840183849</v>
      </c>
      <c r="AA310" s="93"/>
    </row>
    <row r="311" spans="1:27" x14ac:dyDescent="0.25">
      <c r="A311" s="88">
        <v>309</v>
      </c>
      <c r="B311" s="94" t="s">
        <v>855</v>
      </c>
      <c r="C311" s="90" t="s">
        <v>6</v>
      </c>
      <c r="D311" s="91" t="s">
        <v>96</v>
      </c>
      <c r="E311" s="92">
        <v>0</v>
      </c>
      <c r="F311" s="93">
        <v>52.484524221802282</v>
      </c>
      <c r="G311" s="93">
        <v>52.484524221802282</v>
      </c>
      <c r="H311" s="93"/>
      <c r="I311" s="93"/>
      <c r="J311" s="88"/>
      <c r="K311" s="94"/>
      <c r="L311" s="90"/>
      <c r="M311" s="91"/>
      <c r="N311" s="92"/>
      <c r="O311" s="93"/>
      <c r="P311" s="93"/>
      <c r="Q311" s="93"/>
      <c r="R311" s="93"/>
      <c r="S311" s="179">
        <f t="shared" si="4"/>
        <v>309</v>
      </c>
      <c r="T311" s="94" t="s">
        <v>160</v>
      </c>
      <c r="U311" s="90" t="s">
        <v>6</v>
      </c>
      <c r="V311" s="91" t="s">
        <v>57</v>
      </c>
      <c r="W311" s="92">
        <v>3</v>
      </c>
      <c r="X311" s="93">
        <v>42.267208176384649</v>
      </c>
      <c r="Y311" s="93">
        <v>44.778225587804435</v>
      </c>
      <c r="Z311" s="180">
        <v>44.055711912440415</v>
      </c>
      <c r="AA311" s="93"/>
    </row>
    <row r="312" spans="1:27" x14ac:dyDescent="0.25">
      <c r="A312" s="88">
        <v>310</v>
      </c>
      <c r="B312" s="89" t="s">
        <v>785</v>
      </c>
      <c r="C312" s="90" t="s">
        <v>6</v>
      </c>
      <c r="D312" s="91" t="s">
        <v>87</v>
      </c>
      <c r="E312" s="92">
        <v>0</v>
      </c>
      <c r="F312" s="93">
        <v>61.405976272712444</v>
      </c>
      <c r="G312" s="93">
        <v>61.405976272712444</v>
      </c>
      <c r="H312" s="93"/>
      <c r="I312" s="93"/>
      <c r="J312" s="88"/>
      <c r="K312" s="94"/>
      <c r="L312" s="90"/>
      <c r="M312" s="91"/>
      <c r="N312" s="92"/>
      <c r="O312" s="93"/>
      <c r="P312" s="93"/>
      <c r="Q312" s="93"/>
      <c r="R312" s="93"/>
      <c r="S312" s="179">
        <f t="shared" si="4"/>
        <v>310</v>
      </c>
      <c r="T312" s="94" t="s">
        <v>140</v>
      </c>
      <c r="U312" s="90" t="s">
        <v>6</v>
      </c>
      <c r="V312" s="91" t="s">
        <v>57</v>
      </c>
      <c r="W312" s="92">
        <v>2</v>
      </c>
      <c r="X312" s="93">
        <v>41.802096726598563</v>
      </c>
      <c r="Y312" s="93">
        <v>44.075263688126071</v>
      </c>
      <c r="Z312" s="180">
        <v>43.364092569978425</v>
      </c>
      <c r="AA312" s="93"/>
    </row>
    <row r="313" spans="1:27" x14ac:dyDescent="0.25">
      <c r="A313" s="88">
        <v>311</v>
      </c>
      <c r="B313" s="89" t="s">
        <v>71</v>
      </c>
      <c r="C313" s="90" t="s">
        <v>6</v>
      </c>
      <c r="D313" s="91" t="s">
        <v>62</v>
      </c>
      <c r="E313" s="92">
        <v>1</v>
      </c>
      <c r="F313" s="93">
        <v>70.553654280582819</v>
      </c>
      <c r="G313" s="93">
        <v>69.344626471468658</v>
      </c>
      <c r="H313" s="93"/>
      <c r="I313" s="93"/>
      <c r="J313" s="88"/>
      <c r="K313" s="94"/>
      <c r="L313" s="90"/>
      <c r="M313" s="91"/>
      <c r="N313" s="92"/>
      <c r="O313" s="93"/>
      <c r="P313" s="93"/>
      <c r="Q313" s="93"/>
      <c r="R313" s="93"/>
      <c r="S313" s="179">
        <f t="shared" si="4"/>
        <v>311</v>
      </c>
      <c r="T313" s="94" t="s">
        <v>890</v>
      </c>
      <c r="U313" s="90" t="s">
        <v>6</v>
      </c>
      <c r="V313" s="91" t="s">
        <v>781</v>
      </c>
      <c r="W313" s="92">
        <v>1</v>
      </c>
      <c r="X313" s="93">
        <v>32.476466758096421</v>
      </c>
      <c r="Y313" s="93">
        <v>43.86621876268196</v>
      </c>
      <c r="Z313" s="180">
        <v>43.15842066379571</v>
      </c>
      <c r="AA313" s="93"/>
    </row>
    <row r="314" spans="1:27" x14ac:dyDescent="0.25">
      <c r="A314" s="88">
        <v>312</v>
      </c>
      <c r="B314" s="94" t="s">
        <v>766</v>
      </c>
      <c r="C314" s="90" t="s">
        <v>6</v>
      </c>
      <c r="D314" s="91" t="s">
        <v>62</v>
      </c>
      <c r="E314" s="92">
        <v>0</v>
      </c>
      <c r="F314" s="93">
        <v>62.216529499468166</v>
      </c>
      <c r="G314" s="93">
        <v>62.216529499468166</v>
      </c>
      <c r="H314" s="93"/>
      <c r="I314" s="93"/>
      <c r="J314" s="88"/>
      <c r="K314" s="94"/>
      <c r="L314" s="90"/>
      <c r="M314" s="91"/>
      <c r="N314" s="92"/>
      <c r="O314" s="93"/>
      <c r="P314" s="93"/>
      <c r="Q314" s="93"/>
      <c r="R314" s="165"/>
      <c r="S314" s="179">
        <f t="shared" si="4"/>
        <v>312</v>
      </c>
      <c r="T314" s="94" t="s">
        <v>1121</v>
      </c>
      <c r="U314" s="90" t="s">
        <v>6</v>
      </c>
      <c r="V314" s="91" t="s">
        <v>57</v>
      </c>
      <c r="W314" s="92">
        <v>1</v>
      </c>
      <c r="X314" s="93">
        <v>41.824350337179688</v>
      </c>
      <c r="Y314" s="93">
        <v>43.689104136398157</v>
      </c>
      <c r="Z314" s="180">
        <v>42.984163849270125</v>
      </c>
      <c r="AA314" s="168"/>
    </row>
    <row r="315" spans="1:27" x14ac:dyDescent="0.25">
      <c r="A315" s="88">
        <v>313</v>
      </c>
      <c r="B315" s="94" t="s">
        <v>807</v>
      </c>
      <c r="C315" s="90" t="s">
        <v>16</v>
      </c>
      <c r="D315" s="91" t="s">
        <v>61</v>
      </c>
      <c r="E315" s="92">
        <v>1</v>
      </c>
      <c r="F315" s="93">
        <v>57.978576795632257</v>
      </c>
      <c r="G315" s="93">
        <v>63.342271196195597</v>
      </c>
      <c r="H315" s="93"/>
      <c r="I315" s="93"/>
      <c r="J315" s="88"/>
      <c r="K315" s="94"/>
      <c r="L315" s="90"/>
      <c r="M315" s="91"/>
      <c r="N315" s="92"/>
      <c r="O315" s="93"/>
      <c r="P315" s="93"/>
      <c r="Q315" s="93"/>
      <c r="R315" s="165"/>
      <c r="S315" s="179">
        <f t="shared" si="4"/>
        <v>313</v>
      </c>
      <c r="T315" s="94" t="s">
        <v>1123</v>
      </c>
      <c r="U315" s="90" t="s">
        <v>6</v>
      </c>
      <c r="V315" s="91" t="s">
        <v>77</v>
      </c>
      <c r="W315" s="92">
        <v>2</v>
      </c>
      <c r="X315" s="93">
        <v>0</v>
      </c>
      <c r="Y315" s="93">
        <v>43.644409727346179</v>
      </c>
      <c r="Z315" s="180">
        <v>42.940190601481881</v>
      </c>
      <c r="AA315" s="168"/>
    </row>
    <row r="316" spans="1:27" x14ac:dyDescent="0.25">
      <c r="A316" s="88">
        <v>314</v>
      </c>
      <c r="B316" s="89" t="s">
        <v>858</v>
      </c>
      <c r="C316" s="90" t="s">
        <v>6</v>
      </c>
      <c r="D316" s="91" t="s">
        <v>67</v>
      </c>
      <c r="E316" s="92">
        <v>0</v>
      </c>
      <c r="F316" s="93">
        <v>48.036969719903745</v>
      </c>
      <c r="G316" s="93">
        <v>48.036969719903745</v>
      </c>
      <c r="H316" s="93"/>
      <c r="I316" s="93"/>
      <c r="J316" s="88"/>
      <c r="K316" s="94"/>
      <c r="L316" s="90"/>
      <c r="M316" s="91"/>
      <c r="N316" s="92"/>
      <c r="O316" s="93"/>
      <c r="P316" s="93"/>
      <c r="Q316" s="93"/>
      <c r="R316" s="165"/>
      <c r="S316" s="179">
        <f t="shared" si="4"/>
        <v>314</v>
      </c>
      <c r="T316" s="94" t="s">
        <v>827</v>
      </c>
      <c r="U316" s="90" t="s">
        <v>6</v>
      </c>
      <c r="V316" s="91" t="s">
        <v>69</v>
      </c>
      <c r="W316" s="92">
        <v>5</v>
      </c>
      <c r="X316" s="93">
        <v>40.052560358075667</v>
      </c>
      <c r="Y316" s="93">
        <v>43.608005215873234</v>
      </c>
      <c r="Z316" s="180">
        <v>42.904373490626952</v>
      </c>
      <c r="AA316" s="168"/>
    </row>
    <row r="317" spans="1:27" x14ac:dyDescent="0.25">
      <c r="A317" s="88">
        <v>315</v>
      </c>
      <c r="B317" s="89" t="s">
        <v>800</v>
      </c>
      <c r="C317" s="90" t="s">
        <v>6</v>
      </c>
      <c r="D317" s="91" t="s">
        <v>62</v>
      </c>
      <c r="E317" s="92">
        <v>0</v>
      </c>
      <c r="F317" s="93">
        <v>58.263114292057047</v>
      </c>
      <c r="G317" s="93">
        <v>58.263114292057047</v>
      </c>
      <c r="H317" s="93"/>
      <c r="I317" s="93"/>
      <c r="J317" s="88"/>
      <c r="K317" s="94"/>
      <c r="L317" s="90"/>
      <c r="M317" s="91"/>
      <c r="N317" s="92"/>
      <c r="O317" s="93"/>
      <c r="P317" s="93"/>
      <c r="Q317" s="93"/>
      <c r="R317" s="165"/>
      <c r="S317" s="179">
        <f t="shared" si="4"/>
        <v>315</v>
      </c>
      <c r="T317" s="94" t="s">
        <v>669</v>
      </c>
      <c r="U317" s="90" t="s">
        <v>6</v>
      </c>
      <c r="V317" s="91" t="s">
        <v>57</v>
      </c>
      <c r="W317" s="92">
        <v>1</v>
      </c>
      <c r="X317" s="93">
        <v>0</v>
      </c>
      <c r="Y317" s="93">
        <v>43.560826320528079</v>
      </c>
      <c r="Z317" s="180">
        <v>42.857955844675402</v>
      </c>
      <c r="AA317" s="168"/>
    </row>
    <row r="318" spans="1:27" x14ac:dyDescent="0.25">
      <c r="A318" s="88">
        <v>316</v>
      </c>
      <c r="B318" s="94" t="s">
        <v>923</v>
      </c>
      <c r="C318" s="90" t="s">
        <v>6</v>
      </c>
      <c r="D318" s="91" t="s">
        <v>64</v>
      </c>
      <c r="E318" s="92">
        <v>0</v>
      </c>
      <c r="F318" s="93">
        <v>35.576333624308198</v>
      </c>
      <c r="G318" s="93">
        <v>35.576333624308198</v>
      </c>
      <c r="H318" s="93"/>
      <c r="I318" s="93"/>
      <c r="J318" s="88"/>
      <c r="K318" s="94"/>
      <c r="L318" s="90"/>
      <c r="M318" s="91"/>
      <c r="N318" s="92"/>
      <c r="O318" s="93"/>
      <c r="P318" s="93"/>
      <c r="Q318" s="93"/>
      <c r="R318" s="165"/>
      <c r="S318" s="179">
        <f t="shared" si="4"/>
        <v>316</v>
      </c>
      <c r="T318" s="94" t="s">
        <v>845</v>
      </c>
      <c r="U318" s="90" t="s">
        <v>6</v>
      </c>
      <c r="V318" s="91" t="s">
        <v>58</v>
      </c>
      <c r="W318" s="92">
        <v>1</v>
      </c>
      <c r="X318" s="93">
        <v>54.303932065615079</v>
      </c>
      <c r="Y318" s="93">
        <v>43.557289566299225</v>
      </c>
      <c r="Z318" s="180">
        <v>42.854476157319191</v>
      </c>
      <c r="AA318" s="168"/>
    </row>
    <row r="319" spans="1:27" x14ac:dyDescent="0.25">
      <c r="A319" s="88">
        <v>317</v>
      </c>
      <c r="B319" s="89" t="s">
        <v>808</v>
      </c>
      <c r="C319" s="90" t="s">
        <v>16</v>
      </c>
      <c r="D319" s="91" t="s">
        <v>63</v>
      </c>
      <c r="E319" s="92">
        <v>2</v>
      </c>
      <c r="F319" s="93">
        <v>67.576996559312562</v>
      </c>
      <c r="G319" s="93">
        <v>80.85754637552489</v>
      </c>
      <c r="H319" s="93"/>
      <c r="I319" s="93"/>
      <c r="J319" s="88"/>
      <c r="K319" s="94"/>
      <c r="L319" s="90"/>
      <c r="M319" s="91"/>
      <c r="N319" s="92"/>
      <c r="O319" s="93"/>
      <c r="P319" s="93"/>
      <c r="Q319" s="93"/>
      <c r="R319" s="165"/>
      <c r="S319" s="179">
        <f t="shared" si="4"/>
        <v>317</v>
      </c>
      <c r="T319" s="94" t="s">
        <v>1151</v>
      </c>
      <c r="U319" s="90" t="s">
        <v>6</v>
      </c>
      <c r="V319" s="91" t="s">
        <v>61</v>
      </c>
      <c r="W319" s="92">
        <v>2</v>
      </c>
      <c r="X319" s="93">
        <v>0</v>
      </c>
      <c r="Y319" s="93">
        <v>43.451365228896648</v>
      </c>
      <c r="Z319" s="241">
        <v>42.750260949327675</v>
      </c>
      <c r="AA319" s="168"/>
    </row>
    <row r="320" spans="1:27" x14ac:dyDescent="0.25">
      <c r="A320" s="88">
        <v>318</v>
      </c>
      <c r="B320" s="89" t="s">
        <v>250</v>
      </c>
      <c r="C320" s="90" t="s">
        <v>6</v>
      </c>
      <c r="D320" s="91" t="s">
        <v>63</v>
      </c>
      <c r="E320" s="92">
        <v>0</v>
      </c>
      <c r="F320" s="93">
        <v>70.74923745396147</v>
      </c>
      <c r="G320" s="93">
        <v>70.74923745396147</v>
      </c>
      <c r="H320" s="93"/>
      <c r="I320" s="93"/>
      <c r="J320" s="88"/>
      <c r="K320" s="94"/>
      <c r="L320" s="90"/>
      <c r="M320" s="91"/>
      <c r="N320" s="92"/>
      <c r="O320" s="93"/>
      <c r="P320" s="93"/>
      <c r="Q320" s="93"/>
      <c r="R320" s="165"/>
      <c r="S320" s="179">
        <f t="shared" si="4"/>
        <v>318</v>
      </c>
      <c r="T320" s="94" t="s">
        <v>1185</v>
      </c>
      <c r="U320" s="90" t="s">
        <v>6</v>
      </c>
      <c r="V320" s="91" t="s">
        <v>88</v>
      </c>
      <c r="W320" s="92">
        <v>1</v>
      </c>
      <c r="X320" s="93">
        <v>0</v>
      </c>
      <c r="Y320" s="93">
        <v>43.262385411826095</v>
      </c>
      <c r="Z320" s="180">
        <v>42.564330393374753</v>
      </c>
      <c r="AA320" s="168"/>
    </row>
    <row r="321" spans="1:27" x14ac:dyDescent="0.25">
      <c r="A321" s="88">
        <v>319</v>
      </c>
      <c r="B321" s="94" t="s">
        <v>281</v>
      </c>
      <c r="C321" s="90" t="s">
        <v>6</v>
      </c>
      <c r="D321" s="91" t="s">
        <v>62</v>
      </c>
      <c r="E321" s="92">
        <v>0</v>
      </c>
      <c r="F321" s="93">
        <v>45.781614416307285</v>
      </c>
      <c r="G321" s="93">
        <v>45.781614416307285</v>
      </c>
      <c r="H321" s="93"/>
      <c r="I321" s="93"/>
      <c r="J321" s="88"/>
      <c r="K321" s="94"/>
      <c r="L321" s="90"/>
      <c r="M321" s="91"/>
      <c r="N321" s="92"/>
      <c r="O321" s="93"/>
      <c r="P321" s="93"/>
      <c r="Q321" s="93"/>
      <c r="R321" s="165"/>
      <c r="S321" s="179">
        <f t="shared" si="4"/>
        <v>319</v>
      </c>
      <c r="T321" s="94" t="s">
        <v>246</v>
      </c>
      <c r="U321" s="90" t="s">
        <v>6</v>
      </c>
      <c r="V321" s="91" t="s">
        <v>69</v>
      </c>
      <c r="W321" s="92">
        <v>3</v>
      </c>
      <c r="X321" s="93">
        <v>39.926233310555538</v>
      </c>
      <c r="Y321" s="93">
        <v>42.636295123981796</v>
      </c>
      <c r="Z321" s="180">
        <v>41.948342310096223</v>
      </c>
      <c r="AA321" s="168"/>
    </row>
    <row r="322" spans="1:27" x14ac:dyDescent="0.25">
      <c r="A322" s="88">
        <v>320</v>
      </c>
      <c r="B322" s="94" t="s">
        <v>438</v>
      </c>
      <c r="C322" s="90" t="s">
        <v>6</v>
      </c>
      <c r="D322" s="91" t="s">
        <v>69</v>
      </c>
      <c r="E322" s="92">
        <v>0</v>
      </c>
      <c r="F322" s="93">
        <v>51.673516559847222</v>
      </c>
      <c r="G322" s="93">
        <v>51.673516559847222</v>
      </c>
      <c r="H322" s="93"/>
      <c r="I322" s="93"/>
      <c r="J322" s="88"/>
      <c r="K322" s="94"/>
      <c r="L322" s="90"/>
      <c r="M322" s="91"/>
      <c r="N322" s="92"/>
      <c r="O322" s="93"/>
      <c r="P322" s="93"/>
      <c r="Q322" s="93"/>
      <c r="R322" s="165"/>
      <c r="S322" s="179">
        <f t="shared" si="4"/>
        <v>320</v>
      </c>
      <c r="T322" s="94" t="s">
        <v>1139</v>
      </c>
      <c r="U322" s="90" t="s">
        <v>6</v>
      </c>
      <c r="V322" s="91" t="s">
        <v>159</v>
      </c>
      <c r="W322" s="92">
        <v>4</v>
      </c>
      <c r="X322" s="93">
        <v>0</v>
      </c>
      <c r="Y322" s="93">
        <v>42.475618766431353</v>
      </c>
      <c r="Z322" s="180">
        <v>41.790258526595188</v>
      </c>
      <c r="AA322" s="168"/>
    </row>
    <row r="323" spans="1:27" x14ac:dyDescent="0.25">
      <c r="A323" s="88">
        <v>321</v>
      </c>
      <c r="B323" s="94" t="s">
        <v>847</v>
      </c>
      <c r="C323" s="90" t="s">
        <v>16</v>
      </c>
      <c r="D323" s="91" t="s">
        <v>66</v>
      </c>
      <c r="E323" s="92">
        <v>3</v>
      </c>
      <c r="F323" s="93">
        <v>64.150558601474174</v>
      </c>
      <c r="G323" s="93">
        <v>77.868356934222959</v>
      </c>
      <c r="H323" s="93"/>
      <c r="I323" s="93"/>
      <c r="J323" s="88"/>
      <c r="K323" s="94"/>
      <c r="L323" s="90"/>
      <c r="M323" s="91"/>
      <c r="N323" s="92"/>
      <c r="O323" s="93"/>
      <c r="P323" s="93"/>
      <c r="Q323" s="93"/>
      <c r="R323" s="165"/>
      <c r="S323" s="179">
        <f t="shared" si="4"/>
        <v>321</v>
      </c>
      <c r="T323" s="94" t="s">
        <v>329</v>
      </c>
      <c r="U323" s="90" t="s">
        <v>6</v>
      </c>
      <c r="V323" s="91" t="s">
        <v>57</v>
      </c>
      <c r="W323" s="92">
        <v>4</v>
      </c>
      <c r="X323" s="93">
        <v>35.205333381012913</v>
      </c>
      <c r="Y323" s="93">
        <v>42.430364558354</v>
      </c>
      <c r="Z323" s="180">
        <v>41.74573451235144</v>
      </c>
      <c r="AA323" s="168"/>
    </row>
    <row r="324" spans="1:27" x14ac:dyDescent="0.25">
      <c r="A324" s="88">
        <v>322</v>
      </c>
      <c r="B324" s="89" t="s">
        <v>145</v>
      </c>
      <c r="C324" s="90" t="s">
        <v>6</v>
      </c>
      <c r="D324" s="91" t="s">
        <v>57</v>
      </c>
      <c r="E324" s="92">
        <v>0</v>
      </c>
      <c r="F324" s="93">
        <v>60.519320587656843</v>
      </c>
      <c r="G324" s="93">
        <v>60.519320587656843</v>
      </c>
      <c r="H324" s="93"/>
      <c r="I324" s="93"/>
      <c r="J324" s="88"/>
      <c r="K324" s="94"/>
      <c r="L324" s="90"/>
      <c r="M324" s="91"/>
      <c r="N324" s="92"/>
      <c r="O324" s="93"/>
      <c r="P324" s="93"/>
      <c r="Q324" s="93"/>
      <c r="R324" s="165"/>
      <c r="S324" s="179">
        <f t="shared" si="4"/>
        <v>322</v>
      </c>
      <c r="T324" s="94" t="s">
        <v>925</v>
      </c>
      <c r="U324" s="90" t="s">
        <v>6</v>
      </c>
      <c r="V324" s="91" t="s">
        <v>57</v>
      </c>
      <c r="W324" s="92">
        <v>3</v>
      </c>
      <c r="X324" s="93">
        <v>32.752601332873503</v>
      </c>
      <c r="Y324" s="93">
        <v>42.429502084305511</v>
      </c>
      <c r="Z324" s="180">
        <v>41.744885954649263</v>
      </c>
      <c r="AA324" s="168"/>
    </row>
    <row r="325" spans="1:27" x14ac:dyDescent="0.25">
      <c r="A325" s="88">
        <v>323</v>
      </c>
      <c r="B325" s="89" t="s">
        <v>395</v>
      </c>
      <c r="C325" s="90" t="s">
        <v>6</v>
      </c>
      <c r="D325" s="90" t="s">
        <v>62</v>
      </c>
      <c r="E325" s="92">
        <v>0</v>
      </c>
      <c r="F325" s="93">
        <v>51.206257322193025</v>
      </c>
      <c r="G325" s="93">
        <v>51.206257322193025</v>
      </c>
      <c r="H325" s="93"/>
      <c r="I325" s="93"/>
      <c r="J325" s="88"/>
      <c r="K325" s="94"/>
      <c r="L325" s="90"/>
      <c r="M325" s="91"/>
      <c r="N325" s="92"/>
      <c r="O325" s="93"/>
      <c r="P325" s="93"/>
      <c r="Q325" s="93"/>
      <c r="R325" s="165"/>
      <c r="S325" s="179">
        <f t="shared" ref="S325:S388" si="5">S324+1</f>
        <v>323</v>
      </c>
      <c r="T325" s="94" t="s">
        <v>814</v>
      </c>
      <c r="U325" s="90" t="s">
        <v>6</v>
      </c>
      <c r="V325" s="91" t="s">
        <v>88</v>
      </c>
      <c r="W325" s="92">
        <v>4</v>
      </c>
      <c r="X325" s="93">
        <v>42.871754071716111</v>
      </c>
      <c r="Y325" s="93">
        <v>42.190548973827738</v>
      </c>
      <c r="Z325" s="180">
        <v>41.509788443356683</v>
      </c>
      <c r="AA325" s="168"/>
    </row>
    <row r="326" spans="1:27" x14ac:dyDescent="0.25">
      <c r="A326" s="88">
        <v>324</v>
      </c>
      <c r="B326" s="94" t="s">
        <v>812</v>
      </c>
      <c r="C326" s="90" t="s">
        <v>6</v>
      </c>
      <c r="D326" s="91" t="s">
        <v>57</v>
      </c>
      <c r="E326" s="92">
        <v>0</v>
      </c>
      <c r="F326" s="93">
        <v>39.238841356732316</v>
      </c>
      <c r="G326" s="93">
        <v>39.238841356732316</v>
      </c>
      <c r="H326" s="93"/>
      <c r="I326" s="93"/>
      <c r="J326" s="88"/>
      <c r="K326" s="94"/>
      <c r="L326" s="90"/>
      <c r="M326" s="91"/>
      <c r="N326" s="92"/>
      <c r="O326" s="93"/>
      <c r="P326" s="93"/>
      <c r="Q326" s="93"/>
      <c r="R326" s="165"/>
      <c r="S326" s="179">
        <f t="shared" si="5"/>
        <v>324</v>
      </c>
      <c r="T326" s="94" t="s">
        <v>887</v>
      </c>
      <c r="U326" s="90" t="s">
        <v>6</v>
      </c>
      <c r="V326" s="91" t="s">
        <v>159</v>
      </c>
      <c r="W326" s="92">
        <v>3</v>
      </c>
      <c r="X326" s="93">
        <v>43.084608238540156</v>
      </c>
      <c r="Y326" s="93">
        <v>42.103268371659517</v>
      </c>
      <c r="Z326" s="180">
        <v>41.423916146851155</v>
      </c>
      <c r="AA326" s="168"/>
    </row>
    <row r="327" spans="1:27" x14ac:dyDescent="0.25">
      <c r="A327" s="88">
        <v>325</v>
      </c>
      <c r="B327" s="89" t="s">
        <v>362</v>
      </c>
      <c r="C327" s="90" t="s">
        <v>6</v>
      </c>
      <c r="D327" s="91" t="s">
        <v>63</v>
      </c>
      <c r="E327" s="92">
        <v>0</v>
      </c>
      <c r="F327" s="93">
        <v>55.679463696300587</v>
      </c>
      <c r="G327" s="93">
        <v>55.679463696300587</v>
      </c>
      <c r="H327" s="93"/>
      <c r="I327" s="93"/>
      <c r="J327" s="88"/>
      <c r="K327" s="94"/>
      <c r="L327" s="90"/>
      <c r="M327" s="91"/>
      <c r="N327" s="92"/>
      <c r="O327" s="93"/>
      <c r="P327" s="93"/>
      <c r="Q327" s="93"/>
      <c r="R327" s="165"/>
      <c r="S327" s="179">
        <f t="shared" si="5"/>
        <v>325</v>
      </c>
      <c r="T327" s="94" t="s">
        <v>1101</v>
      </c>
      <c r="U327" s="90" t="s">
        <v>6</v>
      </c>
      <c r="V327" s="91" t="s">
        <v>57</v>
      </c>
      <c r="W327" s="92">
        <v>2</v>
      </c>
      <c r="X327" s="93">
        <v>0</v>
      </c>
      <c r="Y327" s="93">
        <v>41.423790791343187</v>
      </c>
      <c r="Z327" s="180">
        <v>40.75540219533962</v>
      </c>
      <c r="AA327" s="168"/>
    </row>
    <row r="328" spans="1:27" x14ac:dyDescent="0.25">
      <c r="A328" s="88">
        <v>326</v>
      </c>
      <c r="B328" s="94" t="s">
        <v>246</v>
      </c>
      <c r="C328" s="90" t="s">
        <v>6</v>
      </c>
      <c r="D328" s="91" t="s">
        <v>69</v>
      </c>
      <c r="E328" s="92">
        <v>0</v>
      </c>
      <c r="F328" s="93">
        <v>39.926233310555538</v>
      </c>
      <c r="G328" s="93">
        <v>39.926233310555538</v>
      </c>
      <c r="H328" s="93"/>
      <c r="I328" s="93"/>
      <c r="J328" s="88"/>
      <c r="K328" s="94"/>
      <c r="L328" s="90"/>
      <c r="M328" s="91"/>
      <c r="N328" s="92"/>
      <c r="O328" s="93"/>
      <c r="P328" s="93"/>
      <c r="Q328" s="93"/>
      <c r="R328" s="165"/>
      <c r="S328" s="179">
        <f t="shared" si="5"/>
        <v>326</v>
      </c>
      <c r="T328" s="94" t="s">
        <v>1095</v>
      </c>
      <c r="U328" s="90" t="s">
        <v>6</v>
      </c>
      <c r="V328" s="91" t="s">
        <v>88</v>
      </c>
      <c r="W328" s="92">
        <v>3</v>
      </c>
      <c r="X328" s="93">
        <v>0</v>
      </c>
      <c r="Y328" s="93">
        <v>41.325906256581611</v>
      </c>
      <c r="Z328" s="180">
        <v>40.6590970647202</v>
      </c>
      <c r="AA328" s="168"/>
    </row>
    <row r="329" spans="1:27" x14ac:dyDescent="0.25">
      <c r="A329" s="88">
        <v>327</v>
      </c>
      <c r="B329" s="94" t="s">
        <v>200</v>
      </c>
      <c r="C329" s="90" t="s">
        <v>6</v>
      </c>
      <c r="D329" s="91" t="s">
        <v>62</v>
      </c>
      <c r="E329" s="92">
        <v>0</v>
      </c>
      <c r="F329" s="93">
        <v>71.847238112987299</v>
      </c>
      <c r="G329" s="93">
        <v>71.847238112987299</v>
      </c>
      <c r="H329" s="93"/>
      <c r="I329" s="93"/>
      <c r="J329" s="88"/>
      <c r="K329" s="94"/>
      <c r="L329" s="90"/>
      <c r="M329" s="91"/>
      <c r="N329" s="92"/>
      <c r="O329" s="93"/>
      <c r="P329" s="93"/>
      <c r="Q329" s="93"/>
      <c r="R329" s="165"/>
      <c r="S329" s="179">
        <f t="shared" si="5"/>
        <v>327</v>
      </c>
      <c r="T329" s="94" t="s">
        <v>1138</v>
      </c>
      <c r="U329" s="90" t="s">
        <v>6</v>
      </c>
      <c r="V329" s="91" t="s">
        <v>159</v>
      </c>
      <c r="W329" s="92">
        <v>4</v>
      </c>
      <c r="X329" s="93">
        <v>0</v>
      </c>
      <c r="Y329" s="93">
        <v>40.632371138484139</v>
      </c>
      <c r="Z329" s="180">
        <v>39.97675239913827</v>
      </c>
      <c r="AA329" s="168"/>
    </row>
    <row r="330" spans="1:27" x14ac:dyDescent="0.25">
      <c r="A330" s="88">
        <v>328</v>
      </c>
      <c r="B330" s="94" t="s">
        <v>767</v>
      </c>
      <c r="C330" s="90" t="s">
        <v>6</v>
      </c>
      <c r="D330" s="91" t="s">
        <v>62</v>
      </c>
      <c r="E330" s="92">
        <v>0</v>
      </c>
      <c r="F330" s="93">
        <v>60.533894385989399</v>
      </c>
      <c r="G330" s="93">
        <v>60.533894385989399</v>
      </c>
      <c r="H330" s="93"/>
      <c r="I330" s="93"/>
      <c r="J330" s="88"/>
      <c r="K330" s="94"/>
      <c r="L330" s="90"/>
      <c r="M330" s="91"/>
      <c r="N330" s="92"/>
      <c r="O330" s="93"/>
      <c r="P330" s="93"/>
      <c r="Q330" s="93"/>
      <c r="R330" s="165"/>
      <c r="S330" s="179">
        <f t="shared" si="5"/>
        <v>328</v>
      </c>
      <c r="T330" s="94" t="s">
        <v>1153</v>
      </c>
      <c r="U330" s="90" t="s">
        <v>6</v>
      </c>
      <c r="V330" s="91" t="s">
        <v>75</v>
      </c>
      <c r="W330" s="92">
        <v>2</v>
      </c>
      <c r="X330" s="93">
        <v>0</v>
      </c>
      <c r="Y330" s="93">
        <v>40.621924811658616</v>
      </c>
      <c r="Z330" s="180">
        <v>39.966474627763297</v>
      </c>
      <c r="AA330" s="168"/>
    </row>
    <row r="331" spans="1:27" x14ac:dyDescent="0.25">
      <c r="A331" s="88">
        <v>329</v>
      </c>
      <c r="B331" s="89" t="s">
        <v>401</v>
      </c>
      <c r="C331" s="90" t="s">
        <v>6</v>
      </c>
      <c r="D331" s="91" t="s">
        <v>59</v>
      </c>
      <c r="E331" s="92">
        <v>0</v>
      </c>
      <c r="F331" s="93">
        <v>49.43360583444634</v>
      </c>
      <c r="G331" s="93">
        <v>49.43360583444634</v>
      </c>
      <c r="H331" s="93"/>
      <c r="I331" s="93"/>
      <c r="J331" s="88"/>
      <c r="K331" s="94"/>
      <c r="L331" s="90"/>
      <c r="M331" s="91"/>
      <c r="N331" s="92"/>
      <c r="O331" s="93"/>
      <c r="P331" s="93"/>
      <c r="Q331" s="93"/>
      <c r="R331" s="165"/>
      <c r="S331" s="179">
        <f t="shared" si="5"/>
        <v>329</v>
      </c>
      <c r="T331" s="94" t="s">
        <v>817</v>
      </c>
      <c r="U331" s="90" t="s">
        <v>6</v>
      </c>
      <c r="V331" s="91" t="s">
        <v>88</v>
      </c>
      <c r="W331" s="92">
        <v>6</v>
      </c>
      <c r="X331" s="93">
        <v>41.838699749319133</v>
      </c>
      <c r="Y331" s="93">
        <v>40.494077696364442</v>
      </c>
      <c r="Z331" s="180">
        <v>39.840690374227115</v>
      </c>
      <c r="AA331" s="168"/>
    </row>
    <row r="332" spans="1:27" x14ac:dyDescent="0.25">
      <c r="A332" s="88">
        <v>330</v>
      </c>
      <c r="B332" s="94" t="s">
        <v>712</v>
      </c>
      <c r="C332" s="90" t="s">
        <v>16</v>
      </c>
      <c r="D332" s="91" t="s">
        <v>87</v>
      </c>
      <c r="E332" s="92">
        <v>2</v>
      </c>
      <c r="F332" s="93">
        <v>82.907092027259509</v>
      </c>
      <c r="G332" s="93">
        <v>74.905957502259213</v>
      </c>
      <c r="H332" s="93"/>
      <c r="I332" s="93"/>
      <c r="J332" s="88"/>
      <c r="K332" s="94"/>
      <c r="L332" s="90"/>
      <c r="M332" s="91"/>
      <c r="N332" s="92"/>
      <c r="O332" s="93"/>
      <c r="P332" s="93"/>
      <c r="Q332" s="93"/>
      <c r="R332" s="165"/>
      <c r="S332" s="179">
        <f t="shared" si="5"/>
        <v>330</v>
      </c>
      <c r="T332" s="94" t="s">
        <v>882</v>
      </c>
      <c r="U332" s="90" t="s">
        <v>6</v>
      </c>
      <c r="V332" s="91" t="s">
        <v>88</v>
      </c>
      <c r="W332" s="92">
        <v>1</v>
      </c>
      <c r="X332" s="93">
        <v>43.673279471570424</v>
      </c>
      <c r="Y332" s="93">
        <v>40.090471076549832</v>
      </c>
      <c r="Z332" s="180">
        <v>39.443596100501608</v>
      </c>
      <c r="AA332" s="168"/>
    </row>
    <row r="333" spans="1:27" x14ac:dyDescent="0.25">
      <c r="A333" s="88">
        <v>331</v>
      </c>
      <c r="B333" s="94" t="s">
        <v>920</v>
      </c>
      <c r="C333" s="90" t="s">
        <v>6</v>
      </c>
      <c r="D333" s="91" t="s">
        <v>66</v>
      </c>
      <c r="E333" s="92">
        <v>0</v>
      </c>
      <c r="F333" s="93">
        <v>39.33529400467787</v>
      </c>
      <c r="G333" s="93">
        <v>39.33529400467787</v>
      </c>
      <c r="H333" s="93"/>
      <c r="I333" s="93"/>
      <c r="J333" s="88"/>
      <c r="K333" s="94"/>
      <c r="L333" s="90"/>
      <c r="M333" s="91"/>
      <c r="N333" s="92"/>
      <c r="O333" s="93"/>
      <c r="P333" s="93"/>
      <c r="Q333" s="93"/>
      <c r="R333" s="165"/>
      <c r="S333" s="179">
        <f t="shared" si="5"/>
        <v>331</v>
      </c>
      <c r="T333" s="94" t="s">
        <v>1135</v>
      </c>
      <c r="U333" s="90" t="s">
        <v>6</v>
      </c>
      <c r="V333" s="91" t="s">
        <v>781</v>
      </c>
      <c r="W333" s="92">
        <v>4</v>
      </c>
      <c r="X333" s="93">
        <v>0</v>
      </c>
      <c r="Y333" s="93">
        <v>38.776621732970902</v>
      </c>
      <c r="Z333" s="180">
        <v>38.150946215044179</v>
      </c>
      <c r="AA333" s="168"/>
    </row>
    <row r="334" spans="1:27" x14ac:dyDescent="0.25">
      <c r="A334" s="88">
        <v>332</v>
      </c>
      <c r="B334" s="94"/>
      <c r="C334" s="90"/>
      <c r="D334" s="90"/>
      <c r="E334" s="92"/>
      <c r="F334" s="93"/>
      <c r="G334" s="93"/>
      <c r="H334" s="93"/>
      <c r="I334" s="93"/>
      <c r="J334" s="88"/>
      <c r="K334" s="94"/>
      <c r="L334" s="90"/>
      <c r="M334" s="91"/>
      <c r="N334" s="92"/>
      <c r="O334" s="93"/>
      <c r="P334" s="93"/>
      <c r="Q334" s="93"/>
      <c r="R334" s="165"/>
      <c r="S334" s="179">
        <f t="shared" si="5"/>
        <v>332</v>
      </c>
      <c r="T334" s="94" t="s">
        <v>680</v>
      </c>
      <c r="U334" s="90" t="s">
        <v>6</v>
      </c>
      <c r="V334" s="91" t="s">
        <v>77</v>
      </c>
      <c r="W334" s="92">
        <v>1</v>
      </c>
      <c r="X334" s="93">
        <v>44.469678092686884</v>
      </c>
      <c r="Y334" s="93">
        <v>38.704432077690321</v>
      </c>
      <c r="Z334" s="180">
        <v>38.07992136726714</v>
      </c>
      <c r="AA334" s="168"/>
    </row>
    <row r="335" spans="1:27" x14ac:dyDescent="0.25">
      <c r="A335" s="88">
        <v>333</v>
      </c>
      <c r="B335" s="94"/>
      <c r="C335" s="90"/>
      <c r="D335" s="91"/>
      <c r="E335" s="92"/>
      <c r="F335" s="93"/>
      <c r="G335" s="93"/>
      <c r="H335" s="93"/>
      <c r="I335" s="93"/>
      <c r="J335" s="88"/>
      <c r="K335" s="94"/>
      <c r="L335" s="90"/>
      <c r="M335" s="91"/>
      <c r="N335" s="92"/>
      <c r="O335" s="93"/>
      <c r="P335" s="93"/>
      <c r="Q335" s="93"/>
      <c r="R335" s="165"/>
      <c r="S335" s="179">
        <f t="shared" si="5"/>
        <v>333</v>
      </c>
      <c r="T335" s="94" t="s">
        <v>1339</v>
      </c>
      <c r="U335" s="90" t="s">
        <v>6</v>
      </c>
      <c r="V335" s="91" t="s">
        <v>87</v>
      </c>
      <c r="W335" s="92">
        <v>1</v>
      </c>
      <c r="X335" s="93">
        <v>0</v>
      </c>
      <c r="Y335" s="93">
        <v>38.58351480225631</v>
      </c>
      <c r="Z335" s="180">
        <v>37.960955137993217</v>
      </c>
      <c r="AA335" s="168"/>
    </row>
    <row r="336" spans="1:27" x14ac:dyDescent="0.25">
      <c r="A336" s="88">
        <v>334</v>
      </c>
      <c r="B336" s="89"/>
      <c r="C336" s="90"/>
      <c r="D336" s="91"/>
      <c r="E336" s="92"/>
      <c r="F336" s="93"/>
      <c r="G336" s="93"/>
      <c r="H336" s="93"/>
      <c r="I336" s="93"/>
      <c r="J336" s="88"/>
      <c r="K336" s="94"/>
      <c r="L336" s="90"/>
      <c r="M336" s="91"/>
      <c r="N336" s="92"/>
      <c r="O336" s="93"/>
      <c r="P336" s="93"/>
      <c r="Q336" s="93"/>
      <c r="R336" s="165"/>
      <c r="S336" s="179">
        <f t="shared" si="5"/>
        <v>334</v>
      </c>
      <c r="T336" s="94" t="s">
        <v>928</v>
      </c>
      <c r="U336" s="90" t="s">
        <v>6</v>
      </c>
      <c r="V336" s="91" t="s">
        <v>159</v>
      </c>
      <c r="W336" s="92">
        <v>4</v>
      </c>
      <c r="X336" s="93">
        <v>28.828514546275404</v>
      </c>
      <c r="Y336" s="93">
        <v>38.401404335037782</v>
      </c>
      <c r="Z336" s="180">
        <v>37.781783092323671</v>
      </c>
      <c r="AA336" s="168"/>
    </row>
    <row r="337" spans="1:27" x14ac:dyDescent="0.25">
      <c r="A337" s="88">
        <v>335</v>
      </c>
      <c r="B337" s="89"/>
      <c r="C337" s="90"/>
      <c r="D337" s="91"/>
      <c r="E337" s="92"/>
      <c r="F337" s="93"/>
      <c r="G337" s="93"/>
      <c r="H337" s="93"/>
      <c r="I337" s="93"/>
      <c r="J337" s="88"/>
      <c r="K337" s="94"/>
      <c r="L337" s="90"/>
      <c r="M337" s="91"/>
      <c r="N337" s="92"/>
      <c r="O337" s="93"/>
      <c r="P337" s="93"/>
      <c r="Q337" s="93"/>
      <c r="R337" s="165"/>
      <c r="S337" s="179">
        <f t="shared" si="5"/>
        <v>335</v>
      </c>
      <c r="T337" s="94" t="s">
        <v>990</v>
      </c>
      <c r="U337" s="90" t="s">
        <v>6</v>
      </c>
      <c r="V337" s="91" t="s">
        <v>87</v>
      </c>
      <c r="W337" s="92">
        <v>2</v>
      </c>
      <c r="X337" s="93">
        <v>0</v>
      </c>
      <c r="Y337" s="93">
        <v>37.904104359278307</v>
      </c>
      <c r="Z337" s="180">
        <v>37.29250724053356</v>
      </c>
      <c r="AA337" s="168"/>
    </row>
    <row r="338" spans="1:27" x14ac:dyDescent="0.25">
      <c r="A338" s="88">
        <v>336</v>
      </c>
      <c r="B338" s="89"/>
      <c r="C338" s="90"/>
      <c r="D338" s="91"/>
      <c r="E338" s="92"/>
      <c r="F338" s="93"/>
      <c r="G338" s="93"/>
      <c r="H338" s="93"/>
      <c r="I338" s="93"/>
      <c r="J338" s="88"/>
      <c r="K338" s="94"/>
      <c r="L338" s="90"/>
      <c r="M338" s="91"/>
      <c r="N338" s="92"/>
      <c r="O338" s="93"/>
      <c r="P338" s="93"/>
      <c r="Q338" s="93"/>
      <c r="R338" s="165"/>
      <c r="S338" s="179">
        <f t="shared" si="5"/>
        <v>336</v>
      </c>
      <c r="T338" s="94" t="s">
        <v>801</v>
      </c>
      <c r="U338" s="90" t="s">
        <v>6</v>
      </c>
      <c r="V338" s="91" t="s">
        <v>62</v>
      </c>
      <c r="W338" s="92">
        <v>1</v>
      </c>
      <c r="X338" s="93">
        <v>32.342782710051459</v>
      </c>
      <c r="Y338" s="93">
        <v>37.864959554198414</v>
      </c>
      <c r="Z338" s="180">
        <v>37.253994051749714</v>
      </c>
      <c r="AA338" s="168"/>
    </row>
    <row r="339" spans="1:27" x14ac:dyDescent="0.25">
      <c r="A339" s="88">
        <v>337</v>
      </c>
      <c r="B339" s="89"/>
      <c r="C339" s="90"/>
      <c r="D339" s="91"/>
      <c r="E339" s="92"/>
      <c r="F339" s="93"/>
      <c r="G339" s="93"/>
      <c r="H339" s="93"/>
      <c r="I339" s="93"/>
      <c r="J339" s="88"/>
      <c r="K339" s="94"/>
      <c r="L339" s="90"/>
      <c r="M339" s="91"/>
      <c r="N339" s="92"/>
      <c r="O339" s="93"/>
      <c r="P339" s="93"/>
      <c r="Q339" s="93"/>
      <c r="R339" s="165"/>
      <c r="S339" s="179">
        <f t="shared" si="5"/>
        <v>337</v>
      </c>
      <c r="T339" s="94" t="s">
        <v>1140</v>
      </c>
      <c r="U339" s="90" t="s">
        <v>6</v>
      </c>
      <c r="V339" s="91" t="s">
        <v>781</v>
      </c>
      <c r="W339" s="92">
        <v>2</v>
      </c>
      <c r="X339" s="93">
        <v>0</v>
      </c>
      <c r="Y339" s="93">
        <v>37.726060860171664</v>
      </c>
      <c r="Z339" s="180">
        <v>37.117336540900887</v>
      </c>
      <c r="AA339" s="168"/>
    </row>
    <row r="340" spans="1:27" x14ac:dyDescent="0.25">
      <c r="A340" s="88">
        <v>338</v>
      </c>
      <c r="B340" s="94"/>
      <c r="C340" s="90"/>
      <c r="D340" s="91"/>
      <c r="E340" s="92"/>
      <c r="F340" s="93"/>
      <c r="G340" s="93"/>
      <c r="H340" s="93"/>
      <c r="I340" s="93"/>
      <c r="J340" s="88"/>
      <c r="K340" s="94"/>
      <c r="L340" s="90"/>
      <c r="M340" s="91"/>
      <c r="N340" s="92"/>
      <c r="O340" s="93"/>
      <c r="P340" s="93"/>
      <c r="Q340" s="93"/>
      <c r="R340" s="165"/>
      <c r="S340" s="179">
        <f t="shared" si="5"/>
        <v>338</v>
      </c>
      <c r="T340" s="94" t="s">
        <v>1311</v>
      </c>
      <c r="U340" s="90" t="s">
        <v>6</v>
      </c>
      <c r="V340" s="91" t="s">
        <v>69</v>
      </c>
      <c r="W340" s="92">
        <v>1</v>
      </c>
      <c r="X340" s="93">
        <v>0</v>
      </c>
      <c r="Y340" s="93">
        <v>37.518968025504186</v>
      </c>
      <c r="Z340" s="180">
        <v>36.913585227768777</v>
      </c>
      <c r="AA340" s="168"/>
    </row>
    <row r="341" spans="1:27" x14ac:dyDescent="0.25">
      <c r="A341" s="88">
        <v>339</v>
      </c>
      <c r="B341" s="94"/>
      <c r="C341" s="90"/>
      <c r="D341" s="91"/>
      <c r="E341" s="92"/>
      <c r="F341" s="93"/>
      <c r="G341" s="93"/>
      <c r="H341" s="93"/>
      <c r="I341" s="93"/>
      <c r="J341" s="88"/>
      <c r="K341" s="94"/>
      <c r="L341" s="90"/>
      <c r="M341" s="91"/>
      <c r="N341" s="92"/>
      <c r="O341" s="93"/>
      <c r="P341" s="93"/>
      <c r="Q341" s="93"/>
      <c r="R341" s="165"/>
      <c r="S341" s="179">
        <f t="shared" si="5"/>
        <v>339</v>
      </c>
      <c r="T341" s="94" t="s">
        <v>1096</v>
      </c>
      <c r="U341" s="90" t="s">
        <v>6</v>
      </c>
      <c r="V341" s="91" t="s">
        <v>88</v>
      </c>
      <c r="W341" s="92">
        <v>3</v>
      </c>
      <c r="X341" s="93">
        <v>0</v>
      </c>
      <c r="Y341" s="93">
        <v>37.469732931071576</v>
      </c>
      <c r="Z341" s="180">
        <v>36.865144560282936</v>
      </c>
      <c r="AA341" s="168"/>
    </row>
    <row r="342" spans="1:27" x14ac:dyDescent="0.25">
      <c r="A342" s="88">
        <v>340</v>
      </c>
      <c r="B342" s="94"/>
      <c r="C342" s="90"/>
      <c r="D342" s="90"/>
      <c r="E342" s="92"/>
      <c r="F342" s="93"/>
      <c r="G342" s="93"/>
      <c r="H342" s="93"/>
      <c r="I342" s="93"/>
      <c r="J342" s="88"/>
      <c r="K342" s="94"/>
      <c r="L342" s="90"/>
      <c r="M342" s="91"/>
      <c r="N342" s="92"/>
      <c r="O342" s="93"/>
      <c r="P342" s="93"/>
      <c r="Q342" s="93"/>
      <c r="R342" s="165"/>
      <c r="S342" s="179">
        <f t="shared" si="5"/>
        <v>340</v>
      </c>
      <c r="T342" s="94" t="s">
        <v>1289</v>
      </c>
      <c r="U342" s="90" t="s">
        <v>6</v>
      </c>
      <c r="V342" s="91" t="s">
        <v>75</v>
      </c>
      <c r="W342" s="92">
        <v>2</v>
      </c>
      <c r="X342" s="93">
        <v>0</v>
      </c>
      <c r="Y342" s="93">
        <v>36.827698801211355</v>
      </c>
      <c r="Z342" s="180">
        <v>36.23346989493443</v>
      </c>
      <c r="AA342" s="168"/>
    </row>
    <row r="343" spans="1:27" x14ac:dyDescent="0.25">
      <c r="A343" s="88">
        <v>341</v>
      </c>
      <c r="B343" s="89"/>
      <c r="C343" s="90"/>
      <c r="D343" s="91"/>
      <c r="E343" s="92"/>
      <c r="F343" s="93"/>
      <c r="G343" s="93"/>
      <c r="H343" s="93"/>
      <c r="I343" s="93"/>
      <c r="J343" s="88"/>
      <c r="K343" s="94"/>
      <c r="L343" s="90"/>
      <c r="M343" s="91"/>
      <c r="N343" s="92"/>
      <c r="O343" s="93"/>
      <c r="P343" s="93"/>
      <c r="Q343" s="93"/>
      <c r="R343" s="165"/>
      <c r="S343" s="179">
        <f t="shared" si="5"/>
        <v>341</v>
      </c>
      <c r="T343" s="94" t="s">
        <v>822</v>
      </c>
      <c r="U343" s="90" t="s">
        <v>6</v>
      </c>
      <c r="V343" s="91" t="s">
        <v>88</v>
      </c>
      <c r="W343" s="92">
        <v>2</v>
      </c>
      <c r="X343" s="93">
        <v>31.829904729434844</v>
      </c>
      <c r="Y343" s="93">
        <v>36.723324737738345</v>
      </c>
      <c r="Z343" s="180">
        <v>36.130779946613877</v>
      </c>
      <c r="AA343" s="168"/>
    </row>
    <row r="344" spans="1:27" x14ac:dyDescent="0.25">
      <c r="A344" s="88">
        <v>342</v>
      </c>
      <c r="B344" s="94"/>
      <c r="C344" s="90"/>
      <c r="D344" s="91"/>
      <c r="E344" s="92"/>
      <c r="F344" s="93"/>
      <c r="G344" s="93"/>
      <c r="H344" s="93"/>
      <c r="I344" s="93"/>
      <c r="J344" s="88"/>
      <c r="K344" s="94"/>
      <c r="L344" s="90"/>
      <c r="M344" s="91"/>
      <c r="N344" s="92"/>
      <c r="O344" s="93"/>
      <c r="P344" s="93"/>
      <c r="Q344" s="93"/>
      <c r="R344" s="165"/>
      <c r="S344" s="179">
        <f t="shared" si="5"/>
        <v>342</v>
      </c>
      <c r="T344" s="94" t="s">
        <v>1283</v>
      </c>
      <c r="U344" s="90" t="s">
        <v>6</v>
      </c>
      <c r="V344" s="91" t="s">
        <v>63</v>
      </c>
      <c r="W344" s="92">
        <v>1</v>
      </c>
      <c r="X344" s="93">
        <v>0</v>
      </c>
      <c r="Y344" s="93">
        <v>36.330466457295948</v>
      </c>
      <c r="Z344" s="180">
        <v>35.744260583722891</v>
      </c>
      <c r="AA344" s="168"/>
    </row>
    <row r="345" spans="1:27" x14ac:dyDescent="0.25">
      <c r="A345" s="88">
        <v>343</v>
      </c>
      <c r="B345" s="89"/>
      <c r="C345" s="90"/>
      <c r="D345" s="91"/>
      <c r="E345" s="92"/>
      <c r="F345" s="93"/>
      <c r="G345" s="93"/>
      <c r="H345" s="93"/>
      <c r="I345" s="93"/>
      <c r="J345" s="88"/>
      <c r="K345" s="94"/>
      <c r="L345" s="90"/>
      <c r="M345" s="91"/>
      <c r="N345" s="92"/>
      <c r="O345" s="93"/>
      <c r="P345" s="93"/>
      <c r="Q345" s="93"/>
      <c r="R345" s="165"/>
      <c r="S345" s="179">
        <f t="shared" si="5"/>
        <v>343</v>
      </c>
      <c r="T345" s="94" t="s">
        <v>904</v>
      </c>
      <c r="U345" s="90" t="s">
        <v>6</v>
      </c>
      <c r="V345" s="91" t="s">
        <v>62</v>
      </c>
      <c r="W345" s="92">
        <v>2</v>
      </c>
      <c r="X345" s="93">
        <v>25.061784301215965</v>
      </c>
      <c r="Y345" s="93">
        <v>36.082505313030737</v>
      </c>
      <c r="Z345" s="180">
        <v>35.500300386689041</v>
      </c>
      <c r="AA345" s="168"/>
    </row>
    <row r="346" spans="1:27" x14ac:dyDescent="0.25">
      <c r="A346" s="88">
        <v>344</v>
      </c>
      <c r="B346" s="89"/>
      <c r="C346" s="90"/>
      <c r="D346" s="91"/>
      <c r="E346" s="92"/>
      <c r="F346" s="93"/>
      <c r="G346" s="93"/>
      <c r="H346" s="93"/>
      <c r="I346" s="93"/>
      <c r="J346" s="88"/>
      <c r="K346" s="94"/>
      <c r="L346" s="90"/>
      <c r="M346" s="91"/>
      <c r="N346" s="92"/>
      <c r="O346" s="93"/>
      <c r="P346" s="93"/>
      <c r="Q346" s="93"/>
      <c r="R346" s="165"/>
      <c r="S346" s="179">
        <f t="shared" si="5"/>
        <v>344</v>
      </c>
      <c r="T346" s="94" t="s">
        <v>1187</v>
      </c>
      <c r="U346" s="90" t="s">
        <v>6</v>
      </c>
      <c r="V346" s="91" t="s">
        <v>63</v>
      </c>
      <c r="W346" s="92">
        <v>1</v>
      </c>
      <c r="X346" s="93">
        <v>0</v>
      </c>
      <c r="Y346" s="93">
        <v>35.799692249253276</v>
      </c>
      <c r="Z346" s="180">
        <v>35.222050619100038</v>
      </c>
      <c r="AA346" s="168"/>
    </row>
    <row r="347" spans="1:27" x14ac:dyDescent="0.25">
      <c r="A347" s="88">
        <v>345</v>
      </c>
      <c r="B347" s="94"/>
      <c r="C347" s="90"/>
      <c r="D347" s="91"/>
      <c r="E347" s="92"/>
      <c r="F347" s="93"/>
      <c r="G347" s="93"/>
      <c r="H347" s="93"/>
      <c r="I347" s="93"/>
      <c r="J347" s="88"/>
      <c r="K347" s="94"/>
      <c r="L347" s="90"/>
      <c r="M347" s="91"/>
      <c r="N347" s="92"/>
      <c r="O347" s="93"/>
      <c r="P347" s="93"/>
      <c r="Q347" s="93"/>
      <c r="R347" s="165"/>
      <c r="S347" s="179">
        <f t="shared" si="5"/>
        <v>345</v>
      </c>
      <c r="T347" s="94" t="s">
        <v>56</v>
      </c>
      <c r="U347" s="90" t="s">
        <v>6</v>
      </c>
      <c r="V347" s="91" t="s">
        <v>57</v>
      </c>
      <c r="W347" s="92">
        <v>3</v>
      </c>
      <c r="X347" s="93">
        <v>34.115818965564202</v>
      </c>
      <c r="Y347" s="93">
        <v>35.615200707877896</v>
      </c>
      <c r="Z347" s="180">
        <v>35.040535918809425</v>
      </c>
      <c r="AA347" s="168"/>
    </row>
    <row r="348" spans="1:27" x14ac:dyDescent="0.25">
      <c r="A348" s="88">
        <v>346</v>
      </c>
      <c r="B348" s="89"/>
      <c r="C348" s="90"/>
      <c r="D348" s="91"/>
      <c r="E348" s="92"/>
      <c r="F348" s="93"/>
      <c r="G348" s="93"/>
      <c r="H348" s="93"/>
      <c r="I348" s="93"/>
      <c r="J348" s="88"/>
      <c r="K348" s="94"/>
      <c r="L348" s="90"/>
      <c r="M348" s="91"/>
      <c r="N348" s="92"/>
      <c r="O348" s="93"/>
      <c r="P348" s="93"/>
      <c r="Q348" s="93"/>
      <c r="R348" s="165"/>
      <c r="S348" s="179">
        <f t="shared" si="5"/>
        <v>346</v>
      </c>
      <c r="T348" s="94" t="s">
        <v>1304</v>
      </c>
      <c r="U348" s="90" t="s">
        <v>6</v>
      </c>
      <c r="V348" s="91" t="s">
        <v>79</v>
      </c>
      <c r="W348" s="92">
        <v>1</v>
      </c>
      <c r="X348" s="93">
        <v>0</v>
      </c>
      <c r="Y348" s="93">
        <v>34.772855272278328</v>
      </c>
      <c r="Z348" s="180">
        <v>34.211782046712251</v>
      </c>
      <c r="AA348" s="168"/>
    </row>
    <row r="349" spans="1:27" x14ac:dyDescent="0.25">
      <c r="A349" s="88">
        <v>347</v>
      </c>
      <c r="B349" s="94"/>
      <c r="C349" s="90"/>
      <c r="D349" s="91"/>
      <c r="E349" s="92"/>
      <c r="F349" s="93"/>
      <c r="G349" s="93"/>
      <c r="H349" s="93"/>
      <c r="I349" s="93"/>
      <c r="J349" s="88"/>
      <c r="K349" s="94"/>
      <c r="L349" s="90"/>
      <c r="M349" s="91"/>
      <c r="N349" s="92"/>
      <c r="O349" s="93"/>
      <c r="P349" s="93"/>
      <c r="Q349" s="93"/>
      <c r="R349" s="165"/>
      <c r="S349" s="179">
        <f t="shared" si="5"/>
        <v>347</v>
      </c>
      <c r="T349" s="94" t="s">
        <v>1163</v>
      </c>
      <c r="U349" s="90" t="s">
        <v>6</v>
      </c>
      <c r="V349" s="91" t="s">
        <v>63</v>
      </c>
      <c r="W349" s="92">
        <v>1</v>
      </c>
      <c r="X349" s="93">
        <v>0</v>
      </c>
      <c r="Y349" s="93">
        <v>34.727657373155331</v>
      </c>
      <c r="Z349" s="180">
        <v>34.167313432856481</v>
      </c>
      <c r="AA349" s="168"/>
    </row>
    <row r="350" spans="1:27" x14ac:dyDescent="0.25">
      <c r="A350" s="88">
        <v>348</v>
      </c>
      <c r="B350" s="89"/>
      <c r="C350" s="90"/>
      <c r="D350" s="91"/>
      <c r="E350" s="92"/>
      <c r="F350" s="93"/>
      <c r="G350" s="93"/>
      <c r="H350" s="93"/>
      <c r="I350" s="93"/>
      <c r="J350" s="88"/>
      <c r="K350" s="94"/>
      <c r="L350" s="90"/>
      <c r="M350" s="91"/>
      <c r="N350" s="92"/>
      <c r="O350" s="93"/>
      <c r="P350" s="93"/>
      <c r="Q350" s="93"/>
      <c r="R350" s="165"/>
      <c r="S350" s="179">
        <f t="shared" si="5"/>
        <v>348</v>
      </c>
      <c r="T350" s="94" t="s">
        <v>1202</v>
      </c>
      <c r="U350" s="90" t="s">
        <v>6</v>
      </c>
      <c r="V350" s="91" t="s">
        <v>62</v>
      </c>
      <c r="W350" s="92">
        <v>1</v>
      </c>
      <c r="X350" s="93">
        <v>0</v>
      </c>
      <c r="Y350" s="93">
        <v>34.115301655960209</v>
      </c>
      <c r="Z350" s="180">
        <v>33.564838307713707</v>
      </c>
      <c r="AA350" s="168"/>
    </row>
    <row r="351" spans="1:27" x14ac:dyDescent="0.25">
      <c r="A351" s="88">
        <v>349</v>
      </c>
      <c r="B351" s="89"/>
      <c r="C351" s="90"/>
      <c r="D351" s="91"/>
      <c r="E351" s="92"/>
      <c r="F351" s="93"/>
      <c r="G351" s="93"/>
      <c r="H351" s="93"/>
      <c r="I351" s="93"/>
      <c r="J351" s="88"/>
      <c r="K351" s="94"/>
      <c r="L351" s="90"/>
      <c r="M351" s="91"/>
      <c r="N351" s="92"/>
      <c r="O351" s="93"/>
      <c r="P351" s="93"/>
      <c r="Q351" s="93"/>
      <c r="R351" s="165"/>
      <c r="S351" s="179">
        <f t="shared" si="5"/>
        <v>349</v>
      </c>
      <c r="T351" s="94" t="s">
        <v>1288</v>
      </c>
      <c r="U351" s="90" t="s">
        <v>6</v>
      </c>
      <c r="V351" s="91" t="s">
        <v>89</v>
      </c>
      <c r="W351" s="92">
        <v>2</v>
      </c>
      <c r="X351" s="93">
        <v>0</v>
      </c>
      <c r="Y351" s="93">
        <v>33.585778931451117</v>
      </c>
      <c r="Z351" s="180">
        <v>33.043859633462333</v>
      </c>
      <c r="AA351" s="168"/>
    </row>
    <row r="352" spans="1:27" x14ac:dyDescent="0.25">
      <c r="A352" s="88">
        <v>350</v>
      </c>
      <c r="B352" s="94"/>
      <c r="C352" s="90"/>
      <c r="D352" s="91"/>
      <c r="E352" s="92"/>
      <c r="F352" s="93"/>
      <c r="G352" s="93"/>
      <c r="H352" s="93"/>
      <c r="I352" s="93"/>
      <c r="J352" s="88"/>
      <c r="K352" s="94"/>
      <c r="L352" s="90"/>
      <c r="M352" s="91"/>
      <c r="N352" s="92"/>
      <c r="O352" s="93"/>
      <c r="P352" s="93"/>
      <c r="Q352" s="93"/>
      <c r="R352" s="165"/>
      <c r="S352" s="179">
        <f t="shared" si="5"/>
        <v>350</v>
      </c>
      <c r="T352" s="94" t="s">
        <v>505</v>
      </c>
      <c r="U352" s="90" t="s">
        <v>6</v>
      </c>
      <c r="V352" s="91" t="s">
        <v>57</v>
      </c>
      <c r="W352" s="92">
        <v>1</v>
      </c>
      <c r="X352" s="93">
        <v>31.311358388555671</v>
      </c>
      <c r="Y352" s="93">
        <v>33.526338557928824</v>
      </c>
      <c r="Z352" s="180">
        <v>32.9853783529406</v>
      </c>
      <c r="AA352" s="168"/>
    </row>
    <row r="353" spans="1:29" x14ac:dyDescent="0.25">
      <c r="A353" s="88">
        <v>351</v>
      </c>
      <c r="B353" s="89"/>
      <c r="C353" s="90"/>
      <c r="D353" s="91"/>
      <c r="E353" s="92"/>
      <c r="F353" s="93"/>
      <c r="G353" s="93"/>
      <c r="H353" s="93"/>
      <c r="I353" s="93"/>
      <c r="J353" s="88"/>
      <c r="K353" s="94"/>
      <c r="L353" s="90"/>
      <c r="M353" s="91"/>
      <c r="N353" s="92"/>
      <c r="O353" s="93"/>
      <c r="P353" s="93"/>
      <c r="Q353" s="93"/>
      <c r="R353" s="165"/>
      <c r="S353" s="179">
        <f t="shared" si="5"/>
        <v>351</v>
      </c>
      <c r="T353" s="94" t="s">
        <v>1173</v>
      </c>
      <c r="U353" s="90" t="s">
        <v>6</v>
      </c>
      <c r="V353" s="91" t="s">
        <v>88</v>
      </c>
      <c r="W353" s="92">
        <v>2</v>
      </c>
      <c r="X353" s="93">
        <v>0</v>
      </c>
      <c r="Y353" s="93">
        <v>33.303611604998018</v>
      </c>
      <c r="Z353" s="180">
        <v>32.766245183980736</v>
      </c>
      <c r="AA353" s="168"/>
    </row>
    <row r="354" spans="1:29" x14ac:dyDescent="0.25">
      <c r="A354" s="88">
        <v>352</v>
      </c>
      <c r="B354" s="96"/>
      <c r="C354" s="90"/>
      <c r="D354" s="91"/>
      <c r="E354" s="92"/>
      <c r="F354" s="93"/>
      <c r="G354" s="93"/>
      <c r="H354" s="93"/>
      <c r="I354" s="93"/>
      <c r="J354" s="88"/>
      <c r="K354" s="94"/>
      <c r="L354" s="90"/>
      <c r="M354" s="91"/>
      <c r="N354" s="92"/>
      <c r="O354" s="93"/>
      <c r="P354" s="93"/>
      <c r="Q354" s="93"/>
      <c r="R354" s="165"/>
      <c r="S354" s="179">
        <f t="shared" si="5"/>
        <v>352</v>
      </c>
      <c r="T354" s="94" t="s">
        <v>1310</v>
      </c>
      <c r="U354" s="90" t="s">
        <v>6</v>
      </c>
      <c r="V354" s="91" t="s">
        <v>69</v>
      </c>
      <c r="W354" s="92">
        <v>1</v>
      </c>
      <c r="X354" s="93">
        <v>0</v>
      </c>
      <c r="Y354" s="93">
        <v>33.223904106476176</v>
      </c>
      <c r="Z354" s="180">
        <v>32.687823796218197</v>
      </c>
      <c r="AA354" s="168"/>
    </row>
    <row r="355" spans="1:29" x14ac:dyDescent="0.25">
      <c r="A355" s="88">
        <v>353</v>
      </c>
      <c r="B355" s="89"/>
      <c r="C355" s="90"/>
      <c r="D355" s="91"/>
      <c r="E355" s="92"/>
      <c r="F355" s="93"/>
      <c r="G355" s="93"/>
      <c r="H355" s="93"/>
      <c r="I355" s="93"/>
      <c r="J355" s="88"/>
      <c r="K355" s="94"/>
      <c r="L355" s="90"/>
      <c r="M355" s="91"/>
      <c r="N355" s="92"/>
      <c r="O355" s="93"/>
      <c r="P355" s="93"/>
      <c r="Q355" s="93"/>
      <c r="R355" s="165"/>
      <c r="S355" s="179">
        <f t="shared" si="5"/>
        <v>353</v>
      </c>
      <c r="T355" s="94" t="s">
        <v>1154</v>
      </c>
      <c r="U355" s="90" t="s">
        <v>6</v>
      </c>
      <c r="V355" s="91" t="s">
        <v>75</v>
      </c>
      <c r="W355" s="92">
        <v>2</v>
      </c>
      <c r="X355" s="93">
        <v>0</v>
      </c>
      <c r="Y355" s="93">
        <v>32.157315266098983</v>
      </c>
      <c r="Z355" s="180">
        <v>31.638444771840796</v>
      </c>
      <c r="AA355" s="168"/>
    </row>
    <row r="356" spans="1:29" x14ac:dyDescent="0.25">
      <c r="A356" s="88">
        <v>354</v>
      </c>
      <c r="B356" s="94"/>
      <c r="C356" s="90"/>
      <c r="D356" s="91"/>
      <c r="E356" s="92"/>
      <c r="F356" s="93"/>
      <c r="G356" s="93"/>
      <c r="H356" s="93"/>
      <c r="I356" s="93"/>
      <c r="J356" s="88"/>
      <c r="K356" s="94"/>
      <c r="L356" s="90"/>
      <c r="M356" s="91"/>
      <c r="N356" s="92"/>
      <c r="O356" s="93"/>
      <c r="P356" s="93"/>
      <c r="Q356" s="93"/>
      <c r="R356" s="165"/>
      <c r="S356" s="179">
        <f t="shared" si="5"/>
        <v>354</v>
      </c>
      <c r="T356" s="94" t="s">
        <v>1313</v>
      </c>
      <c r="U356" s="90" t="s">
        <v>6</v>
      </c>
      <c r="V356" s="91" t="s">
        <v>69</v>
      </c>
      <c r="W356" s="92">
        <v>1</v>
      </c>
      <c r="X356" s="93">
        <v>0</v>
      </c>
      <c r="Y356" s="93">
        <v>31.368994168738375</v>
      </c>
      <c r="Z356" s="180">
        <v>30.862843534768178</v>
      </c>
      <c r="AA356" s="168"/>
    </row>
    <row r="357" spans="1:29" x14ac:dyDescent="0.25">
      <c r="A357" s="88">
        <v>355</v>
      </c>
      <c r="B357" s="89"/>
      <c r="C357" s="90"/>
      <c r="D357" s="91"/>
      <c r="E357" s="92"/>
      <c r="F357" s="93"/>
      <c r="G357" s="93"/>
      <c r="H357" s="93"/>
      <c r="I357" s="93"/>
      <c r="J357" s="88"/>
      <c r="K357" s="94"/>
      <c r="L357" s="90"/>
      <c r="M357" s="91"/>
      <c r="N357" s="92"/>
      <c r="O357" s="93"/>
      <c r="P357" s="93"/>
      <c r="Q357" s="93"/>
      <c r="R357" s="165"/>
      <c r="S357" s="179">
        <f t="shared" si="5"/>
        <v>355</v>
      </c>
      <c r="T357" s="94" t="s">
        <v>1264</v>
      </c>
      <c r="U357" s="90" t="s">
        <v>6</v>
      </c>
      <c r="V357" s="91" t="s">
        <v>57</v>
      </c>
      <c r="W357" s="92">
        <v>2</v>
      </c>
      <c r="X357" s="93">
        <v>0</v>
      </c>
      <c r="Y357" s="93">
        <v>30.81127576551998</v>
      </c>
      <c r="Z357" s="180">
        <v>30.314124129791402</v>
      </c>
      <c r="AA357" s="168"/>
    </row>
    <row r="358" spans="1:29" ht="13.8" thickBot="1" x14ac:dyDescent="0.3">
      <c r="A358" s="88">
        <v>356</v>
      </c>
      <c r="B358" s="94"/>
      <c r="C358" s="90"/>
      <c r="D358" s="91"/>
      <c r="E358" s="92"/>
      <c r="F358" s="93"/>
      <c r="G358" s="93"/>
      <c r="H358" s="93"/>
      <c r="I358" s="93"/>
      <c r="J358" s="88"/>
      <c r="K358" s="94"/>
      <c r="L358" s="90"/>
      <c r="M358" s="91"/>
      <c r="N358" s="92"/>
      <c r="O358" s="93"/>
      <c r="P358" s="93"/>
      <c r="Q358" s="93"/>
      <c r="R358" s="165"/>
      <c r="S358" s="218">
        <f t="shared" si="5"/>
        <v>356</v>
      </c>
      <c r="T358" s="219" t="s">
        <v>1158</v>
      </c>
      <c r="U358" s="159" t="s">
        <v>6</v>
      </c>
      <c r="V358" s="160" t="s">
        <v>61</v>
      </c>
      <c r="W358" s="161">
        <v>1</v>
      </c>
      <c r="X358" s="162">
        <v>0</v>
      </c>
      <c r="Y358" s="162">
        <v>28.502106909019602</v>
      </c>
      <c r="Z358" s="220">
        <v>28.04221458974774</v>
      </c>
      <c r="AA358" s="168"/>
    </row>
    <row r="359" spans="1:29" x14ac:dyDescent="0.25">
      <c r="A359" s="88">
        <v>357</v>
      </c>
      <c r="B359" s="94"/>
      <c r="C359" s="90"/>
      <c r="D359" s="91"/>
      <c r="E359" s="92"/>
      <c r="F359" s="93"/>
      <c r="G359" s="93"/>
      <c r="H359" s="93"/>
      <c r="I359" s="93"/>
      <c r="J359" s="88"/>
      <c r="K359" s="94"/>
      <c r="L359" s="90"/>
      <c r="M359" s="91"/>
      <c r="N359" s="92"/>
      <c r="O359" s="93"/>
      <c r="P359" s="93"/>
      <c r="Q359" s="93"/>
      <c r="R359" s="165"/>
      <c r="S359" s="125">
        <f t="shared" si="5"/>
        <v>357</v>
      </c>
      <c r="T359" s="169" t="s">
        <v>896</v>
      </c>
      <c r="U359" s="170" t="s">
        <v>6</v>
      </c>
      <c r="V359" s="171" t="s">
        <v>69</v>
      </c>
      <c r="W359" s="172">
        <v>0</v>
      </c>
      <c r="X359" s="173">
        <v>32.042348423221817</v>
      </c>
      <c r="Y359" s="173">
        <v>0</v>
      </c>
      <c r="Z359" s="173">
        <v>0</v>
      </c>
      <c r="AA359" s="168"/>
    </row>
    <row r="360" spans="1:29" x14ac:dyDescent="0.25">
      <c r="A360" s="88">
        <v>358</v>
      </c>
      <c r="B360" s="94"/>
      <c r="C360" s="90"/>
      <c r="D360" s="91"/>
      <c r="E360" s="92"/>
      <c r="F360" s="93"/>
      <c r="G360" s="93"/>
      <c r="H360" s="93"/>
      <c r="I360" s="93"/>
      <c r="J360" s="88"/>
      <c r="K360" s="94"/>
      <c r="L360" s="90"/>
      <c r="M360" s="91"/>
      <c r="N360" s="92"/>
      <c r="O360" s="93"/>
      <c r="P360" s="93"/>
      <c r="Q360" s="93"/>
      <c r="R360" s="165"/>
      <c r="S360" s="125">
        <f t="shared" si="5"/>
        <v>358</v>
      </c>
      <c r="T360" s="94" t="s">
        <v>1287</v>
      </c>
      <c r="U360" s="90" t="s">
        <v>6</v>
      </c>
      <c r="V360" s="91" t="s">
        <v>159</v>
      </c>
      <c r="W360" s="92">
        <v>0</v>
      </c>
      <c r="X360" s="93">
        <v>0</v>
      </c>
      <c r="Y360" s="93">
        <v>0</v>
      </c>
      <c r="Z360" s="93">
        <v>0</v>
      </c>
      <c r="AA360" s="168"/>
    </row>
    <row r="361" spans="1:29" x14ac:dyDescent="0.25">
      <c r="A361" s="88">
        <v>359</v>
      </c>
      <c r="B361" s="89"/>
      <c r="C361" s="90"/>
      <c r="D361" s="91"/>
      <c r="E361" s="92"/>
      <c r="F361" s="93"/>
      <c r="G361" s="93"/>
      <c r="H361" s="93"/>
      <c r="I361" s="93"/>
      <c r="J361" s="88"/>
      <c r="K361" s="94"/>
      <c r="L361" s="90"/>
      <c r="M361" s="91"/>
      <c r="N361" s="92"/>
      <c r="O361" s="93"/>
      <c r="P361" s="93"/>
      <c r="Q361" s="93"/>
      <c r="R361" s="165"/>
      <c r="S361" s="125">
        <f t="shared" si="5"/>
        <v>359</v>
      </c>
      <c r="T361" s="94" t="s">
        <v>927</v>
      </c>
      <c r="U361" s="90" t="s">
        <v>6</v>
      </c>
      <c r="V361" s="91" t="s">
        <v>79</v>
      </c>
      <c r="W361" s="92">
        <v>0</v>
      </c>
      <c r="X361" s="93">
        <v>30.005700538378754</v>
      </c>
      <c r="Y361" s="93">
        <v>0</v>
      </c>
      <c r="Z361" s="93">
        <v>0</v>
      </c>
      <c r="AA361" s="168"/>
    </row>
    <row r="362" spans="1:29" x14ac:dyDescent="0.25">
      <c r="A362" s="88">
        <v>360</v>
      </c>
      <c r="B362" s="94"/>
      <c r="C362" s="90"/>
      <c r="D362" s="91"/>
      <c r="E362" s="92"/>
      <c r="F362" s="93"/>
      <c r="G362" s="93"/>
      <c r="H362" s="93"/>
      <c r="I362" s="93"/>
      <c r="J362" s="88"/>
      <c r="K362" s="94"/>
      <c r="L362" s="90"/>
      <c r="M362" s="91"/>
      <c r="N362" s="92"/>
      <c r="O362" s="93"/>
      <c r="P362" s="93"/>
      <c r="Q362" s="93"/>
      <c r="R362" s="165"/>
      <c r="S362" s="125">
        <f t="shared" si="5"/>
        <v>360</v>
      </c>
      <c r="T362" s="94" t="s">
        <v>891</v>
      </c>
      <c r="U362" s="90" t="s">
        <v>6</v>
      </c>
      <c r="V362" s="91" t="s">
        <v>64</v>
      </c>
      <c r="W362" s="92">
        <v>0</v>
      </c>
      <c r="X362" s="93">
        <v>26.03514013511095</v>
      </c>
      <c r="Y362" s="93">
        <v>0</v>
      </c>
      <c r="Z362" s="93">
        <v>0</v>
      </c>
      <c r="AA362" s="168"/>
      <c r="AB362">
        <f>COUNTIF(X3:X360,0)</f>
        <v>147</v>
      </c>
      <c r="AC362">
        <f>COUNTIF(X3:X362,0)</f>
        <v>147</v>
      </c>
    </row>
    <row r="363" spans="1:29" x14ac:dyDescent="0.25">
      <c r="A363" s="88">
        <v>361</v>
      </c>
      <c r="B363" s="94"/>
      <c r="C363" s="90"/>
      <c r="D363" s="91"/>
      <c r="E363" s="92"/>
      <c r="F363" s="93"/>
      <c r="G363" s="93"/>
      <c r="H363" s="93"/>
      <c r="I363" s="93"/>
      <c r="J363" s="88"/>
      <c r="K363" s="94"/>
      <c r="L363" s="90"/>
      <c r="M363" s="91"/>
      <c r="N363" s="92"/>
      <c r="O363" s="93"/>
      <c r="P363" s="93"/>
      <c r="Q363" s="93"/>
      <c r="R363" s="93"/>
      <c r="S363" s="212">
        <f t="shared" si="5"/>
        <v>361</v>
      </c>
      <c r="T363" s="94" t="s">
        <v>866</v>
      </c>
      <c r="U363" s="90" t="s">
        <v>6</v>
      </c>
      <c r="V363" s="91" t="s">
        <v>59</v>
      </c>
      <c r="W363" s="92">
        <v>0</v>
      </c>
      <c r="X363" s="93">
        <v>32.802716333284081</v>
      </c>
      <c r="Y363" s="93">
        <v>0</v>
      </c>
      <c r="Z363" s="93">
        <v>0</v>
      </c>
      <c r="AA363" s="93"/>
      <c r="AB363">
        <v>105</v>
      </c>
    </row>
    <row r="364" spans="1:29" x14ac:dyDescent="0.25">
      <c r="A364" s="88">
        <v>362</v>
      </c>
      <c r="B364" s="94"/>
      <c r="C364" s="90"/>
      <c r="D364" s="90"/>
      <c r="E364" s="92"/>
      <c r="F364" s="93"/>
      <c r="G364" s="93"/>
      <c r="H364" s="93"/>
      <c r="I364" s="93"/>
      <c r="J364" s="88"/>
      <c r="K364" s="94"/>
      <c r="L364" s="90"/>
      <c r="M364" s="91"/>
      <c r="N364" s="92"/>
      <c r="O364" s="93"/>
      <c r="P364" s="93"/>
      <c r="Q364" s="93"/>
      <c r="R364" s="93"/>
      <c r="S364" s="125">
        <f t="shared" si="5"/>
        <v>362</v>
      </c>
      <c r="T364" s="94" t="s">
        <v>778</v>
      </c>
      <c r="U364" s="90" t="s">
        <v>6</v>
      </c>
      <c r="V364" s="91" t="s">
        <v>79</v>
      </c>
      <c r="W364" s="92">
        <v>0</v>
      </c>
      <c r="X364" s="93">
        <v>44.981378680545006</v>
      </c>
      <c r="Y364" s="93">
        <v>0</v>
      </c>
      <c r="Z364" s="93">
        <v>0</v>
      </c>
      <c r="AA364" s="93"/>
    </row>
    <row r="365" spans="1:29" x14ac:dyDescent="0.25">
      <c r="A365" s="88">
        <v>363</v>
      </c>
      <c r="B365" s="94"/>
      <c r="C365" s="90"/>
      <c r="D365" s="90"/>
      <c r="E365" s="92"/>
      <c r="F365" s="93"/>
      <c r="G365" s="93"/>
      <c r="H365" s="93"/>
      <c r="I365" s="93"/>
      <c r="J365" s="88"/>
      <c r="K365" s="94"/>
      <c r="L365" s="90"/>
      <c r="M365" s="91"/>
      <c r="N365" s="92"/>
      <c r="O365" s="93"/>
      <c r="P365" s="93"/>
      <c r="Q365" s="93"/>
      <c r="R365" s="93"/>
      <c r="S365" s="125">
        <f t="shared" si="5"/>
        <v>363</v>
      </c>
      <c r="T365" s="94" t="s">
        <v>696</v>
      </c>
      <c r="U365" s="90" t="s">
        <v>6</v>
      </c>
      <c r="V365" s="91" t="s">
        <v>63</v>
      </c>
      <c r="W365" s="92">
        <v>0</v>
      </c>
      <c r="X365" s="93">
        <v>51.935276668834355</v>
      </c>
      <c r="Y365" s="93">
        <v>0</v>
      </c>
      <c r="Z365" s="93">
        <v>0</v>
      </c>
      <c r="AA365" s="93"/>
    </row>
    <row r="366" spans="1:29" x14ac:dyDescent="0.25">
      <c r="A366" s="88">
        <v>364</v>
      </c>
      <c r="B366" s="94"/>
      <c r="C366" s="90"/>
      <c r="D366" s="91"/>
      <c r="E366" s="92"/>
      <c r="F366" s="93"/>
      <c r="G366" s="93"/>
      <c r="H366" s="93"/>
      <c r="I366" s="93"/>
      <c r="J366" s="88"/>
      <c r="K366" s="94"/>
      <c r="L366" s="90"/>
      <c r="M366" s="91"/>
      <c r="N366" s="92"/>
      <c r="O366" s="93"/>
      <c r="P366" s="93"/>
      <c r="Q366" s="93"/>
      <c r="R366" s="93"/>
      <c r="S366" s="125">
        <f t="shared" si="5"/>
        <v>364</v>
      </c>
      <c r="T366" s="94" t="s">
        <v>970</v>
      </c>
      <c r="U366" s="90" t="s">
        <v>6</v>
      </c>
      <c r="V366" s="91" t="s">
        <v>87</v>
      </c>
      <c r="W366" s="92">
        <v>0</v>
      </c>
      <c r="X366" s="93">
        <v>41.854328923749364</v>
      </c>
      <c r="Y366" s="93">
        <v>0</v>
      </c>
      <c r="Z366" s="93">
        <v>0</v>
      </c>
      <c r="AA366" s="93"/>
    </row>
    <row r="367" spans="1:29" x14ac:dyDescent="0.25">
      <c r="A367" s="88">
        <v>365</v>
      </c>
      <c r="B367" s="89"/>
      <c r="C367" s="90"/>
      <c r="D367" s="91"/>
      <c r="E367" s="92"/>
      <c r="F367" s="93"/>
      <c r="G367" s="93"/>
      <c r="H367" s="93"/>
      <c r="I367" s="93"/>
      <c r="J367" s="88"/>
      <c r="K367" s="94"/>
      <c r="L367" s="90"/>
      <c r="M367" s="91"/>
      <c r="N367" s="92"/>
      <c r="O367" s="93"/>
      <c r="P367" s="93"/>
      <c r="Q367" s="93"/>
      <c r="R367" s="93"/>
      <c r="S367" s="125">
        <f t="shared" si="5"/>
        <v>365</v>
      </c>
      <c r="T367" s="94" t="s">
        <v>878</v>
      </c>
      <c r="U367" s="90" t="s">
        <v>6</v>
      </c>
      <c r="V367" s="91" t="s">
        <v>87</v>
      </c>
      <c r="W367" s="92">
        <v>0</v>
      </c>
      <c r="X367" s="93">
        <v>26.164378235281418</v>
      </c>
      <c r="Y367" s="93">
        <v>0</v>
      </c>
      <c r="Z367" s="93">
        <v>0</v>
      </c>
      <c r="AA367" s="93"/>
    </row>
    <row r="368" spans="1:29" x14ac:dyDescent="0.25">
      <c r="A368" s="88">
        <v>366</v>
      </c>
      <c r="B368" s="89"/>
      <c r="C368" s="90"/>
      <c r="D368" s="91"/>
      <c r="E368" s="92"/>
      <c r="F368" s="93"/>
      <c r="G368" s="93"/>
      <c r="H368" s="93"/>
      <c r="I368" s="93"/>
      <c r="J368" s="88"/>
      <c r="K368" s="94"/>
      <c r="L368" s="90"/>
      <c r="M368" s="91"/>
      <c r="N368" s="92"/>
      <c r="O368" s="93"/>
      <c r="P368" s="93"/>
      <c r="Q368" s="93"/>
      <c r="R368" s="93"/>
      <c r="S368" s="125">
        <f t="shared" si="5"/>
        <v>366</v>
      </c>
      <c r="T368" s="94" t="s">
        <v>818</v>
      </c>
      <c r="U368" s="90" t="s">
        <v>6</v>
      </c>
      <c r="V368" s="91" t="s">
        <v>63</v>
      </c>
      <c r="W368" s="92">
        <v>0</v>
      </c>
      <c r="X368" s="93">
        <v>62.817150612854775</v>
      </c>
      <c r="Y368" s="93">
        <v>0</v>
      </c>
      <c r="Z368" s="93">
        <v>0</v>
      </c>
      <c r="AA368" s="93"/>
    </row>
    <row r="369" spans="1:27" x14ac:dyDescent="0.25">
      <c r="A369" s="88">
        <v>367</v>
      </c>
      <c r="B369" s="94"/>
      <c r="C369" s="90"/>
      <c r="D369" s="91"/>
      <c r="E369" s="92"/>
      <c r="F369" s="93"/>
      <c r="G369" s="93"/>
      <c r="H369" s="93"/>
      <c r="I369" s="93"/>
      <c r="J369" s="88"/>
      <c r="K369" s="94"/>
      <c r="L369" s="90"/>
      <c r="M369" s="91"/>
      <c r="N369" s="92"/>
      <c r="O369" s="93"/>
      <c r="P369" s="93"/>
      <c r="Q369" s="93"/>
      <c r="R369" s="93"/>
      <c r="S369" s="125">
        <f t="shared" si="5"/>
        <v>367</v>
      </c>
      <c r="T369" s="94" t="s">
        <v>857</v>
      </c>
      <c r="U369" s="90" t="s">
        <v>6</v>
      </c>
      <c r="V369" s="91" t="s">
        <v>89</v>
      </c>
      <c r="W369" s="92">
        <v>0</v>
      </c>
      <c r="X369" s="93">
        <v>49.631093114644997</v>
      </c>
      <c r="Y369" s="93">
        <v>0</v>
      </c>
      <c r="Z369" s="93">
        <v>0</v>
      </c>
      <c r="AA369" s="93"/>
    </row>
    <row r="370" spans="1:27" x14ac:dyDescent="0.25">
      <c r="A370" s="88">
        <v>368</v>
      </c>
      <c r="B370" s="94"/>
      <c r="C370" s="90"/>
      <c r="D370" s="91"/>
      <c r="E370" s="92"/>
      <c r="F370" s="93"/>
      <c r="G370" s="93"/>
      <c r="H370" s="93"/>
      <c r="I370" s="93"/>
      <c r="J370" s="88"/>
      <c r="K370" s="94"/>
      <c r="L370" s="90"/>
      <c r="M370" s="91"/>
      <c r="N370" s="92"/>
      <c r="O370" s="93"/>
      <c r="P370" s="93"/>
      <c r="Q370" s="93"/>
      <c r="R370" s="93"/>
      <c r="S370" s="125">
        <f t="shared" si="5"/>
        <v>368</v>
      </c>
      <c r="T370" s="94" t="s">
        <v>930</v>
      </c>
      <c r="U370" s="90" t="s">
        <v>6</v>
      </c>
      <c r="V370" s="91" t="s">
        <v>933</v>
      </c>
      <c r="W370" s="92">
        <v>0</v>
      </c>
      <c r="X370" s="93">
        <v>18.618733858802432</v>
      </c>
      <c r="Y370" s="93">
        <v>0</v>
      </c>
      <c r="Z370" s="93">
        <v>0</v>
      </c>
      <c r="AA370" s="93"/>
    </row>
    <row r="371" spans="1:27" x14ac:dyDescent="0.25">
      <c r="A371" s="88">
        <v>369</v>
      </c>
      <c r="B371" s="94"/>
      <c r="C371" s="90"/>
      <c r="D371" s="91"/>
      <c r="E371" s="92"/>
      <c r="F371" s="93"/>
      <c r="G371" s="93"/>
      <c r="H371" s="93"/>
      <c r="I371" s="93"/>
      <c r="J371" s="88"/>
      <c r="K371" s="94"/>
      <c r="L371" s="90"/>
      <c r="M371" s="91"/>
      <c r="N371" s="92"/>
      <c r="O371" s="93"/>
      <c r="P371" s="93"/>
      <c r="Q371" s="93"/>
      <c r="R371" s="93"/>
      <c r="S371" s="125">
        <f t="shared" si="5"/>
        <v>369</v>
      </c>
      <c r="T371" s="94" t="s">
        <v>871</v>
      </c>
      <c r="U371" s="90" t="s">
        <v>6</v>
      </c>
      <c r="V371" s="91" t="s">
        <v>62</v>
      </c>
      <c r="W371" s="92">
        <v>0</v>
      </c>
      <c r="X371" s="93">
        <v>32.087570918742237</v>
      </c>
      <c r="Y371" s="93">
        <v>0</v>
      </c>
      <c r="Z371" s="93">
        <v>0</v>
      </c>
      <c r="AA371" s="93"/>
    </row>
    <row r="372" spans="1:27" x14ac:dyDescent="0.25">
      <c r="A372" s="88">
        <v>370</v>
      </c>
      <c r="B372" s="94"/>
      <c r="C372" s="90"/>
      <c r="D372" s="91"/>
      <c r="E372" s="92"/>
      <c r="F372" s="93"/>
      <c r="G372" s="93"/>
      <c r="H372" s="93"/>
      <c r="I372" s="93"/>
      <c r="J372" s="88"/>
      <c r="K372" s="94"/>
      <c r="L372" s="90"/>
      <c r="M372" s="91"/>
      <c r="N372" s="92"/>
      <c r="O372" s="93"/>
      <c r="P372" s="93"/>
      <c r="Q372" s="93"/>
      <c r="R372" s="93"/>
      <c r="S372" s="125">
        <f t="shared" si="5"/>
        <v>370</v>
      </c>
      <c r="T372" s="94" t="s">
        <v>794</v>
      </c>
      <c r="U372" s="90" t="s">
        <v>16</v>
      </c>
      <c r="V372" s="91" t="s">
        <v>58</v>
      </c>
      <c r="W372" s="92">
        <v>0</v>
      </c>
      <c r="X372" s="93">
        <v>70.30014324874243</v>
      </c>
      <c r="Y372" s="93">
        <v>0</v>
      </c>
      <c r="Z372" s="93">
        <v>0</v>
      </c>
      <c r="AA372" s="93"/>
    </row>
    <row r="373" spans="1:27" x14ac:dyDescent="0.25">
      <c r="A373" s="88">
        <v>371</v>
      </c>
      <c r="B373" s="94"/>
      <c r="C373" s="90"/>
      <c r="D373" s="91"/>
      <c r="E373" s="92"/>
      <c r="F373" s="93"/>
      <c r="G373" s="93"/>
      <c r="H373" s="93"/>
      <c r="I373" s="93"/>
      <c r="J373" s="88"/>
      <c r="K373" s="94"/>
      <c r="L373" s="90"/>
      <c r="M373" s="91"/>
      <c r="N373" s="92"/>
      <c r="O373" s="93"/>
      <c r="P373" s="93"/>
      <c r="Q373" s="93"/>
      <c r="R373" s="93"/>
      <c r="S373" s="125">
        <f t="shared" si="5"/>
        <v>371</v>
      </c>
      <c r="T373" s="94" t="s">
        <v>868</v>
      </c>
      <c r="U373" s="90" t="s">
        <v>6</v>
      </c>
      <c r="V373" s="91" t="s">
        <v>62</v>
      </c>
      <c r="W373" s="92">
        <v>0</v>
      </c>
      <c r="X373" s="93">
        <v>60.925562313991691</v>
      </c>
      <c r="Y373" s="93">
        <v>0</v>
      </c>
      <c r="Z373" s="93">
        <v>0</v>
      </c>
      <c r="AA373" s="93"/>
    </row>
    <row r="374" spans="1:27" x14ac:dyDescent="0.25">
      <c r="A374" s="88">
        <v>372</v>
      </c>
      <c r="B374" s="94"/>
      <c r="C374" s="90"/>
      <c r="D374" s="90"/>
      <c r="E374" s="92"/>
      <c r="F374" s="93"/>
      <c r="G374" s="93"/>
      <c r="H374" s="93"/>
      <c r="I374" s="93"/>
      <c r="J374" s="88"/>
      <c r="K374" s="94"/>
      <c r="L374" s="90"/>
      <c r="M374" s="91"/>
      <c r="N374" s="92"/>
      <c r="O374" s="93"/>
      <c r="P374" s="93"/>
      <c r="Q374" s="93"/>
      <c r="R374" s="93"/>
      <c r="S374" s="125">
        <f t="shared" si="5"/>
        <v>372</v>
      </c>
      <c r="T374" s="94" t="s">
        <v>953</v>
      </c>
      <c r="U374" s="90" t="s">
        <v>6</v>
      </c>
      <c r="V374" s="91" t="s">
        <v>69</v>
      </c>
      <c r="W374" s="92">
        <v>0</v>
      </c>
      <c r="X374" s="93">
        <v>37.326309434737666</v>
      </c>
      <c r="Y374" s="93">
        <v>0</v>
      </c>
      <c r="Z374" s="93">
        <v>0</v>
      </c>
      <c r="AA374" s="93"/>
    </row>
    <row r="375" spans="1:27" x14ac:dyDescent="0.25">
      <c r="A375" s="88">
        <v>373</v>
      </c>
      <c r="B375" s="94"/>
      <c r="C375" s="90"/>
      <c r="D375" s="91"/>
      <c r="E375" s="92"/>
      <c r="F375" s="93"/>
      <c r="G375" s="93"/>
      <c r="H375" s="93"/>
      <c r="I375" s="93"/>
      <c r="J375" s="88"/>
      <c r="K375" s="94"/>
      <c r="L375" s="90"/>
      <c r="M375" s="91"/>
      <c r="N375" s="92"/>
      <c r="O375" s="93"/>
      <c r="P375" s="93"/>
      <c r="Q375" s="93"/>
      <c r="R375" s="93"/>
      <c r="S375" s="125">
        <f t="shared" si="5"/>
        <v>373</v>
      </c>
      <c r="T375" s="94" t="s">
        <v>823</v>
      </c>
      <c r="U375" s="90" t="s">
        <v>6</v>
      </c>
      <c r="V375" s="91" t="s">
        <v>88</v>
      </c>
      <c r="W375" s="92">
        <v>0</v>
      </c>
      <c r="X375" s="93">
        <v>38.798781792303437</v>
      </c>
      <c r="Y375" s="93">
        <v>0</v>
      </c>
      <c r="Z375" s="93">
        <v>0</v>
      </c>
      <c r="AA375" s="93"/>
    </row>
    <row r="376" spans="1:27" x14ac:dyDescent="0.25">
      <c r="A376" s="88">
        <v>374</v>
      </c>
      <c r="B376" s="94"/>
      <c r="C376" s="90"/>
      <c r="D376" s="90"/>
      <c r="E376" s="92"/>
      <c r="F376" s="93"/>
      <c r="G376" s="93"/>
      <c r="H376" s="93"/>
      <c r="I376" s="93"/>
      <c r="J376" s="88"/>
      <c r="K376" s="94"/>
      <c r="L376" s="90"/>
      <c r="M376" s="91"/>
      <c r="N376" s="92"/>
      <c r="O376" s="93"/>
      <c r="P376" s="93"/>
      <c r="Q376" s="93"/>
      <c r="R376" s="93"/>
      <c r="S376" s="125">
        <f t="shared" si="5"/>
        <v>374</v>
      </c>
      <c r="T376" s="94" t="s">
        <v>869</v>
      </c>
      <c r="U376" s="90" t="s">
        <v>6</v>
      </c>
      <c r="V376" s="91" t="s">
        <v>62</v>
      </c>
      <c r="W376" s="92">
        <v>0</v>
      </c>
      <c r="X376" s="93">
        <v>39.131184047246634</v>
      </c>
      <c r="Y376" s="93">
        <v>0</v>
      </c>
      <c r="Z376" s="93">
        <v>0</v>
      </c>
      <c r="AA376" s="93"/>
    </row>
    <row r="377" spans="1:27" x14ac:dyDescent="0.25">
      <c r="A377" s="88">
        <v>375</v>
      </c>
      <c r="B377" s="89"/>
      <c r="C377" s="90"/>
      <c r="D377" s="91"/>
      <c r="E377" s="92"/>
      <c r="F377" s="93"/>
      <c r="G377" s="93"/>
      <c r="H377" s="93"/>
      <c r="I377" s="93"/>
      <c r="J377" s="88"/>
      <c r="K377" s="94"/>
      <c r="L377" s="90"/>
      <c r="M377" s="91"/>
      <c r="N377" s="92"/>
      <c r="O377" s="93"/>
      <c r="P377" s="93"/>
      <c r="Q377" s="93"/>
      <c r="R377" s="93"/>
      <c r="S377" s="125">
        <f t="shared" si="5"/>
        <v>375</v>
      </c>
      <c r="T377" s="94" t="s">
        <v>850</v>
      </c>
      <c r="U377" s="90" t="s">
        <v>6</v>
      </c>
      <c r="V377" s="91" t="s">
        <v>57</v>
      </c>
      <c r="W377" s="92">
        <v>0</v>
      </c>
      <c r="X377" s="93">
        <v>27.331064617126305</v>
      </c>
      <c r="Y377" s="93">
        <v>0</v>
      </c>
      <c r="Z377" s="93">
        <v>0</v>
      </c>
      <c r="AA377" s="93"/>
    </row>
    <row r="378" spans="1:27" x14ac:dyDescent="0.25">
      <c r="A378" s="88">
        <v>376</v>
      </c>
      <c r="B378" s="89"/>
      <c r="C378" s="90"/>
      <c r="D378" s="91"/>
      <c r="E378" s="92"/>
      <c r="F378" s="93"/>
      <c r="G378" s="93"/>
      <c r="H378" s="93"/>
      <c r="I378" s="93"/>
      <c r="J378" s="88"/>
      <c r="K378" s="94"/>
      <c r="L378" s="90"/>
      <c r="M378" s="91"/>
      <c r="N378" s="92"/>
      <c r="O378" s="93"/>
      <c r="P378" s="93"/>
      <c r="Q378" s="93"/>
      <c r="R378" s="93"/>
      <c r="S378" s="125">
        <f t="shared" si="5"/>
        <v>376</v>
      </c>
      <c r="T378" s="94" t="s">
        <v>1113</v>
      </c>
      <c r="U378" s="90" t="s">
        <v>6</v>
      </c>
      <c r="V378" s="91" t="s">
        <v>63</v>
      </c>
      <c r="W378" s="92">
        <v>2</v>
      </c>
      <c r="X378" s="93">
        <v>0</v>
      </c>
      <c r="Y378" s="93">
        <v>0</v>
      </c>
      <c r="Z378" s="93">
        <v>0</v>
      </c>
      <c r="AA378" s="93"/>
    </row>
    <row r="379" spans="1:27" x14ac:dyDescent="0.25">
      <c r="A379" s="88">
        <v>377</v>
      </c>
      <c r="B379" s="94"/>
      <c r="C379" s="90"/>
      <c r="D379" s="90"/>
      <c r="E379" s="92"/>
      <c r="F379" s="93"/>
      <c r="G379" s="93"/>
      <c r="H379" s="93"/>
      <c r="I379" s="93"/>
      <c r="J379" s="88"/>
      <c r="K379" s="94"/>
      <c r="L379" s="90"/>
      <c r="M379" s="91"/>
      <c r="N379" s="92"/>
      <c r="O379" s="93"/>
      <c r="P379" s="93"/>
      <c r="Q379" s="93"/>
      <c r="R379" s="93"/>
      <c r="S379" s="125">
        <f t="shared" si="5"/>
        <v>377</v>
      </c>
      <c r="T379" s="94" t="s">
        <v>1340</v>
      </c>
      <c r="U379" s="90" t="s">
        <v>6</v>
      </c>
      <c r="V379" s="91" t="s">
        <v>87</v>
      </c>
      <c r="W379" s="92">
        <v>0</v>
      </c>
      <c r="X379" s="93">
        <v>0</v>
      </c>
      <c r="Y379" s="93">
        <v>0</v>
      </c>
      <c r="Z379" s="93">
        <v>0</v>
      </c>
      <c r="AA379" s="93"/>
    </row>
    <row r="380" spans="1:27" x14ac:dyDescent="0.25">
      <c r="A380" s="88">
        <v>378</v>
      </c>
      <c r="B380" s="94"/>
      <c r="C380" s="90"/>
      <c r="D380" s="91"/>
      <c r="E380" s="92"/>
      <c r="F380" s="93"/>
      <c r="G380" s="93"/>
      <c r="H380" s="93"/>
      <c r="I380" s="93"/>
      <c r="J380" s="88"/>
      <c r="K380" s="94"/>
      <c r="L380" s="90"/>
      <c r="M380" s="91"/>
      <c r="N380" s="92"/>
      <c r="O380" s="93"/>
      <c r="P380" s="93"/>
      <c r="Q380" s="93"/>
      <c r="R380" s="93"/>
      <c r="S380" s="125">
        <f t="shared" si="5"/>
        <v>378</v>
      </c>
      <c r="T380" s="94" t="s">
        <v>753</v>
      </c>
      <c r="U380" s="90" t="s">
        <v>6</v>
      </c>
      <c r="V380" s="91" t="s">
        <v>88</v>
      </c>
      <c r="W380" s="92">
        <v>0</v>
      </c>
      <c r="X380" s="93">
        <v>49.465977526914976</v>
      </c>
      <c r="Y380" s="93">
        <v>0</v>
      </c>
      <c r="Z380" s="93">
        <v>0</v>
      </c>
      <c r="AA380" s="93"/>
    </row>
    <row r="381" spans="1:27" x14ac:dyDescent="0.25">
      <c r="A381" s="88">
        <v>379</v>
      </c>
      <c r="B381" s="89"/>
      <c r="C381" s="90"/>
      <c r="D381" s="91"/>
      <c r="E381" s="92"/>
      <c r="F381" s="93"/>
      <c r="G381" s="93"/>
      <c r="H381" s="93"/>
      <c r="I381" s="93"/>
      <c r="J381" s="88"/>
      <c r="K381" s="94"/>
      <c r="L381" s="90"/>
      <c r="M381" s="91"/>
      <c r="N381" s="92"/>
      <c r="O381" s="93"/>
      <c r="P381" s="93"/>
      <c r="Q381" s="93"/>
      <c r="R381" s="93"/>
      <c r="S381" s="125">
        <f t="shared" si="5"/>
        <v>379</v>
      </c>
      <c r="T381" s="94" t="s">
        <v>495</v>
      </c>
      <c r="U381" s="90" t="s">
        <v>6</v>
      </c>
      <c r="V381" s="91" t="s">
        <v>76</v>
      </c>
      <c r="W381" s="92">
        <v>0</v>
      </c>
      <c r="X381" s="93">
        <v>48.808610178578434</v>
      </c>
      <c r="Y381" s="93">
        <v>0</v>
      </c>
      <c r="Z381" s="93">
        <v>0</v>
      </c>
      <c r="AA381" s="93"/>
    </row>
    <row r="382" spans="1:27" x14ac:dyDescent="0.25">
      <c r="A382" s="88">
        <v>380</v>
      </c>
      <c r="B382" s="89"/>
      <c r="C382" s="90"/>
      <c r="D382" s="91"/>
      <c r="E382" s="92"/>
      <c r="F382" s="93"/>
      <c r="G382" s="93"/>
      <c r="H382" s="93"/>
      <c r="I382" s="93"/>
      <c r="J382" s="88"/>
      <c r="K382" s="94"/>
      <c r="L382" s="90"/>
      <c r="M382" s="91"/>
      <c r="N382" s="92"/>
      <c r="O382" s="93"/>
      <c r="P382" s="93"/>
      <c r="Q382" s="93"/>
      <c r="R382" s="93"/>
      <c r="S382" s="125">
        <f t="shared" si="5"/>
        <v>380</v>
      </c>
      <c r="T382" s="94" t="s">
        <v>849</v>
      </c>
      <c r="U382" s="90" t="s">
        <v>16</v>
      </c>
      <c r="V382" s="91" t="s">
        <v>57</v>
      </c>
      <c r="W382" s="92">
        <v>0</v>
      </c>
      <c r="X382" s="93">
        <v>47.982287697373508</v>
      </c>
      <c r="Y382" s="93">
        <v>0</v>
      </c>
      <c r="Z382" s="93">
        <v>0</v>
      </c>
      <c r="AA382" s="93"/>
    </row>
    <row r="383" spans="1:27" x14ac:dyDescent="0.25">
      <c r="A383" s="88">
        <v>381</v>
      </c>
      <c r="B383" s="94"/>
      <c r="C383" s="90"/>
      <c r="D383" s="91"/>
      <c r="E383" s="92"/>
      <c r="F383" s="93"/>
      <c r="G383" s="93"/>
      <c r="H383" s="93"/>
      <c r="I383" s="93"/>
      <c r="J383" s="88"/>
      <c r="K383" s="94"/>
      <c r="L383" s="90"/>
      <c r="M383" s="91"/>
      <c r="N383" s="92"/>
      <c r="O383" s="93"/>
      <c r="P383" s="93"/>
      <c r="Q383" s="93"/>
      <c r="R383" s="93"/>
      <c r="S383" s="125">
        <f t="shared" si="5"/>
        <v>381</v>
      </c>
      <c r="T383" s="94" t="s">
        <v>775</v>
      </c>
      <c r="U383" s="90" t="s">
        <v>6</v>
      </c>
      <c r="V383" s="91" t="s">
        <v>64</v>
      </c>
      <c r="W383" s="92">
        <v>0</v>
      </c>
      <c r="X383" s="93">
        <v>49.093852101969105</v>
      </c>
      <c r="Y383" s="93">
        <v>0</v>
      </c>
      <c r="Z383" s="93">
        <v>0</v>
      </c>
      <c r="AA383" s="93"/>
    </row>
    <row r="384" spans="1:27" x14ac:dyDescent="0.25">
      <c r="A384" s="88">
        <v>382</v>
      </c>
      <c r="B384" s="94"/>
      <c r="C384" s="90"/>
      <c r="D384" s="91"/>
      <c r="E384" s="92"/>
      <c r="F384" s="93"/>
      <c r="G384" s="93"/>
      <c r="H384" s="93"/>
      <c r="I384" s="93"/>
      <c r="J384" s="88"/>
      <c r="K384" s="94"/>
      <c r="L384" s="90"/>
      <c r="M384" s="91"/>
      <c r="N384" s="92"/>
      <c r="O384" s="93"/>
      <c r="P384" s="93"/>
      <c r="Q384" s="93"/>
      <c r="R384" s="93"/>
      <c r="S384" s="125">
        <f t="shared" si="5"/>
        <v>382</v>
      </c>
      <c r="T384" s="94" t="s">
        <v>1137</v>
      </c>
      <c r="U384" s="90" t="s">
        <v>6</v>
      </c>
      <c r="V384" s="91" t="s">
        <v>64</v>
      </c>
      <c r="W384" s="92">
        <v>4</v>
      </c>
      <c r="X384" s="93">
        <v>0</v>
      </c>
      <c r="Y384" s="93">
        <v>0</v>
      </c>
      <c r="Z384" s="93">
        <v>0</v>
      </c>
      <c r="AA384" s="93"/>
    </row>
    <row r="385" spans="1:27" x14ac:dyDescent="0.25">
      <c r="A385" s="88">
        <v>383</v>
      </c>
      <c r="B385" s="89"/>
      <c r="C385" s="90"/>
      <c r="D385" s="91"/>
      <c r="E385" s="92"/>
      <c r="F385" s="93"/>
      <c r="G385" s="93"/>
      <c r="H385" s="93"/>
      <c r="I385" s="93"/>
      <c r="J385" s="88"/>
      <c r="K385" s="94"/>
      <c r="L385" s="90"/>
      <c r="M385" s="91"/>
      <c r="N385" s="92"/>
      <c r="O385" s="93"/>
      <c r="P385" s="93"/>
      <c r="Q385" s="93"/>
      <c r="R385" s="93"/>
      <c r="S385" s="125">
        <f t="shared" si="5"/>
        <v>383</v>
      </c>
      <c r="T385" s="94" t="s">
        <v>842</v>
      </c>
      <c r="U385" s="90" t="s">
        <v>6</v>
      </c>
      <c r="V385" s="91" t="s">
        <v>59</v>
      </c>
      <c r="W385" s="92">
        <v>0</v>
      </c>
      <c r="X385" s="93">
        <v>47.587615197789901</v>
      </c>
      <c r="Y385" s="93">
        <v>0</v>
      </c>
      <c r="Z385" s="93">
        <v>0</v>
      </c>
      <c r="AA385" s="93"/>
    </row>
    <row r="386" spans="1:27" x14ac:dyDescent="0.25">
      <c r="A386" s="88">
        <v>384</v>
      </c>
      <c r="B386" s="94"/>
      <c r="C386" s="90"/>
      <c r="D386" s="91"/>
      <c r="E386" s="92"/>
      <c r="F386" s="93"/>
      <c r="G386" s="93"/>
      <c r="H386" s="93"/>
      <c r="I386" s="93"/>
      <c r="J386" s="88"/>
      <c r="K386" s="94"/>
      <c r="L386" s="90"/>
      <c r="M386" s="91"/>
      <c r="N386" s="92"/>
      <c r="O386" s="93"/>
      <c r="P386" s="93"/>
      <c r="Q386" s="93"/>
      <c r="R386" s="93"/>
      <c r="S386" s="125">
        <f t="shared" si="5"/>
        <v>384</v>
      </c>
      <c r="T386" s="94" t="s">
        <v>777</v>
      </c>
      <c r="U386" s="90" t="s">
        <v>6</v>
      </c>
      <c r="V386" s="91" t="s">
        <v>87</v>
      </c>
      <c r="W386" s="92">
        <v>0</v>
      </c>
      <c r="X386" s="93">
        <v>38.483057955341728</v>
      </c>
      <c r="Y386" s="93">
        <v>0</v>
      </c>
      <c r="Z386" s="93">
        <v>0</v>
      </c>
      <c r="AA386" s="93"/>
    </row>
    <row r="387" spans="1:27" x14ac:dyDescent="0.25">
      <c r="A387" s="88">
        <v>385</v>
      </c>
      <c r="B387" s="94"/>
      <c r="C387" s="90"/>
      <c r="D387" s="91"/>
      <c r="E387" s="92"/>
      <c r="F387" s="93"/>
      <c r="G387" s="93"/>
      <c r="H387" s="93"/>
      <c r="I387" s="93"/>
      <c r="J387" s="88"/>
      <c r="K387" s="94"/>
      <c r="L387" s="90"/>
      <c r="M387" s="91"/>
      <c r="N387" s="92"/>
      <c r="O387" s="93"/>
      <c r="P387" s="93"/>
      <c r="Q387" s="93"/>
      <c r="R387" s="93"/>
      <c r="S387" s="125">
        <f t="shared" si="5"/>
        <v>385</v>
      </c>
      <c r="T387" s="94" t="s">
        <v>911</v>
      </c>
      <c r="U387" s="90" t="s">
        <v>6</v>
      </c>
      <c r="V387" s="91" t="s">
        <v>58</v>
      </c>
      <c r="W387" s="92">
        <v>0</v>
      </c>
      <c r="X387" s="93">
        <v>56.540337656371584</v>
      </c>
      <c r="Y387" s="93">
        <v>0</v>
      </c>
      <c r="Z387" s="93">
        <v>0</v>
      </c>
      <c r="AA387" s="93"/>
    </row>
    <row r="388" spans="1:27" x14ac:dyDescent="0.25">
      <c r="A388" s="88">
        <v>386</v>
      </c>
      <c r="B388" s="94"/>
      <c r="C388" s="90"/>
      <c r="D388" s="91"/>
      <c r="E388" s="92"/>
      <c r="F388" s="93"/>
      <c r="G388" s="93"/>
      <c r="H388" s="93"/>
      <c r="I388" s="93"/>
      <c r="J388" s="88"/>
      <c r="K388" s="94"/>
      <c r="L388" s="90"/>
      <c r="M388" s="91"/>
      <c r="N388" s="92"/>
      <c r="O388" s="93"/>
      <c r="P388" s="93"/>
      <c r="Q388" s="93"/>
      <c r="R388" s="93"/>
      <c r="S388" s="125">
        <f t="shared" si="5"/>
        <v>386</v>
      </c>
      <c r="T388" s="94" t="s">
        <v>841</v>
      </c>
      <c r="U388" s="90" t="s">
        <v>6</v>
      </c>
      <c r="V388" s="91" t="s">
        <v>67</v>
      </c>
      <c r="W388" s="92">
        <v>0</v>
      </c>
      <c r="X388" s="93">
        <v>50.297144356813462</v>
      </c>
      <c r="Y388" s="93">
        <v>0</v>
      </c>
      <c r="Z388" s="93">
        <v>0</v>
      </c>
      <c r="AA388" s="93"/>
    </row>
    <row r="389" spans="1:27" x14ac:dyDescent="0.25">
      <c r="A389" s="88">
        <v>387</v>
      </c>
      <c r="B389" s="94"/>
      <c r="C389" s="90"/>
      <c r="D389" s="91"/>
      <c r="E389" s="92"/>
      <c r="F389" s="93"/>
      <c r="G389" s="93"/>
      <c r="H389" s="93"/>
      <c r="I389" s="93"/>
      <c r="J389" s="88"/>
      <c r="K389" s="94"/>
      <c r="L389" s="90"/>
      <c r="M389" s="91"/>
      <c r="N389" s="92"/>
      <c r="O389" s="93"/>
      <c r="P389" s="93"/>
      <c r="Q389" s="93"/>
      <c r="R389" s="93"/>
      <c r="S389" s="125">
        <f t="shared" ref="S389:S452" si="6">S388+1</f>
        <v>387</v>
      </c>
      <c r="T389" s="94" t="s">
        <v>481</v>
      </c>
      <c r="U389" s="90" t="s">
        <v>6</v>
      </c>
      <c r="V389" s="91" t="s">
        <v>63</v>
      </c>
      <c r="W389" s="92">
        <v>0</v>
      </c>
      <c r="X389" s="93">
        <v>53.741619608532481</v>
      </c>
      <c r="Y389" s="93">
        <v>0</v>
      </c>
      <c r="Z389" s="93">
        <v>0</v>
      </c>
      <c r="AA389" s="93"/>
    </row>
    <row r="390" spans="1:27" x14ac:dyDescent="0.25">
      <c r="A390" s="88">
        <v>388</v>
      </c>
      <c r="B390" s="89"/>
      <c r="C390" s="90"/>
      <c r="D390" s="91"/>
      <c r="E390" s="92"/>
      <c r="F390" s="93"/>
      <c r="G390" s="93"/>
      <c r="H390" s="93"/>
      <c r="I390" s="93"/>
      <c r="J390" s="88"/>
      <c r="K390" s="94"/>
      <c r="L390" s="90"/>
      <c r="M390" s="91"/>
      <c r="N390" s="92"/>
      <c r="O390" s="93"/>
      <c r="P390" s="93"/>
      <c r="Q390" s="93"/>
      <c r="R390" s="93"/>
      <c r="S390" s="125">
        <f t="shared" si="6"/>
        <v>388</v>
      </c>
      <c r="T390" s="94" t="s">
        <v>872</v>
      </c>
      <c r="U390" s="90" t="s">
        <v>6</v>
      </c>
      <c r="V390" s="91" t="s">
        <v>63</v>
      </c>
      <c r="W390" s="92">
        <v>0</v>
      </c>
      <c r="X390" s="93">
        <v>57.232444635729301</v>
      </c>
      <c r="Y390" s="93">
        <v>0</v>
      </c>
      <c r="Z390" s="93">
        <v>0</v>
      </c>
      <c r="AA390" s="93"/>
    </row>
    <row r="391" spans="1:27" x14ac:dyDescent="0.25">
      <c r="A391" s="88">
        <v>389</v>
      </c>
      <c r="B391" s="89"/>
      <c r="C391" s="90"/>
      <c r="D391" s="91"/>
      <c r="E391" s="92"/>
      <c r="F391" s="93"/>
      <c r="G391" s="93"/>
      <c r="H391" s="93"/>
      <c r="I391" s="93"/>
      <c r="J391" s="88"/>
      <c r="K391" s="94"/>
      <c r="L391" s="90"/>
      <c r="M391" s="91"/>
      <c r="N391" s="92"/>
      <c r="O391" s="93"/>
      <c r="P391" s="93"/>
      <c r="Q391" s="93"/>
      <c r="R391" s="93"/>
      <c r="S391" s="125">
        <f t="shared" si="6"/>
        <v>389</v>
      </c>
      <c r="T391" s="94" t="s">
        <v>799</v>
      </c>
      <c r="U391" s="90" t="s">
        <v>6</v>
      </c>
      <c r="V391" s="91" t="s">
        <v>62</v>
      </c>
      <c r="W391" s="92">
        <v>0</v>
      </c>
      <c r="X391" s="93">
        <v>27.027936653489892</v>
      </c>
      <c r="Y391" s="93">
        <v>0</v>
      </c>
      <c r="Z391" s="93">
        <v>0</v>
      </c>
      <c r="AA391" s="93"/>
    </row>
    <row r="392" spans="1:27" x14ac:dyDescent="0.25">
      <c r="A392" s="88">
        <v>390</v>
      </c>
      <c r="B392" s="94"/>
      <c r="C392" s="90"/>
      <c r="D392" s="91"/>
      <c r="E392" s="92"/>
      <c r="F392" s="93"/>
      <c r="G392" s="93"/>
      <c r="H392" s="93"/>
      <c r="I392" s="93"/>
      <c r="J392" s="88"/>
      <c r="K392" s="94"/>
      <c r="L392" s="90"/>
      <c r="M392" s="91"/>
      <c r="N392" s="92"/>
      <c r="O392" s="93"/>
      <c r="P392" s="93"/>
      <c r="Q392" s="93"/>
      <c r="R392" s="93"/>
      <c r="S392" s="125">
        <f t="shared" si="6"/>
        <v>390</v>
      </c>
      <c r="T392" s="94" t="s">
        <v>1164</v>
      </c>
      <c r="U392" s="90" t="s">
        <v>6</v>
      </c>
      <c r="V392" s="91" t="s">
        <v>63</v>
      </c>
      <c r="W392" s="92">
        <v>1</v>
      </c>
      <c r="X392" s="93">
        <v>0</v>
      </c>
      <c r="Y392" s="93">
        <v>0</v>
      </c>
      <c r="Z392" s="93">
        <v>0</v>
      </c>
      <c r="AA392" s="93"/>
    </row>
    <row r="393" spans="1:27" x14ac:dyDescent="0.25">
      <c r="A393" s="88">
        <v>391</v>
      </c>
      <c r="B393" s="94"/>
      <c r="C393" s="90"/>
      <c r="D393" s="91"/>
      <c r="E393" s="92"/>
      <c r="F393" s="93"/>
      <c r="G393" s="93"/>
      <c r="H393" s="93"/>
      <c r="I393" s="93"/>
      <c r="J393" s="88"/>
      <c r="K393" s="94"/>
      <c r="L393" s="90"/>
      <c r="M393" s="91"/>
      <c r="N393" s="92"/>
      <c r="O393" s="93"/>
      <c r="P393" s="93"/>
      <c r="Q393" s="93"/>
      <c r="R393" s="93"/>
      <c r="S393" s="125">
        <f t="shared" si="6"/>
        <v>391</v>
      </c>
      <c r="T393" s="94" t="s">
        <v>844</v>
      </c>
      <c r="U393" s="90" t="s">
        <v>6</v>
      </c>
      <c r="V393" s="91" t="s">
        <v>67</v>
      </c>
      <c r="W393" s="92">
        <v>0</v>
      </c>
      <c r="X393" s="93">
        <v>25.976093413811761</v>
      </c>
      <c r="Y393" s="93">
        <v>0</v>
      </c>
      <c r="Z393" s="93">
        <v>0</v>
      </c>
      <c r="AA393" s="93"/>
    </row>
    <row r="394" spans="1:27" x14ac:dyDescent="0.25">
      <c r="A394" s="88">
        <v>392</v>
      </c>
      <c r="B394" s="94"/>
      <c r="C394" s="90"/>
      <c r="D394" s="91"/>
      <c r="E394" s="92"/>
      <c r="F394" s="93"/>
      <c r="G394" s="93"/>
      <c r="H394" s="93"/>
      <c r="I394" s="93"/>
      <c r="J394" s="88"/>
      <c r="K394" s="94"/>
      <c r="L394" s="90"/>
      <c r="M394" s="91"/>
      <c r="N394" s="92"/>
      <c r="O394" s="93"/>
      <c r="P394" s="93"/>
      <c r="Q394" s="93"/>
      <c r="R394" s="93"/>
      <c r="S394" s="125">
        <f t="shared" si="6"/>
        <v>392</v>
      </c>
      <c r="T394" s="94" t="s">
        <v>73</v>
      </c>
      <c r="U394" s="90" t="s">
        <v>6</v>
      </c>
      <c r="V394" s="91" t="s">
        <v>57</v>
      </c>
      <c r="W394" s="92">
        <v>0</v>
      </c>
      <c r="X394" s="93">
        <v>47.182553604157363</v>
      </c>
      <c r="Y394" s="93">
        <v>0</v>
      </c>
      <c r="Z394" s="93">
        <v>0</v>
      </c>
      <c r="AA394" s="93"/>
    </row>
    <row r="395" spans="1:27" x14ac:dyDescent="0.25">
      <c r="A395" s="88">
        <v>393</v>
      </c>
      <c r="B395" s="94"/>
      <c r="C395" s="90"/>
      <c r="D395" s="90"/>
      <c r="E395" s="92"/>
      <c r="F395" s="93"/>
      <c r="G395" s="93"/>
      <c r="H395" s="93"/>
      <c r="I395" s="93"/>
      <c r="J395" s="88"/>
      <c r="K395" s="94"/>
      <c r="L395" s="90"/>
      <c r="M395" s="91"/>
      <c r="N395" s="92"/>
      <c r="O395" s="93"/>
      <c r="P395" s="93"/>
      <c r="Q395" s="93"/>
      <c r="R395" s="93"/>
      <c r="S395" s="125">
        <f t="shared" si="6"/>
        <v>393</v>
      </c>
      <c r="T395" s="94" t="s">
        <v>836</v>
      </c>
      <c r="U395" s="90" t="s">
        <v>6</v>
      </c>
      <c r="V395" s="91" t="s">
        <v>62</v>
      </c>
      <c r="W395" s="92">
        <v>0</v>
      </c>
      <c r="X395" s="93">
        <v>50.486359785060678</v>
      </c>
      <c r="Y395" s="93">
        <v>0</v>
      </c>
      <c r="Z395" s="93">
        <v>0</v>
      </c>
      <c r="AA395" s="93"/>
    </row>
    <row r="396" spans="1:27" x14ac:dyDescent="0.25">
      <c r="A396" s="88">
        <v>394</v>
      </c>
      <c r="B396" s="94"/>
      <c r="C396" s="90"/>
      <c r="D396" s="91"/>
      <c r="E396" s="92"/>
      <c r="F396" s="93"/>
      <c r="G396" s="93"/>
      <c r="H396" s="93"/>
      <c r="I396" s="93"/>
      <c r="J396" s="88"/>
      <c r="K396" s="94"/>
      <c r="L396" s="90"/>
      <c r="M396" s="91"/>
      <c r="N396" s="92"/>
      <c r="O396" s="93"/>
      <c r="P396" s="93"/>
      <c r="Q396" s="93"/>
      <c r="R396" s="93"/>
      <c r="S396" s="125">
        <f t="shared" si="6"/>
        <v>394</v>
      </c>
      <c r="T396" s="94" t="s">
        <v>1041</v>
      </c>
      <c r="U396" s="90" t="s">
        <v>16</v>
      </c>
      <c r="V396" s="91" t="s">
        <v>69</v>
      </c>
      <c r="W396" s="92">
        <v>2</v>
      </c>
      <c r="X396" s="93">
        <v>0</v>
      </c>
      <c r="Y396" s="93">
        <v>0</v>
      </c>
      <c r="Z396" s="93">
        <v>0</v>
      </c>
      <c r="AA396" s="93"/>
    </row>
    <row r="397" spans="1:27" x14ac:dyDescent="0.25">
      <c r="A397" s="88">
        <v>395</v>
      </c>
      <c r="B397" s="89"/>
      <c r="C397" s="90"/>
      <c r="D397" s="91"/>
      <c r="E397" s="92"/>
      <c r="F397" s="93"/>
      <c r="G397" s="93"/>
      <c r="H397" s="93"/>
      <c r="I397" s="93"/>
      <c r="J397" s="88"/>
      <c r="K397" s="94"/>
      <c r="L397" s="90"/>
      <c r="M397" s="91"/>
      <c r="N397" s="92"/>
      <c r="O397" s="93"/>
      <c r="P397" s="93"/>
      <c r="Q397" s="93"/>
      <c r="R397" s="93"/>
      <c r="S397" s="125">
        <f t="shared" si="6"/>
        <v>395</v>
      </c>
      <c r="T397" s="94" t="s">
        <v>719</v>
      </c>
      <c r="U397" s="90" t="s">
        <v>6</v>
      </c>
      <c r="V397" s="91" t="s">
        <v>66</v>
      </c>
      <c r="W397" s="92">
        <v>0</v>
      </c>
      <c r="X397" s="93">
        <v>63.109597344854912</v>
      </c>
      <c r="Y397" s="93">
        <v>0</v>
      </c>
      <c r="Z397" s="93">
        <v>0</v>
      </c>
      <c r="AA397" s="93"/>
    </row>
    <row r="398" spans="1:27" x14ac:dyDescent="0.25">
      <c r="A398" s="88">
        <v>396</v>
      </c>
      <c r="B398" s="89"/>
      <c r="C398" s="90"/>
      <c r="D398" s="91"/>
      <c r="E398" s="92"/>
      <c r="F398" s="93"/>
      <c r="G398" s="93"/>
      <c r="H398" s="93"/>
      <c r="I398" s="93"/>
      <c r="J398" s="88"/>
      <c r="K398" s="94"/>
      <c r="L398" s="90"/>
      <c r="M398" s="91"/>
      <c r="N398" s="92"/>
      <c r="O398" s="93"/>
      <c r="P398" s="93"/>
      <c r="Q398" s="93"/>
      <c r="R398" s="93"/>
      <c r="S398" s="125">
        <f t="shared" si="6"/>
        <v>396</v>
      </c>
      <c r="T398" s="94" t="s">
        <v>853</v>
      </c>
      <c r="U398" s="90" t="s">
        <v>6</v>
      </c>
      <c r="V398" s="91" t="s">
        <v>61</v>
      </c>
      <c r="W398" s="92">
        <v>0</v>
      </c>
      <c r="X398" s="93">
        <v>67.014696959058867</v>
      </c>
      <c r="Y398" s="93">
        <v>0</v>
      </c>
      <c r="Z398" s="93">
        <v>0</v>
      </c>
      <c r="AA398" s="93"/>
    </row>
    <row r="399" spans="1:27" x14ac:dyDescent="0.25">
      <c r="A399" s="88">
        <v>397</v>
      </c>
      <c r="B399" s="89"/>
      <c r="C399" s="90"/>
      <c r="D399" s="91"/>
      <c r="E399" s="92"/>
      <c r="F399" s="93"/>
      <c r="G399" s="93"/>
      <c r="H399" s="93"/>
      <c r="I399" s="93"/>
      <c r="J399" s="88"/>
      <c r="K399" s="94"/>
      <c r="L399" s="90"/>
      <c r="M399" s="91"/>
      <c r="N399" s="92"/>
      <c r="O399" s="93"/>
      <c r="P399" s="93"/>
      <c r="Q399" s="93"/>
      <c r="R399" s="93"/>
      <c r="S399" s="125">
        <f t="shared" si="6"/>
        <v>397</v>
      </c>
      <c r="T399" s="94" t="s">
        <v>809</v>
      </c>
      <c r="U399" s="90" t="s">
        <v>6</v>
      </c>
      <c r="V399" s="91" t="s">
        <v>63</v>
      </c>
      <c r="W399" s="92">
        <v>0</v>
      </c>
      <c r="X399" s="93">
        <v>61.993655160509867</v>
      </c>
      <c r="Y399" s="93">
        <v>0</v>
      </c>
      <c r="Z399" s="93">
        <v>0</v>
      </c>
      <c r="AA399" s="93"/>
    </row>
    <row r="400" spans="1:27" x14ac:dyDescent="0.25">
      <c r="A400" s="88">
        <v>398</v>
      </c>
      <c r="B400" s="94"/>
      <c r="C400" s="90"/>
      <c r="D400" s="91"/>
      <c r="E400" s="92"/>
      <c r="F400" s="93"/>
      <c r="G400" s="93"/>
      <c r="H400" s="93"/>
      <c r="I400" s="93"/>
      <c r="J400" s="88"/>
      <c r="K400" s="94"/>
      <c r="L400" s="90"/>
      <c r="M400" s="91"/>
      <c r="N400" s="92"/>
      <c r="O400" s="93"/>
      <c r="P400" s="93"/>
      <c r="Q400" s="93"/>
      <c r="R400" s="93"/>
      <c r="S400" s="125">
        <f t="shared" si="6"/>
        <v>398</v>
      </c>
      <c r="T400" s="94" t="s">
        <v>919</v>
      </c>
      <c r="U400" s="90" t="s">
        <v>6</v>
      </c>
      <c r="V400" s="91" t="s">
        <v>80</v>
      </c>
      <c r="W400" s="92">
        <v>0</v>
      </c>
      <c r="X400" s="93">
        <v>43.629685338634573</v>
      </c>
      <c r="Y400" s="93">
        <v>0</v>
      </c>
      <c r="Z400" s="93">
        <v>0</v>
      </c>
      <c r="AA400" s="93"/>
    </row>
    <row r="401" spans="1:27" x14ac:dyDescent="0.25">
      <c r="A401" s="88">
        <v>399</v>
      </c>
      <c r="B401" s="94"/>
      <c r="C401" s="90"/>
      <c r="D401" s="91"/>
      <c r="E401" s="92"/>
      <c r="F401" s="93"/>
      <c r="G401" s="93"/>
      <c r="H401" s="93"/>
      <c r="I401" s="93"/>
      <c r="J401" s="88"/>
      <c r="K401" s="94"/>
      <c r="L401" s="90"/>
      <c r="M401" s="91"/>
      <c r="N401" s="92"/>
      <c r="O401" s="93"/>
      <c r="P401" s="93"/>
      <c r="Q401" s="93"/>
      <c r="R401" s="93"/>
      <c r="S401" s="125">
        <f t="shared" si="6"/>
        <v>399</v>
      </c>
      <c r="T401" s="94" t="s">
        <v>405</v>
      </c>
      <c r="U401" s="90" t="s">
        <v>6</v>
      </c>
      <c r="V401" s="91" t="s">
        <v>80</v>
      </c>
      <c r="W401" s="92">
        <v>0</v>
      </c>
      <c r="X401" s="93">
        <v>52.828471688363848</v>
      </c>
      <c r="Y401" s="93">
        <v>0</v>
      </c>
      <c r="Z401" s="93">
        <v>0</v>
      </c>
      <c r="AA401" s="93"/>
    </row>
    <row r="402" spans="1:27" x14ac:dyDescent="0.25">
      <c r="A402" s="88">
        <v>400</v>
      </c>
      <c r="B402" s="94"/>
      <c r="C402" s="90"/>
      <c r="D402" s="91"/>
      <c r="E402" s="92"/>
      <c r="F402" s="93"/>
      <c r="G402" s="93"/>
      <c r="H402" s="93"/>
      <c r="I402" s="93"/>
      <c r="J402" s="88"/>
      <c r="K402" s="94"/>
      <c r="L402" s="90"/>
      <c r="M402" s="91"/>
      <c r="N402" s="92"/>
      <c r="O402" s="93"/>
      <c r="P402" s="93"/>
      <c r="Q402" s="93"/>
      <c r="R402" s="93"/>
      <c r="S402" s="125">
        <f t="shared" si="6"/>
        <v>400</v>
      </c>
      <c r="T402" s="94" t="s">
        <v>848</v>
      </c>
      <c r="U402" s="90" t="s">
        <v>16</v>
      </c>
      <c r="V402" s="91" t="s">
        <v>57</v>
      </c>
      <c r="W402" s="92">
        <v>0</v>
      </c>
      <c r="X402" s="93">
        <v>63.991198989542667</v>
      </c>
      <c r="Y402" s="93">
        <v>0</v>
      </c>
      <c r="Z402" s="93">
        <v>0</v>
      </c>
      <c r="AA402" s="93"/>
    </row>
    <row r="403" spans="1:27" x14ac:dyDescent="0.25">
      <c r="A403" s="88">
        <v>401</v>
      </c>
      <c r="B403" s="89"/>
      <c r="C403" s="90"/>
      <c r="D403" s="91"/>
      <c r="E403" s="92"/>
      <c r="F403" s="93"/>
      <c r="G403" s="93"/>
      <c r="H403" s="93"/>
      <c r="I403" s="93"/>
      <c r="J403" s="88"/>
      <c r="K403" s="94"/>
      <c r="L403" s="90"/>
      <c r="M403" s="91"/>
      <c r="N403" s="92"/>
      <c r="O403" s="93"/>
      <c r="P403" s="93"/>
      <c r="Q403" s="93"/>
      <c r="R403" s="93"/>
      <c r="S403" s="125">
        <f t="shared" si="6"/>
        <v>401</v>
      </c>
      <c r="T403" s="94" t="s">
        <v>813</v>
      </c>
      <c r="U403" s="90" t="s">
        <v>6</v>
      </c>
      <c r="V403" s="91" t="s">
        <v>88</v>
      </c>
      <c r="W403" s="92">
        <v>0</v>
      </c>
      <c r="X403" s="93">
        <v>40.642214987055759</v>
      </c>
      <c r="Y403" s="93">
        <v>0</v>
      </c>
      <c r="Z403" s="93">
        <v>0</v>
      </c>
      <c r="AA403" s="93"/>
    </row>
    <row r="404" spans="1:27" x14ac:dyDescent="0.25">
      <c r="A404" s="88">
        <v>402</v>
      </c>
      <c r="B404" s="89"/>
      <c r="C404" s="90"/>
      <c r="D404" s="91"/>
      <c r="E404" s="92"/>
      <c r="F404" s="93"/>
      <c r="G404" s="93"/>
      <c r="H404" s="93"/>
      <c r="I404" s="93"/>
      <c r="J404" s="88"/>
      <c r="K404" s="94"/>
      <c r="L404" s="90"/>
      <c r="M404" s="91"/>
      <c r="N404" s="92"/>
      <c r="O404" s="93"/>
      <c r="P404" s="93"/>
      <c r="Q404" s="93"/>
      <c r="R404" s="93"/>
      <c r="S404" s="125">
        <f t="shared" si="6"/>
        <v>402</v>
      </c>
      <c r="T404" s="94" t="s">
        <v>139</v>
      </c>
      <c r="U404" s="90" t="s">
        <v>6</v>
      </c>
      <c r="V404" s="91" t="s">
        <v>57</v>
      </c>
      <c r="W404" s="92">
        <v>0</v>
      </c>
      <c r="X404" s="93">
        <v>53.937674019463586</v>
      </c>
      <c r="Y404" s="93">
        <v>0</v>
      </c>
      <c r="Z404" s="93">
        <v>0</v>
      </c>
      <c r="AA404" s="93"/>
    </row>
    <row r="405" spans="1:27" x14ac:dyDescent="0.25">
      <c r="A405" s="88">
        <v>403</v>
      </c>
      <c r="B405" s="89"/>
      <c r="C405" s="90"/>
      <c r="D405" s="90"/>
      <c r="E405" s="92"/>
      <c r="F405" s="93"/>
      <c r="G405" s="93"/>
      <c r="H405" s="93"/>
      <c r="I405" s="93"/>
      <c r="J405" s="88"/>
      <c r="K405" s="94"/>
      <c r="L405" s="90"/>
      <c r="M405" s="91"/>
      <c r="N405" s="92"/>
      <c r="O405" s="93"/>
      <c r="P405" s="93"/>
      <c r="Q405" s="93"/>
      <c r="R405" s="93"/>
      <c r="S405" s="125">
        <f t="shared" si="6"/>
        <v>403</v>
      </c>
      <c r="T405" s="94" t="s">
        <v>779</v>
      </c>
      <c r="U405" s="90" t="s">
        <v>6</v>
      </c>
      <c r="V405" s="91" t="s">
        <v>143</v>
      </c>
      <c r="W405" s="92">
        <v>0</v>
      </c>
      <c r="X405" s="93">
        <v>41.542909472027304</v>
      </c>
      <c r="Y405" s="93">
        <v>0</v>
      </c>
      <c r="Z405" s="93">
        <v>0</v>
      </c>
      <c r="AA405" s="93"/>
    </row>
    <row r="406" spans="1:27" x14ac:dyDescent="0.25">
      <c r="A406" s="88">
        <v>404</v>
      </c>
      <c r="B406" s="94"/>
      <c r="C406" s="90"/>
      <c r="D406" s="91"/>
      <c r="E406" s="92"/>
      <c r="F406" s="93"/>
      <c r="G406" s="93"/>
      <c r="H406" s="93"/>
      <c r="I406" s="93"/>
      <c r="J406" s="88"/>
      <c r="K406" s="94"/>
      <c r="L406" s="90"/>
      <c r="M406" s="91"/>
      <c r="N406" s="92"/>
      <c r="O406" s="93"/>
      <c r="P406" s="93"/>
      <c r="Q406" s="93"/>
      <c r="R406" s="93"/>
      <c r="S406" s="125">
        <f t="shared" si="6"/>
        <v>404</v>
      </c>
      <c r="T406" s="94" t="s">
        <v>865</v>
      </c>
      <c r="U406" s="90" t="s">
        <v>6</v>
      </c>
      <c r="V406" s="91" t="s">
        <v>96</v>
      </c>
      <c r="W406" s="92">
        <v>0</v>
      </c>
      <c r="X406" s="93">
        <v>35.1988928055979</v>
      </c>
      <c r="Y406" s="93">
        <v>0</v>
      </c>
      <c r="Z406" s="93">
        <v>0</v>
      </c>
      <c r="AA406" s="93"/>
    </row>
    <row r="407" spans="1:27" x14ac:dyDescent="0.25">
      <c r="A407" s="88">
        <v>405</v>
      </c>
      <c r="B407" s="89"/>
      <c r="C407" s="90"/>
      <c r="D407" s="91"/>
      <c r="E407" s="92"/>
      <c r="F407" s="93"/>
      <c r="G407" s="93"/>
      <c r="H407" s="93"/>
      <c r="I407" s="93"/>
      <c r="J407" s="88"/>
      <c r="K407" s="94"/>
      <c r="L407" s="90"/>
      <c r="M407" s="91"/>
      <c r="N407" s="92"/>
      <c r="O407" s="93"/>
      <c r="P407" s="93"/>
      <c r="Q407" s="93"/>
      <c r="R407" s="93"/>
      <c r="S407" s="125">
        <f t="shared" si="6"/>
        <v>405</v>
      </c>
      <c r="T407" s="94" t="s">
        <v>897</v>
      </c>
      <c r="U407" s="90" t="s">
        <v>6</v>
      </c>
      <c r="V407" s="91" t="s">
        <v>69</v>
      </c>
      <c r="W407" s="92">
        <v>0</v>
      </c>
      <c r="X407" s="93">
        <v>57.227419983761088</v>
      </c>
      <c r="Y407" s="93">
        <v>0</v>
      </c>
      <c r="Z407" s="93">
        <v>0</v>
      </c>
      <c r="AA407" s="93"/>
    </row>
    <row r="408" spans="1:27" x14ac:dyDescent="0.25">
      <c r="A408" s="88">
        <v>406</v>
      </c>
      <c r="B408" s="89"/>
      <c r="C408" s="90"/>
      <c r="D408" s="91"/>
      <c r="E408" s="92"/>
      <c r="F408" s="93"/>
      <c r="G408" s="93"/>
      <c r="H408" s="93"/>
      <c r="I408" s="93"/>
      <c r="J408" s="88"/>
      <c r="K408" s="94"/>
      <c r="L408" s="90"/>
      <c r="M408" s="91"/>
      <c r="N408" s="92"/>
      <c r="O408" s="93"/>
      <c r="P408" s="93"/>
      <c r="Q408" s="93"/>
      <c r="R408" s="93"/>
      <c r="S408" s="125">
        <f t="shared" si="6"/>
        <v>406</v>
      </c>
      <c r="T408" s="94" t="s">
        <v>835</v>
      </c>
      <c r="U408" s="90" t="s">
        <v>6</v>
      </c>
      <c r="V408" s="91" t="s">
        <v>62</v>
      </c>
      <c r="W408" s="92">
        <v>0</v>
      </c>
      <c r="X408" s="93">
        <v>44.08554723495277</v>
      </c>
      <c r="Y408" s="93">
        <v>0</v>
      </c>
      <c r="Z408" s="93">
        <v>0</v>
      </c>
      <c r="AA408" s="93"/>
    </row>
    <row r="409" spans="1:27" x14ac:dyDescent="0.25">
      <c r="A409" s="88">
        <v>407</v>
      </c>
      <c r="B409" s="94"/>
      <c r="C409" s="90"/>
      <c r="D409" s="91"/>
      <c r="E409" s="92"/>
      <c r="F409" s="93"/>
      <c r="G409" s="93"/>
      <c r="H409" s="93"/>
      <c r="I409" s="93"/>
      <c r="J409" s="88"/>
      <c r="K409" s="94"/>
      <c r="L409" s="90"/>
      <c r="M409" s="91"/>
      <c r="N409" s="92"/>
      <c r="O409" s="93"/>
      <c r="P409" s="93"/>
      <c r="Q409" s="93"/>
      <c r="R409" s="93"/>
      <c r="S409" s="125">
        <f t="shared" si="6"/>
        <v>407</v>
      </c>
      <c r="T409" s="94" t="s">
        <v>867</v>
      </c>
      <c r="U409" s="90" t="s">
        <v>6</v>
      </c>
      <c r="V409" s="91" t="s">
        <v>62</v>
      </c>
      <c r="W409" s="92">
        <v>0</v>
      </c>
      <c r="X409" s="93">
        <v>25.396169990847099</v>
      </c>
      <c r="Y409" s="93">
        <v>0</v>
      </c>
      <c r="Z409" s="93">
        <v>0</v>
      </c>
      <c r="AA409" s="93"/>
    </row>
    <row r="410" spans="1:27" x14ac:dyDescent="0.25">
      <c r="A410" s="88">
        <v>408</v>
      </c>
      <c r="B410" s="89"/>
      <c r="C410" s="90"/>
      <c r="D410" s="91"/>
      <c r="E410" s="92"/>
      <c r="F410" s="93"/>
      <c r="G410" s="93"/>
      <c r="H410" s="93"/>
      <c r="I410" s="93"/>
      <c r="J410" s="88"/>
      <c r="K410" s="94"/>
      <c r="L410" s="90"/>
      <c r="M410" s="91"/>
      <c r="N410" s="92"/>
      <c r="O410" s="93"/>
      <c r="P410" s="93"/>
      <c r="Q410" s="93"/>
      <c r="R410" s="93"/>
      <c r="S410" s="125">
        <f t="shared" si="6"/>
        <v>408</v>
      </c>
      <c r="T410" s="94" t="s">
        <v>483</v>
      </c>
      <c r="U410" s="90" t="s">
        <v>6</v>
      </c>
      <c r="V410" s="91" t="s">
        <v>58</v>
      </c>
      <c r="W410" s="92">
        <v>0</v>
      </c>
      <c r="X410" s="93">
        <v>56.677600414024198</v>
      </c>
      <c r="Y410" s="93">
        <v>0</v>
      </c>
      <c r="Z410" s="93">
        <v>0</v>
      </c>
      <c r="AA410" s="93"/>
    </row>
    <row r="411" spans="1:27" x14ac:dyDescent="0.25">
      <c r="A411" s="88">
        <v>409</v>
      </c>
      <c r="B411" s="94"/>
      <c r="C411" s="90"/>
      <c r="D411" s="91"/>
      <c r="E411" s="92"/>
      <c r="F411" s="93"/>
      <c r="G411" s="93"/>
      <c r="H411" s="93"/>
      <c r="I411" s="93"/>
      <c r="J411" s="88"/>
      <c r="K411" s="94"/>
      <c r="L411" s="90"/>
      <c r="M411" s="91"/>
      <c r="N411" s="92"/>
      <c r="O411" s="93"/>
      <c r="P411" s="93"/>
      <c r="Q411" s="93"/>
      <c r="R411" s="93"/>
      <c r="S411" s="125">
        <f t="shared" si="6"/>
        <v>409</v>
      </c>
      <c r="T411" s="94" t="s">
        <v>761</v>
      </c>
      <c r="U411" s="90" t="s">
        <v>6</v>
      </c>
      <c r="V411" s="91" t="s">
        <v>62</v>
      </c>
      <c r="W411" s="92">
        <v>0</v>
      </c>
      <c r="X411" s="93">
        <v>59.093436154765399</v>
      </c>
      <c r="Y411" s="93">
        <v>0</v>
      </c>
      <c r="Z411" s="93">
        <v>0</v>
      </c>
      <c r="AA411" s="93"/>
    </row>
    <row r="412" spans="1:27" x14ac:dyDescent="0.25">
      <c r="A412" s="88">
        <v>410</v>
      </c>
      <c r="B412" s="94"/>
      <c r="C412" s="90"/>
      <c r="D412" s="91"/>
      <c r="E412" s="92"/>
      <c r="F412" s="93"/>
      <c r="G412" s="93"/>
      <c r="H412" s="93"/>
      <c r="I412" s="93"/>
      <c r="J412" s="88"/>
      <c r="K412" s="94"/>
      <c r="L412" s="90"/>
      <c r="M412" s="91"/>
      <c r="N412" s="92"/>
      <c r="O412" s="93"/>
      <c r="P412" s="93"/>
      <c r="Q412" s="93"/>
      <c r="R412" s="93"/>
      <c r="S412" s="125">
        <f t="shared" si="6"/>
        <v>410</v>
      </c>
      <c r="T412" s="94" t="s">
        <v>828</v>
      </c>
      <c r="U412" s="90" t="s">
        <v>6</v>
      </c>
      <c r="V412" s="91" t="s">
        <v>57</v>
      </c>
      <c r="W412" s="92">
        <v>0</v>
      </c>
      <c r="X412" s="93">
        <v>34.512075023830256</v>
      </c>
      <c r="Y412" s="93">
        <v>0</v>
      </c>
      <c r="Z412" s="93">
        <v>0</v>
      </c>
      <c r="AA412" s="93"/>
    </row>
    <row r="413" spans="1:27" x14ac:dyDescent="0.25">
      <c r="A413" s="88">
        <v>411</v>
      </c>
      <c r="B413" s="94"/>
      <c r="C413" s="90"/>
      <c r="D413" s="91"/>
      <c r="E413" s="92"/>
      <c r="F413" s="93"/>
      <c r="G413" s="93"/>
      <c r="H413" s="93"/>
      <c r="I413" s="93"/>
      <c r="J413" s="88"/>
      <c r="K413" s="94"/>
      <c r="L413" s="90"/>
      <c r="M413" s="91"/>
      <c r="N413" s="92"/>
      <c r="O413" s="93"/>
      <c r="P413" s="93"/>
      <c r="Q413" s="93"/>
      <c r="R413" s="93"/>
      <c r="S413" s="125">
        <f t="shared" si="6"/>
        <v>411</v>
      </c>
      <c r="T413" s="94" t="s">
        <v>764</v>
      </c>
      <c r="U413" s="90" t="s">
        <v>16</v>
      </c>
      <c r="V413" s="91" t="s">
        <v>61</v>
      </c>
      <c r="W413" s="92">
        <v>0</v>
      </c>
      <c r="X413" s="93">
        <v>74.876431909943179</v>
      </c>
      <c r="Y413" s="93">
        <v>0</v>
      </c>
      <c r="Z413" s="93">
        <v>0</v>
      </c>
      <c r="AA413" s="93"/>
    </row>
    <row r="414" spans="1:27" x14ac:dyDescent="0.25">
      <c r="A414" s="88">
        <v>412</v>
      </c>
      <c r="B414" s="94"/>
      <c r="C414" s="90"/>
      <c r="D414" s="91"/>
      <c r="E414" s="92"/>
      <c r="F414" s="93"/>
      <c r="G414" s="93"/>
      <c r="H414" s="93"/>
      <c r="I414" s="93"/>
      <c r="J414" s="88"/>
      <c r="K414" s="94"/>
      <c r="L414" s="90"/>
      <c r="M414" s="91"/>
      <c r="N414" s="92"/>
      <c r="O414" s="93"/>
      <c r="P414" s="93"/>
      <c r="Q414" s="93"/>
      <c r="R414" s="93"/>
      <c r="S414" s="125">
        <f t="shared" si="6"/>
        <v>412</v>
      </c>
      <c r="T414" s="94" t="s">
        <v>448</v>
      </c>
      <c r="U414" s="90" t="s">
        <v>6</v>
      </c>
      <c r="V414" s="91" t="s">
        <v>62</v>
      </c>
      <c r="W414" s="92">
        <v>0</v>
      </c>
      <c r="X414" s="93">
        <v>72.439478118397645</v>
      </c>
      <c r="Y414" s="93">
        <v>0</v>
      </c>
      <c r="Z414" s="93">
        <v>0</v>
      </c>
      <c r="AA414" s="93"/>
    </row>
    <row r="415" spans="1:27" x14ac:dyDescent="0.25">
      <c r="A415" s="88">
        <v>413</v>
      </c>
      <c r="B415" s="89"/>
      <c r="C415" s="90"/>
      <c r="D415" s="91"/>
      <c r="E415" s="92"/>
      <c r="F415" s="93"/>
      <c r="G415" s="93"/>
      <c r="H415" s="93"/>
      <c r="I415" s="93"/>
      <c r="J415" s="88"/>
      <c r="K415" s="94"/>
      <c r="L415" s="90"/>
      <c r="M415" s="91"/>
      <c r="N415" s="92"/>
      <c r="O415" s="93"/>
      <c r="P415" s="93"/>
      <c r="Q415" s="93"/>
      <c r="R415" s="93"/>
      <c r="S415" s="125">
        <f t="shared" si="6"/>
        <v>413</v>
      </c>
      <c r="T415" s="94" t="s">
        <v>875</v>
      </c>
      <c r="U415" s="90" t="s">
        <v>6</v>
      </c>
      <c r="V415" s="91" t="s">
        <v>87</v>
      </c>
      <c r="W415" s="92">
        <v>0</v>
      </c>
      <c r="X415" s="93">
        <v>55.800486914492183</v>
      </c>
      <c r="Y415" s="93">
        <v>0</v>
      </c>
      <c r="Z415" s="93">
        <v>0</v>
      </c>
      <c r="AA415" s="93"/>
    </row>
    <row r="416" spans="1:27" x14ac:dyDescent="0.25">
      <c r="A416" s="88">
        <v>414</v>
      </c>
      <c r="B416" s="89"/>
      <c r="C416" s="90"/>
      <c r="D416" s="91"/>
      <c r="E416" s="92"/>
      <c r="F416" s="93"/>
      <c r="G416" s="93"/>
      <c r="H416" s="93"/>
      <c r="I416" s="93"/>
      <c r="J416" s="88"/>
      <c r="K416" s="94"/>
      <c r="L416" s="90"/>
      <c r="M416" s="91"/>
      <c r="N416" s="92"/>
      <c r="O416" s="93"/>
      <c r="P416" s="93"/>
      <c r="Q416" s="93"/>
      <c r="R416" s="93"/>
      <c r="S416" s="125">
        <f t="shared" si="6"/>
        <v>414</v>
      </c>
      <c r="T416" s="94" t="s">
        <v>129</v>
      </c>
      <c r="U416" s="90" t="s">
        <v>6</v>
      </c>
      <c r="V416" s="91" t="s">
        <v>89</v>
      </c>
      <c r="W416" s="92">
        <v>4</v>
      </c>
      <c r="X416" s="93">
        <v>0</v>
      </c>
      <c r="Y416" s="93">
        <v>0</v>
      </c>
      <c r="Z416" s="93">
        <v>0</v>
      </c>
      <c r="AA416" s="93"/>
    </row>
    <row r="417" spans="1:27" x14ac:dyDescent="0.25">
      <c r="A417" s="88">
        <v>415</v>
      </c>
      <c r="B417" s="89"/>
      <c r="C417" s="90"/>
      <c r="D417" s="91"/>
      <c r="E417" s="92"/>
      <c r="F417" s="93"/>
      <c r="G417" s="93"/>
      <c r="H417" s="93"/>
      <c r="I417" s="93"/>
      <c r="J417" s="88"/>
      <c r="K417" s="94"/>
      <c r="L417" s="90"/>
      <c r="M417" s="91"/>
      <c r="N417" s="92"/>
      <c r="O417" s="93"/>
      <c r="P417" s="93"/>
      <c r="Q417" s="93"/>
      <c r="R417" s="93"/>
      <c r="S417" s="125">
        <f t="shared" si="6"/>
        <v>415</v>
      </c>
      <c r="T417" s="94" t="s">
        <v>750</v>
      </c>
      <c r="U417" s="90" t="s">
        <v>6</v>
      </c>
      <c r="V417" s="91" t="s">
        <v>88</v>
      </c>
      <c r="W417" s="92">
        <v>6</v>
      </c>
      <c r="X417" s="93">
        <v>0</v>
      </c>
      <c r="Y417" s="93">
        <v>0</v>
      </c>
      <c r="Z417" s="93">
        <v>0</v>
      </c>
      <c r="AA417" s="93"/>
    </row>
    <row r="418" spans="1:27" x14ac:dyDescent="0.25">
      <c r="A418" s="88">
        <v>416</v>
      </c>
      <c r="B418" s="94"/>
      <c r="C418" s="90"/>
      <c r="D418" s="91"/>
      <c r="E418" s="92"/>
      <c r="F418" s="93"/>
      <c r="G418" s="93"/>
      <c r="H418" s="93"/>
      <c r="I418" s="93"/>
      <c r="J418" s="88"/>
      <c r="K418" s="94"/>
      <c r="L418" s="90"/>
      <c r="M418" s="91"/>
      <c r="N418" s="92"/>
      <c r="O418" s="93"/>
      <c r="P418" s="93"/>
      <c r="Q418" s="93"/>
      <c r="R418" s="93"/>
      <c r="S418" s="125">
        <f t="shared" si="6"/>
        <v>416</v>
      </c>
      <c r="T418" s="94" t="s">
        <v>1129</v>
      </c>
      <c r="U418" s="90" t="s">
        <v>6</v>
      </c>
      <c r="V418" s="91" t="s">
        <v>58</v>
      </c>
      <c r="W418" s="92">
        <v>4</v>
      </c>
      <c r="X418" s="93">
        <v>0</v>
      </c>
      <c r="Y418" s="93">
        <v>0</v>
      </c>
      <c r="Z418" s="93">
        <v>0</v>
      </c>
      <c r="AA418" s="93"/>
    </row>
    <row r="419" spans="1:27" x14ac:dyDescent="0.25">
      <c r="A419" s="88">
        <v>417</v>
      </c>
      <c r="B419" s="94"/>
      <c r="C419" s="90"/>
      <c r="D419" s="91"/>
      <c r="E419" s="92"/>
      <c r="F419" s="93"/>
      <c r="G419" s="93"/>
      <c r="H419" s="93"/>
      <c r="I419" s="93"/>
      <c r="J419" s="88"/>
      <c r="K419" s="94"/>
      <c r="L419" s="90"/>
      <c r="M419" s="91"/>
      <c r="N419" s="92"/>
      <c r="O419" s="93"/>
      <c r="P419" s="93"/>
      <c r="Q419" s="93"/>
      <c r="R419" s="93"/>
      <c r="S419" s="125">
        <f t="shared" si="6"/>
        <v>417</v>
      </c>
      <c r="T419" s="94" t="s">
        <v>959</v>
      </c>
      <c r="U419" s="90" t="s">
        <v>6</v>
      </c>
      <c r="V419" s="91" t="s">
        <v>69</v>
      </c>
      <c r="W419" s="92">
        <v>0</v>
      </c>
      <c r="X419" s="93">
        <v>47.616188533523349</v>
      </c>
      <c r="Y419" s="93">
        <v>0</v>
      </c>
      <c r="Z419" s="93">
        <v>0</v>
      </c>
      <c r="AA419" s="93"/>
    </row>
    <row r="420" spans="1:27" x14ac:dyDescent="0.25">
      <c r="A420" s="88">
        <v>418</v>
      </c>
      <c r="B420" s="94"/>
      <c r="C420" s="90"/>
      <c r="D420" s="91"/>
      <c r="E420" s="92"/>
      <c r="F420" s="93"/>
      <c r="G420" s="93"/>
      <c r="H420" s="93"/>
      <c r="I420" s="93"/>
      <c r="J420" s="88"/>
      <c r="K420" s="94"/>
      <c r="L420" s="90"/>
      <c r="M420" s="91"/>
      <c r="N420" s="92"/>
      <c r="O420" s="93"/>
      <c r="P420" s="93"/>
      <c r="Q420" s="93"/>
      <c r="R420" s="93"/>
      <c r="S420" s="125">
        <f t="shared" si="6"/>
        <v>418</v>
      </c>
      <c r="T420" s="94" t="s">
        <v>1127</v>
      </c>
      <c r="U420" s="90" t="s">
        <v>6</v>
      </c>
      <c r="V420" s="91" t="s">
        <v>58</v>
      </c>
      <c r="W420" s="92">
        <v>4</v>
      </c>
      <c r="X420" s="93">
        <v>0</v>
      </c>
      <c r="Y420" s="93">
        <v>0</v>
      </c>
      <c r="Z420" s="93">
        <v>0</v>
      </c>
      <c r="AA420" s="93"/>
    </row>
    <row r="421" spans="1:27" x14ac:dyDescent="0.25">
      <c r="A421" s="88">
        <v>419</v>
      </c>
      <c r="B421" s="89"/>
      <c r="C421" s="90"/>
      <c r="D421" s="91"/>
      <c r="E421" s="92"/>
      <c r="F421" s="93"/>
      <c r="G421" s="93"/>
      <c r="H421" s="93"/>
      <c r="I421" s="93"/>
      <c r="J421" s="88"/>
      <c r="K421" s="94"/>
      <c r="L421" s="90"/>
      <c r="M421" s="91"/>
      <c r="N421" s="92"/>
      <c r="O421" s="93"/>
      <c r="P421" s="93"/>
      <c r="Q421" s="93"/>
      <c r="R421" s="93"/>
      <c r="S421" s="125">
        <f t="shared" si="6"/>
        <v>419</v>
      </c>
      <c r="T421" s="94" t="s">
        <v>413</v>
      </c>
      <c r="U421" s="90" t="s">
        <v>6</v>
      </c>
      <c r="V421" s="91" t="s">
        <v>76</v>
      </c>
      <c r="W421" s="92">
        <v>0</v>
      </c>
      <c r="X421" s="93">
        <v>45.966335435575111</v>
      </c>
      <c r="Y421" s="93">
        <v>0</v>
      </c>
      <c r="Z421" s="93">
        <v>0</v>
      </c>
      <c r="AA421" s="93"/>
    </row>
    <row r="422" spans="1:27" x14ac:dyDescent="0.25">
      <c r="A422" s="88">
        <v>420</v>
      </c>
      <c r="B422" s="89"/>
      <c r="C422" s="90"/>
      <c r="D422" s="91"/>
      <c r="E422" s="92"/>
      <c r="F422" s="93"/>
      <c r="G422" s="93"/>
      <c r="H422" s="93"/>
      <c r="I422" s="93"/>
      <c r="J422" s="88"/>
      <c r="K422" s="94"/>
      <c r="L422" s="90"/>
      <c r="M422" s="91"/>
      <c r="N422" s="92"/>
      <c r="O422" s="93"/>
      <c r="P422" s="93"/>
      <c r="Q422" s="93"/>
      <c r="R422" s="93"/>
      <c r="S422" s="125">
        <f t="shared" si="6"/>
        <v>420</v>
      </c>
      <c r="T422" s="94" t="s">
        <v>1165</v>
      </c>
      <c r="U422" s="90" t="s">
        <v>6</v>
      </c>
      <c r="V422" s="91" t="s">
        <v>63</v>
      </c>
      <c r="W422" s="92">
        <v>1</v>
      </c>
      <c r="X422" s="93">
        <v>0</v>
      </c>
      <c r="Y422" s="93">
        <v>0</v>
      </c>
      <c r="Z422" s="93">
        <v>0</v>
      </c>
      <c r="AA422" s="93"/>
    </row>
    <row r="423" spans="1:27" x14ac:dyDescent="0.25">
      <c r="A423" s="88">
        <v>421</v>
      </c>
      <c r="B423" s="89"/>
      <c r="C423" s="90"/>
      <c r="D423" s="91"/>
      <c r="E423" s="92"/>
      <c r="F423" s="93"/>
      <c r="G423" s="93"/>
      <c r="H423" s="93"/>
      <c r="I423" s="93"/>
      <c r="J423" s="88"/>
      <c r="K423" s="94"/>
      <c r="L423" s="90"/>
      <c r="M423" s="91"/>
      <c r="N423" s="92"/>
      <c r="O423" s="93"/>
      <c r="P423" s="93"/>
      <c r="Q423" s="93"/>
      <c r="R423" s="93"/>
      <c r="S423" s="125">
        <f t="shared" si="6"/>
        <v>421</v>
      </c>
      <c r="T423" s="94" t="s">
        <v>517</v>
      </c>
      <c r="U423" s="90" t="s">
        <v>6</v>
      </c>
      <c r="V423" s="91" t="s">
        <v>96</v>
      </c>
      <c r="W423" s="92">
        <v>0</v>
      </c>
      <c r="X423" s="93">
        <v>49.545191421478684</v>
      </c>
      <c r="Y423" s="93">
        <v>0</v>
      </c>
      <c r="Z423" s="93">
        <v>0</v>
      </c>
      <c r="AA423" s="93"/>
    </row>
    <row r="424" spans="1:27" x14ac:dyDescent="0.25">
      <c r="A424" s="88">
        <v>422</v>
      </c>
      <c r="B424" s="89"/>
      <c r="C424" s="90"/>
      <c r="D424" s="91"/>
      <c r="E424" s="92"/>
      <c r="F424" s="93"/>
      <c r="G424" s="93"/>
      <c r="H424" s="93"/>
      <c r="I424" s="93"/>
      <c r="J424" s="88"/>
      <c r="K424" s="94"/>
      <c r="L424" s="90"/>
      <c r="M424" s="91"/>
      <c r="N424" s="92"/>
      <c r="O424" s="93"/>
      <c r="P424" s="93"/>
      <c r="Q424" s="93"/>
      <c r="R424" s="93"/>
      <c r="S424" s="125">
        <f t="shared" si="6"/>
        <v>422</v>
      </c>
      <c r="T424" s="94" t="s">
        <v>217</v>
      </c>
      <c r="U424" s="90" t="s">
        <v>6</v>
      </c>
      <c r="V424" s="91" t="s">
        <v>62</v>
      </c>
      <c r="W424" s="92">
        <v>0</v>
      </c>
      <c r="X424" s="93">
        <v>57.614561830609397</v>
      </c>
      <c r="Y424" s="93">
        <v>0</v>
      </c>
      <c r="Z424" s="93">
        <v>0</v>
      </c>
      <c r="AA424" s="93"/>
    </row>
    <row r="425" spans="1:27" x14ac:dyDescent="0.25">
      <c r="A425" s="88">
        <v>423</v>
      </c>
      <c r="B425" s="94"/>
      <c r="C425" s="90"/>
      <c r="D425" s="91"/>
      <c r="E425" s="92"/>
      <c r="F425" s="93"/>
      <c r="G425" s="93"/>
      <c r="H425" s="93"/>
      <c r="I425" s="93"/>
      <c r="J425" s="88"/>
      <c r="K425" s="94"/>
      <c r="L425" s="90"/>
      <c r="M425" s="91"/>
      <c r="N425" s="92"/>
      <c r="O425" s="93"/>
      <c r="P425" s="93"/>
      <c r="Q425" s="93"/>
      <c r="R425" s="93"/>
      <c r="S425" s="125">
        <f t="shared" si="6"/>
        <v>423</v>
      </c>
      <c r="T425" s="94" t="s">
        <v>725</v>
      </c>
      <c r="U425" s="90" t="s">
        <v>6</v>
      </c>
      <c r="V425" s="91" t="s">
        <v>87</v>
      </c>
      <c r="W425" s="92">
        <v>0</v>
      </c>
      <c r="X425" s="93">
        <v>36.910937332193264</v>
      </c>
      <c r="Y425" s="93">
        <v>0</v>
      </c>
      <c r="Z425" s="93">
        <v>0</v>
      </c>
      <c r="AA425" s="93"/>
    </row>
    <row r="426" spans="1:27" x14ac:dyDescent="0.25">
      <c r="A426" s="88">
        <v>424</v>
      </c>
      <c r="B426" s="89"/>
      <c r="C426" s="90"/>
      <c r="D426" s="91"/>
      <c r="E426" s="92"/>
      <c r="F426" s="93"/>
      <c r="G426" s="93"/>
      <c r="H426" s="93"/>
      <c r="I426" s="93"/>
      <c r="J426" s="88"/>
      <c r="K426" s="94"/>
      <c r="L426" s="90"/>
      <c r="M426" s="91"/>
      <c r="N426" s="92"/>
      <c r="O426" s="93"/>
      <c r="P426" s="93"/>
      <c r="Q426" s="93"/>
      <c r="R426" s="93"/>
      <c r="S426" s="125">
        <f t="shared" si="6"/>
        <v>424</v>
      </c>
      <c r="T426" s="94" t="s">
        <v>837</v>
      </c>
      <c r="U426" s="90" t="s">
        <v>6</v>
      </c>
      <c r="V426" s="91" t="s">
        <v>62</v>
      </c>
      <c r="W426" s="92">
        <v>0</v>
      </c>
      <c r="X426" s="93">
        <v>34.2148751045547</v>
      </c>
      <c r="Y426" s="93">
        <v>0</v>
      </c>
      <c r="Z426" s="93">
        <v>0</v>
      </c>
      <c r="AA426" s="93"/>
    </row>
    <row r="427" spans="1:27" x14ac:dyDescent="0.25">
      <c r="A427" s="88">
        <v>425</v>
      </c>
      <c r="B427" s="94"/>
      <c r="C427" s="90"/>
      <c r="D427" s="91"/>
      <c r="E427" s="92"/>
      <c r="F427" s="93"/>
      <c r="G427" s="93"/>
      <c r="H427" s="93"/>
      <c r="I427" s="93"/>
      <c r="J427" s="88"/>
      <c r="K427" s="94"/>
      <c r="L427" s="90"/>
      <c r="M427" s="91"/>
      <c r="N427" s="92"/>
      <c r="O427" s="93"/>
      <c r="P427" s="93"/>
      <c r="Q427" s="93"/>
      <c r="R427" s="93"/>
      <c r="S427" s="125">
        <f t="shared" si="6"/>
        <v>425</v>
      </c>
      <c r="T427" s="94" t="s">
        <v>722</v>
      </c>
      <c r="U427" s="90" t="s">
        <v>6</v>
      </c>
      <c r="V427" s="91" t="s">
        <v>66</v>
      </c>
      <c r="W427" s="92">
        <v>0</v>
      </c>
      <c r="X427" s="93">
        <v>44.608346815591638</v>
      </c>
      <c r="Y427" s="93">
        <v>0</v>
      </c>
      <c r="Z427" s="93">
        <v>0</v>
      </c>
      <c r="AA427" s="93"/>
    </row>
    <row r="428" spans="1:27" x14ac:dyDescent="0.25">
      <c r="A428" s="88">
        <v>426</v>
      </c>
      <c r="B428" s="89"/>
      <c r="C428" s="90"/>
      <c r="D428" s="91"/>
      <c r="E428" s="92"/>
      <c r="F428" s="93"/>
      <c r="G428" s="93"/>
      <c r="H428" s="93"/>
      <c r="I428" s="93"/>
      <c r="J428" s="88"/>
      <c r="K428" s="94"/>
      <c r="L428" s="90"/>
      <c r="M428" s="91"/>
      <c r="N428" s="92"/>
      <c r="O428" s="93"/>
      <c r="P428" s="93"/>
      <c r="Q428" s="93"/>
      <c r="R428" s="93"/>
      <c r="S428" s="125">
        <f t="shared" si="6"/>
        <v>426</v>
      </c>
      <c r="T428" s="94" t="s">
        <v>74</v>
      </c>
      <c r="U428" s="90" t="s">
        <v>6</v>
      </c>
      <c r="V428" s="91" t="s">
        <v>63</v>
      </c>
      <c r="W428" s="92">
        <v>0</v>
      </c>
      <c r="X428" s="93">
        <v>36.389890673289152</v>
      </c>
      <c r="Y428" s="93">
        <v>0</v>
      </c>
      <c r="Z428" s="93">
        <v>0</v>
      </c>
      <c r="AA428" s="93"/>
    </row>
    <row r="429" spans="1:27" x14ac:dyDescent="0.25">
      <c r="A429" s="88">
        <v>427</v>
      </c>
      <c r="B429" s="89" t="s">
        <v>317</v>
      </c>
      <c r="C429" s="90" t="s">
        <v>6</v>
      </c>
      <c r="D429" s="91" t="s">
        <v>66</v>
      </c>
      <c r="E429" s="92">
        <v>0</v>
      </c>
      <c r="F429" s="93">
        <v>0</v>
      </c>
      <c r="G429" s="93">
        <v>0</v>
      </c>
      <c r="H429" s="93"/>
      <c r="I429" s="93"/>
      <c r="J429" s="88"/>
      <c r="K429" s="94"/>
      <c r="L429" s="90"/>
      <c r="M429" s="91"/>
      <c r="N429" s="92"/>
      <c r="O429" s="93"/>
      <c r="P429" s="93"/>
      <c r="Q429" s="93"/>
      <c r="R429" s="93"/>
      <c r="S429" s="125">
        <f t="shared" si="6"/>
        <v>427</v>
      </c>
      <c r="T429" s="94" t="s">
        <v>944</v>
      </c>
      <c r="U429" s="90" t="s">
        <v>6</v>
      </c>
      <c r="V429" s="91" t="s">
        <v>69</v>
      </c>
      <c r="W429" s="92">
        <v>0</v>
      </c>
      <c r="X429" s="93">
        <v>40.23789263870141</v>
      </c>
      <c r="Y429" s="93">
        <v>0</v>
      </c>
      <c r="Z429" s="93">
        <v>0</v>
      </c>
      <c r="AA429" s="93"/>
    </row>
    <row r="430" spans="1:27" x14ac:dyDescent="0.25">
      <c r="A430" s="88">
        <v>428</v>
      </c>
      <c r="B430" s="94" t="s">
        <v>330</v>
      </c>
      <c r="C430" s="90" t="s">
        <v>6</v>
      </c>
      <c r="D430" s="91" t="s">
        <v>62</v>
      </c>
      <c r="E430" s="92">
        <v>0</v>
      </c>
      <c r="F430" s="93">
        <v>0</v>
      </c>
      <c r="G430" s="93">
        <v>0</v>
      </c>
      <c r="H430" s="93"/>
      <c r="I430" s="93"/>
      <c r="J430" s="88"/>
      <c r="K430" s="94"/>
      <c r="L430" s="90"/>
      <c r="M430" s="91"/>
      <c r="N430" s="92"/>
      <c r="O430" s="93"/>
      <c r="P430" s="93"/>
      <c r="Q430" s="93"/>
      <c r="R430" s="93"/>
      <c r="S430" s="125">
        <f t="shared" si="6"/>
        <v>428</v>
      </c>
      <c r="T430" s="94" t="s">
        <v>829</v>
      </c>
      <c r="U430" s="90" t="s">
        <v>6</v>
      </c>
      <c r="V430" s="91" t="s">
        <v>159</v>
      </c>
      <c r="W430" s="92">
        <v>0</v>
      </c>
      <c r="X430" s="93">
        <v>51.07118350798013</v>
      </c>
      <c r="Y430" s="93">
        <v>0</v>
      </c>
      <c r="Z430" s="93">
        <v>0</v>
      </c>
      <c r="AA430" s="93"/>
    </row>
    <row r="431" spans="1:27" x14ac:dyDescent="0.25">
      <c r="A431" s="88">
        <v>429</v>
      </c>
      <c r="B431" s="89" t="s">
        <v>344</v>
      </c>
      <c r="C431" s="90" t="s">
        <v>16</v>
      </c>
      <c r="D431" s="91" t="s">
        <v>57</v>
      </c>
      <c r="E431" s="92">
        <v>0</v>
      </c>
      <c r="F431" s="93">
        <v>0</v>
      </c>
      <c r="G431" s="93">
        <v>0</v>
      </c>
      <c r="H431" s="93"/>
      <c r="I431" s="93"/>
      <c r="J431" s="88"/>
      <c r="K431" s="94"/>
      <c r="L431" s="90"/>
      <c r="M431" s="91"/>
      <c r="N431" s="92"/>
      <c r="O431" s="93"/>
      <c r="P431" s="93"/>
      <c r="Q431" s="93"/>
      <c r="R431" s="93"/>
      <c r="S431" s="125">
        <f t="shared" si="6"/>
        <v>429</v>
      </c>
      <c r="T431" s="94" t="s">
        <v>826</v>
      </c>
      <c r="U431" s="90" t="s">
        <v>6</v>
      </c>
      <c r="V431" s="91" t="s">
        <v>63</v>
      </c>
      <c r="W431" s="92">
        <v>0</v>
      </c>
      <c r="X431" s="93">
        <v>57.37225017169083</v>
      </c>
      <c r="Y431" s="93">
        <v>0</v>
      </c>
      <c r="Z431" s="93">
        <v>0</v>
      </c>
      <c r="AA431" s="93"/>
    </row>
    <row r="432" spans="1:27" x14ac:dyDescent="0.25">
      <c r="A432" s="88">
        <v>430</v>
      </c>
      <c r="B432" s="94" t="s">
        <v>213</v>
      </c>
      <c r="C432" s="90" t="s">
        <v>16</v>
      </c>
      <c r="D432" s="91" t="s">
        <v>62</v>
      </c>
      <c r="E432" s="92">
        <v>0</v>
      </c>
      <c r="F432" s="93">
        <v>0</v>
      </c>
      <c r="G432" s="93">
        <v>0</v>
      </c>
      <c r="H432" s="93"/>
      <c r="I432" s="93"/>
      <c r="J432" s="88"/>
      <c r="K432" s="94"/>
      <c r="L432" s="90"/>
      <c r="M432" s="91"/>
      <c r="N432" s="92"/>
      <c r="O432" s="93"/>
      <c r="P432" s="93"/>
      <c r="Q432" s="93"/>
      <c r="R432" s="93"/>
      <c r="S432" s="125">
        <f t="shared" si="6"/>
        <v>430</v>
      </c>
      <c r="T432" s="94" t="s">
        <v>834</v>
      </c>
      <c r="U432" s="90" t="s">
        <v>6</v>
      </c>
      <c r="V432" s="91" t="s">
        <v>62</v>
      </c>
      <c r="W432" s="92">
        <v>0</v>
      </c>
      <c r="X432" s="93">
        <v>38.346926688971763</v>
      </c>
      <c r="Y432" s="93">
        <v>0</v>
      </c>
      <c r="Z432" s="93">
        <v>0</v>
      </c>
      <c r="AA432" s="93"/>
    </row>
    <row r="433" spans="1:27" x14ac:dyDescent="0.25">
      <c r="A433" s="88">
        <v>431</v>
      </c>
      <c r="B433" s="89" t="s">
        <v>505</v>
      </c>
      <c r="C433" s="90" t="s">
        <v>6</v>
      </c>
      <c r="D433" s="91" t="s">
        <v>57</v>
      </c>
      <c r="E433" s="92">
        <v>0</v>
      </c>
      <c r="F433" s="93">
        <v>0</v>
      </c>
      <c r="G433" s="93">
        <v>0</v>
      </c>
      <c r="H433" s="93"/>
      <c r="I433" s="93"/>
      <c r="J433" s="88"/>
      <c r="K433" s="94"/>
      <c r="L433" s="90"/>
      <c r="M433" s="91"/>
      <c r="N433" s="92"/>
      <c r="O433" s="93"/>
      <c r="P433" s="93"/>
      <c r="Q433" s="93"/>
      <c r="R433" s="93"/>
      <c r="S433" s="125">
        <f t="shared" si="6"/>
        <v>431</v>
      </c>
      <c r="T433" s="94" t="s">
        <v>938</v>
      </c>
      <c r="U433" s="90" t="s">
        <v>6</v>
      </c>
      <c r="V433" s="91" t="s">
        <v>57</v>
      </c>
      <c r="W433" s="92">
        <v>0</v>
      </c>
      <c r="X433" s="93">
        <v>50.088933085043358</v>
      </c>
      <c r="Y433" s="93">
        <v>0</v>
      </c>
      <c r="Z433" s="93">
        <v>0</v>
      </c>
      <c r="AA433" s="93"/>
    </row>
    <row r="434" spans="1:27" x14ac:dyDescent="0.25">
      <c r="A434" s="88">
        <v>432</v>
      </c>
      <c r="B434" s="94" t="s">
        <v>685</v>
      </c>
      <c r="C434" s="90" t="s">
        <v>6</v>
      </c>
      <c r="D434" s="91" t="s">
        <v>78</v>
      </c>
      <c r="E434" s="92">
        <v>0</v>
      </c>
      <c r="F434" s="93">
        <v>0</v>
      </c>
      <c r="G434" s="93">
        <v>0</v>
      </c>
      <c r="H434" s="93"/>
      <c r="I434" s="93"/>
      <c r="J434" s="88"/>
      <c r="K434" s="94"/>
      <c r="L434" s="90"/>
      <c r="M434" s="91"/>
      <c r="N434" s="92"/>
      <c r="O434" s="93"/>
      <c r="P434" s="93"/>
      <c r="Q434" s="93"/>
      <c r="R434" s="93"/>
      <c r="S434" s="125">
        <f t="shared" si="6"/>
        <v>432</v>
      </c>
      <c r="T434" s="94" t="s">
        <v>769</v>
      </c>
      <c r="U434" s="90" t="s">
        <v>6</v>
      </c>
      <c r="V434" s="91" t="s">
        <v>62</v>
      </c>
      <c r="W434" s="92">
        <v>0</v>
      </c>
      <c r="X434" s="93">
        <v>50.362561546638318</v>
      </c>
      <c r="Y434" s="93">
        <v>0</v>
      </c>
      <c r="Z434" s="93">
        <v>0</v>
      </c>
      <c r="AA434" s="93"/>
    </row>
    <row r="435" spans="1:27" x14ac:dyDescent="0.25">
      <c r="A435" s="88">
        <v>433</v>
      </c>
      <c r="B435" s="96" t="s">
        <v>241</v>
      </c>
      <c r="C435" s="90" t="s">
        <v>16</v>
      </c>
      <c r="D435" s="91" t="s">
        <v>57</v>
      </c>
      <c r="E435" s="92">
        <v>0</v>
      </c>
      <c r="F435" s="93">
        <v>0</v>
      </c>
      <c r="G435" s="93">
        <v>0</v>
      </c>
      <c r="H435" s="93"/>
      <c r="I435" s="93"/>
      <c r="J435" s="88"/>
      <c r="K435" s="94"/>
      <c r="L435" s="90"/>
      <c r="M435" s="91"/>
      <c r="N435" s="92"/>
      <c r="O435" s="93"/>
      <c r="P435" s="93"/>
      <c r="Q435" s="93"/>
      <c r="R435" s="93"/>
      <c r="S435" s="125">
        <f t="shared" si="6"/>
        <v>433</v>
      </c>
      <c r="T435" s="94" t="s">
        <v>946</v>
      </c>
      <c r="U435" s="90" t="s">
        <v>6</v>
      </c>
      <c r="V435" s="91" t="s">
        <v>69</v>
      </c>
      <c r="W435" s="92">
        <v>0</v>
      </c>
      <c r="X435" s="93">
        <v>33.506365486738204</v>
      </c>
      <c r="Y435" s="93">
        <v>0</v>
      </c>
      <c r="Z435" s="93">
        <v>0</v>
      </c>
      <c r="AA435" s="93"/>
    </row>
    <row r="436" spans="1:27" x14ac:dyDescent="0.25">
      <c r="A436" s="88">
        <v>434</v>
      </c>
      <c r="B436" s="95" t="s">
        <v>692</v>
      </c>
      <c r="C436" s="88" t="s">
        <v>6</v>
      </c>
      <c r="D436" s="88" t="s">
        <v>69</v>
      </c>
      <c r="E436" s="92">
        <v>0</v>
      </c>
      <c r="F436" s="93">
        <v>0</v>
      </c>
      <c r="G436" s="93">
        <v>0</v>
      </c>
      <c r="H436" s="93"/>
      <c r="I436" s="93"/>
      <c r="J436" s="88"/>
      <c r="K436" s="94"/>
      <c r="L436" s="90"/>
      <c r="M436" s="91"/>
      <c r="N436" s="92"/>
      <c r="O436" s="93"/>
      <c r="P436" s="93"/>
      <c r="Q436" s="93"/>
      <c r="R436" s="93"/>
      <c r="S436" s="125">
        <f t="shared" si="6"/>
        <v>434</v>
      </c>
      <c r="T436" s="94" t="s">
        <v>144</v>
      </c>
      <c r="U436" s="90" t="s">
        <v>6</v>
      </c>
      <c r="V436" s="91" t="s">
        <v>69</v>
      </c>
      <c r="W436" s="92">
        <v>0</v>
      </c>
      <c r="X436" s="93">
        <v>54.282371717671694</v>
      </c>
      <c r="Y436" s="93">
        <v>0</v>
      </c>
      <c r="Z436" s="93">
        <v>0</v>
      </c>
      <c r="AA436" s="93"/>
    </row>
    <row r="437" spans="1:27" x14ac:dyDescent="0.25">
      <c r="A437" s="88">
        <v>435</v>
      </c>
      <c r="B437" s="89" t="s">
        <v>253</v>
      </c>
      <c r="C437" s="90" t="s">
        <v>6</v>
      </c>
      <c r="D437" s="91" t="s">
        <v>80</v>
      </c>
      <c r="E437" s="92">
        <v>0</v>
      </c>
      <c r="F437" s="93">
        <v>0</v>
      </c>
      <c r="G437" s="93">
        <v>0</v>
      </c>
      <c r="H437" s="93"/>
      <c r="I437" s="93"/>
      <c r="J437" s="88"/>
      <c r="K437" s="94"/>
      <c r="L437" s="90"/>
      <c r="M437" s="91"/>
      <c r="N437" s="92"/>
      <c r="O437" s="93"/>
      <c r="P437" s="93"/>
      <c r="Q437" s="93"/>
      <c r="R437" s="93"/>
      <c r="S437" s="125">
        <f t="shared" si="6"/>
        <v>435</v>
      </c>
      <c r="T437" s="94" t="s">
        <v>776</v>
      </c>
      <c r="U437" s="90" t="s">
        <v>6</v>
      </c>
      <c r="V437" s="91" t="s">
        <v>64</v>
      </c>
      <c r="W437" s="92">
        <v>0</v>
      </c>
      <c r="X437" s="93">
        <v>42.647428171137975</v>
      </c>
      <c r="Y437" s="93">
        <v>0</v>
      </c>
      <c r="Z437" s="93">
        <v>0</v>
      </c>
      <c r="AA437" s="93"/>
    </row>
    <row r="438" spans="1:27" x14ac:dyDescent="0.25">
      <c r="A438" s="88">
        <v>436</v>
      </c>
      <c r="B438" s="94" t="s">
        <v>284</v>
      </c>
      <c r="C438" s="90" t="s">
        <v>6</v>
      </c>
      <c r="D438" s="91" t="s">
        <v>69</v>
      </c>
      <c r="E438" s="92">
        <v>0</v>
      </c>
      <c r="F438" s="93">
        <v>0</v>
      </c>
      <c r="G438" s="93">
        <v>0</v>
      </c>
      <c r="H438" s="93"/>
      <c r="I438" s="93"/>
      <c r="J438" s="88"/>
      <c r="K438" s="94"/>
      <c r="L438" s="90"/>
      <c r="M438" s="91"/>
      <c r="N438" s="92"/>
      <c r="O438" s="93"/>
      <c r="P438" s="93"/>
      <c r="Q438" s="93"/>
      <c r="R438" s="93"/>
      <c r="S438" s="125">
        <f t="shared" si="6"/>
        <v>436</v>
      </c>
      <c r="T438" s="94" t="s">
        <v>854</v>
      </c>
      <c r="U438" s="90" t="s">
        <v>6</v>
      </c>
      <c r="V438" s="91" t="s">
        <v>66</v>
      </c>
      <c r="W438" s="92">
        <v>0</v>
      </c>
      <c r="X438" s="93">
        <v>57.229295734546831</v>
      </c>
      <c r="Y438" s="93">
        <v>0</v>
      </c>
      <c r="Z438" s="93">
        <v>0</v>
      </c>
      <c r="AA438" s="93"/>
    </row>
    <row r="439" spans="1:27" x14ac:dyDescent="0.25">
      <c r="A439" s="88">
        <v>437</v>
      </c>
      <c r="B439" s="94" t="s">
        <v>660</v>
      </c>
      <c r="C439" s="90" t="s">
        <v>6</v>
      </c>
      <c r="D439" s="91" t="s">
        <v>69</v>
      </c>
      <c r="E439" s="92">
        <v>0</v>
      </c>
      <c r="F439" s="93">
        <v>0</v>
      </c>
      <c r="G439" s="93">
        <v>0</v>
      </c>
      <c r="H439" s="93"/>
      <c r="I439" s="93"/>
      <c r="J439" s="88"/>
      <c r="K439" s="94"/>
      <c r="L439" s="90"/>
      <c r="M439" s="91"/>
      <c r="N439" s="92"/>
      <c r="O439" s="93"/>
      <c r="P439" s="93"/>
      <c r="Q439" s="93"/>
      <c r="R439" s="93"/>
      <c r="S439" s="125">
        <f t="shared" si="6"/>
        <v>437</v>
      </c>
      <c r="T439" s="94" t="s">
        <v>895</v>
      </c>
      <c r="U439" s="90" t="s">
        <v>6</v>
      </c>
      <c r="V439" s="91" t="s">
        <v>69</v>
      </c>
      <c r="W439" s="92">
        <v>0</v>
      </c>
      <c r="X439" s="93">
        <v>44.888541806094175</v>
      </c>
      <c r="Y439" s="93">
        <v>0</v>
      </c>
      <c r="Z439" s="93">
        <v>0</v>
      </c>
      <c r="AA439" s="93"/>
    </row>
    <row r="440" spans="1:27" x14ac:dyDescent="0.25">
      <c r="A440" s="88">
        <v>438</v>
      </c>
      <c r="B440" s="94" t="s">
        <v>198</v>
      </c>
      <c r="C440" s="90" t="s">
        <v>6</v>
      </c>
      <c r="D440" s="91" t="s">
        <v>57</v>
      </c>
      <c r="E440" s="92">
        <v>0</v>
      </c>
      <c r="F440" s="93">
        <v>0</v>
      </c>
      <c r="G440" s="93">
        <v>0</v>
      </c>
      <c r="H440" s="93"/>
      <c r="I440" s="93"/>
      <c r="J440" s="88"/>
      <c r="K440" s="94"/>
      <c r="L440" s="90"/>
      <c r="M440" s="91"/>
      <c r="N440" s="92"/>
      <c r="O440" s="93"/>
      <c r="P440" s="93"/>
      <c r="Q440" s="93"/>
      <c r="R440" s="93"/>
      <c r="S440" s="125">
        <f t="shared" si="6"/>
        <v>438</v>
      </c>
      <c r="T440" s="94" t="s">
        <v>831</v>
      </c>
      <c r="U440" s="90" t="s">
        <v>6</v>
      </c>
      <c r="V440" s="91" t="s">
        <v>159</v>
      </c>
      <c r="W440" s="92">
        <v>0</v>
      </c>
      <c r="X440" s="93">
        <v>17.831036228916076</v>
      </c>
      <c r="Y440" s="93">
        <v>0</v>
      </c>
      <c r="Z440" s="93">
        <v>0</v>
      </c>
      <c r="AA440" s="93"/>
    </row>
    <row r="441" spans="1:27" x14ac:dyDescent="0.25">
      <c r="A441" s="88">
        <v>439</v>
      </c>
      <c r="B441" s="94" t="s">
        <v>504</v>
      </c>
      <c r="C441" s="90" t="s">
        <v>6</v>
      </c>
      <c r="D441" s="91" t="s">
        <v>57</v>
      </c>
      <c r="E441" s="92">
        <v>0</v>
      </c>
      <c r="F441" s="93">
        <v>0</v>
      </c>
      <c r="G441" s="93">
        <v>0</v>
      </c>
      <c r="H441" s="93"/>
      <c r="I441" s="93"/>
      <c r="J441" s="88"/>
      <c r="K441" s="94"/>
      <c r="L441" s="90"/>
      <c r="M441" s="91"/>
      <c r="N441" s="92"/>
      <c r="O441" s="93"/>
      <c r="P441" s="93"/>
      <c r="Q441" s="93"/>
      <c r="R441" s="93"/>
      <c r="S441" s="125">
        <f t="shared" si="6"/>
        <v>439</v>
      </c>
      <c r="T441" s="94" t="s">
        <v>99</v>
      </c>
      <c r="U441" s="90" t="s">
        <v>6</v>
      </c>
      <c r="V441" s="91" t="s">
        <v>58</v>
      </c>
      <c r="W441" s="92">
        <v>0</v>
      </c>
      <c r="X441" s="93">
        <v>65.219156740599729</v>
      </c>
      <c r="Y441" s="93">
        <v>0</v>
      </c>
      <c r="Z441" s="93">
        <v>0</v>
      </c>
      <c r="AA441" s="93"/>
    </row>
    <row r="442" spans="1:27" x14ac:dyDescent="0.25">
      <c r="A442" s="88">
        <v>440</v>
      </c>
      <c r="B442" s="89" t="s">
        <v>148</v>
      </c>
      <c r="C442" s="90" t="s">
        <v>6</v>
      </c>
      <c r="D442" s="91" t="s">
        <v>57</v>
      </c>
      <c r="E442" s="92">
        <v>0</v>
      </c>
      <c r="F442" s="93">
        <v>0</v>
      </c>
      <c r="G442" s="93">
        <v>0</v>
      </c>
      <c r="H442" s="93"/>
      <c r="I442" s="93"/>
      <c r="J442" s="88"/>
      <c r="K442" s="94"/>
      <c r="L442" s="90"/>
      <c r="M442" s="91"/>
      <c r="N442" s="92"/>
      <c r="O442" s="93"/>
      <c r="P442" s="93"/>
      <c r="Q442" s="93"/>
      <c r="R442" s="93"/>
      <c r="S442" s="125">
        <f t="shared" si="6"/>
        <v>440</v>
      </c>
      <c r="T442" s="94" t="s">
        <v>691</v>
      </c>
      <c r="U442" s="90" t="s">
        <v>6</v>
      </c>
      <c r="V442" s="91" t="s">
        <v>62</v>
      </c>
      <c r="W442" s="92">
        <v>0</v>
      </c>
      <c r="X442" s="93">
        <v>48.846752952516105</v>
      </c>
      <c r="Y442" s="93">
        <v>0</v>
      </c>
      <c r="Z442" s="93">
        <v>0</v>
      </c>
      <c r="AA442" s="93"/>
    </row>
    <row r="443" spans="1:27" x14ac:dyDescent="0.25">
      <c r="A443" s="88">
        <v>441</v>
      </c>
      <c r="B443" s="89" t="s">
        <v>354</v>
      </c>
      <c r="C443" s="90" t="s">
        <v>16</v>
      </c>
      <c r="D443" s="91" t="s">
        <v>63</v>
      </c>
      <c r="E443" s="92">
        <v>0</v>
      </c>
      <c r="F443" s="93">
        <v>0</v>
      </c>
      <c r="G443" s="93">
        <v>0</v>
      </c>
      <c r="H443" s="93"/>
      <c r="I443" s="93"/>
      <c r="J443" s="88"/>
      <c r="K443" s="94"/>
      <c r="L443" s="90"/>
      <c r="M443" s="91"/>
      <c r="N443" s="92"/>
      <c r="O443" s="93"/>
      <c r="P443" s="93"/>
      <c r="Q443" s="93"/>
      <c r="R443" s="93"/>
      <c r="S443" s="125">
        <f t="shared" si="6"/>
        <v>441</v>
      </c>
      <c r="T443" s="94" t="s">
        <v>861</v>
      </c>
      <c r="U443" s="90" t="s">
        <v>6</v>
      </c>
      <c r="V443" s="91" t="s">
        <v>69</v>
      </c>
      <c r="W443" s="92">
        <v>0</v>
      </c>
      <c r="X443" s="93">
        <v>40.021855866245048</v>
      </c>
      <c r="Y443" s="93">
        <v>0</v>
      </c>
      <c r="Z443" s="93">
        <v>0</v>
      </c>
      <c r="AA443" s="93"/>
    </row>
    <row r="444" spans="1:27" x14ac:dyDescent="0.25">
      <c r="A444" s="88">
        <v>442</v>
      </c>
      <c r="B444" s="94" t="s">
        <v>473</v>
      </c>
      <c r="C444" s="90" t="s">
        <v>6</v>
      </c>
      <c r="D444" s="91" t="s">
        <v>63</v>
      </c>
      <c r="E444" s="92">
        <v>0</v>
      </c>
      <c r="F444" s="93">
        <v>0</v>
      </c>
      <c r="G444" s="93">
        <v>0</v>
      </c>
      <c r="H444" s="93"/>
      <c r="I444" s="93"/>
      <c r="J444" s="88"/>
      <c r="K444" s="94"/>
      <c r="L444" s="90"/>
      <c r="M444" s="91"/>
      <c r="N444" s="92"/>
      <c r="O444" s="93"/>
      <c r="P444" s="93"/>
      <c r="Q444" s="93"/>
      <c r="R444" s="93"/>
      <c r="S444" s="125">
        <f t="shared" si="6"/>
        <v>442</v>
      </c>
      <c r="T444" s="94" t="s">
        <v>906</v>
      </c>
      <c r="U444" s="90" t="s">
        <v>6</v>
      </c>
      <c r="V444" s="91" t="s">
        <v>62</v>
      </c>
      <c r="W444" s="92">
        <v>0</v>
      </c>
      <c r="X444" s="93">
        <v>60.979804896167906</v>
      </c>
      <c r="Y444" s="93">
        <v>0</v>
      </c>
      <c r="Z444" s="93">
        <v>0</v>
      </c>
      <c r="AA444" s="93"/>
    </row>
    <row r="445" spans="1:27" x14ac:dyDescent="0.25">
      <c r="A445" s="88">
        <v>443</v>
      </c>
      <c r="B445" s="94" t="s">
        <v>407</v>
      </c>
      <c r="C445" s="90" t="s">
        <v>6</v>
      </c>
      <c r="D445" s="90" t="s">
        <v>80</v>
      </c>
      <c r="E445" s="92">
        <v>0</v>
      </c>
      <c r="F445" s="93">
        <v>0</v>
      </c>
      <c r="G445" s="93">
        <v>0</v>
      </c>
      <c r="H445" s="93"/>
      <c r="I445" s="93"/>
      <c r="J445" s="88"/>
      <c r="K445" s="94"/>
      <c r="L445" s="90"/>
      <c r="M445" s="91"/>
      <c r="N445" s="92"/>
      <c r="O445" s="93"/>
      <c r="P445" s="93"/>
      <c r="Q445" s="93"/>
      <c r="R445" s="93"/>
      <c r="S445" s="125">
        <f t="shared" si="6"/>
        <v>443</v>
      </c>
      <c r="T445" s="94" t="s">
        <v>399</v>
      </c>
      <c r="U445" s="90" t="s">
        <v>6</v>
      </c>
      <c r="V445" s="91" t="s">
        <v>58</v>
      </c>
      <c r="W445" s="92">
        <v>0</v>
      </c>
      <c r="X445" s="93">
        <v>58.688336780834739</v>
      </c>
      <c r="Y445" s="93">
        <v>0</v>
      </c>
      <c r="Z445" s="93">
        <v>0</v>
      </c>
      <c r="AA445" s="93"/>
    </row>
    <row r="446" spans="1:27" x14ac:dyDescent="0.25">
      <c r="A446" s="88">
        <v>444</v>
      </c>
      <c r="B446" s="94" t="s">
        <v>204</v>
      </c>
      <c r="C446" s="90" t="s">
        <v>6</v>
      </c>
      <c r="D446" s="91" t="s">
        <v>57</v>
      </c>
      <c r="E446" s="92">
        <v>0</v>
      </c>
      <c r="F446" s="93">
        <v>0</v>
      </c>
      <c r="G446" s="93">
        <v>0</v>
      </c>
      <c r="H446" s="93"/>
      <c r="I446" s="93"/>
      <c r="J446" s="88"/>
      <c r="K446" s="94"/>
      <c r="L446" s="90"/>
      <c r="M446" s="91"/>
      <c r="N446" s="92"/>
      <c r="O446" s="93"/>
      <c r="P446" s="93"/>
      <c r="Q446" s="93"/>
      <c r="R446" s="93"/>
      <c r="S446" s="125">
        <f t="shared" si="6"/>
        <v>444</v>
      </c>
      <c r="T446" s="94" t="s">
        <v>926</v>
      </c>
      <c r="U446" s="90" t="s">
        <v>6</v>
      </c>
      <c r="V446" s="91" t="s">
        <v>781</v>
      </c>
      <c r="W446" s="92">
        <v>0</v>
      </c>
      <c r="X446" s="93">
        <v>30.444874424475742</v>
      </c>
      <c r="Y446" s="93">
        <v>0</v>
      </c>
      <c r="Z446" s="93">
        <v>0</v>
      </c>
      <c r="AA446" s="93"/>
    </row>
    <row r="447" spans="1:27" x14ac:dyDescent="0.25">
      <c r="A447" s="88">
        <v>445</v>
      </c>
      <c r="B447" s="94" t="s">
        <v>226</v>
      </c>
      <c r="C447" s="90" t="s">
        <v>6</v>
      </c>
      <c r="D447" s="91" t="s">
        <v>88</v>
      </c>
      <c r="E447" s="92">
        <v>0</v>
      </c>
      <c r="F447" s="93">
        <v>0</v>
      </c>
      <c r="G447" s="93">
        <v>0</v>
      </c>
      <c r="H447" s="93"/>
      <c r="I447" s="93"/>
      <c r="J447" s="88"/>
      <c r="K447" s="94"/>
      <c r="L447" s="90"/>
      <c r="M447" s="91"/>
      <c r="N447" s="92"/>
      <c r="O447" s="93"/>
      <c r="P447" s="93"/>
      <c r="Q447" s="93"/>
      <c r="R447" s="93"/>
      <c r="S447" s="125">
        <f t="shared" si="6"/>
        <v>445</v>
      </c>
      <c r="T447" s="94" t="s">
        <v>912</v>
      </c>
      <c r="U447" s="90" t="s">
        <v>6</v>
      </c>
      <c r="V447" s="91" t="s">
        <v>78</v>
      </c>
      <c r="W447" s="92">
        <v>0</v>
      </c>
      <c r="X447" s="93">
        <v>54.92732370908567</v>
      </c>
      <c r="Y447" s="93">
        <v>0</v>
      </c>
      <c r="Z447" s="93">
        <v>0</v>
      </c>
      <c r="AA447" s="93"/>
    </row>
    <row r="448" spans="1:27" x14ac:dyDescent="0.25">
      <c r="A448" s="88">
        <v>446</v>
      </c>
      <c r="B448" s="95" t="s">
        <v>515</v>
      </c>
      <c r="C448" s="88" t="s">
        <v>6</v>
      </c>
      <c r="D448" s="88" t="s">
        <v>58</v>
      </c>
      <c r="E448" s="92">
        <v>0</v>
      </c>
      <c r="F448" s="93">
        <v>0</v>
      </c>
      <c r="G448" s="93">
        <v>0</v>
      </c>
      <c r="H448" s="93"/>
      <c r="I448" s="93"/>
      <c r="J448" s="88"/>
      <c r="K448" s="94"/>
      <c r="L448" s="90"/>
      <c r="M448" s="91"/>
      <c r="N448" s="92"/>
      <c r="O448" s="93"/>
      <c r="P448" s="93"/>
      <c r="Q448" s="93"/>
      <c r="R448" s="93"/>
      <c r="S448" s="125">
        <f t="shared" si="6"/>
        <v>446</v>
      </c>
      <c r="T448" s="94" t="s">
        <v>695</v>
      </c>
      <c r="U448" s="90" t="s">
        <v>6</v>
      </c>
      <c r="V448" s="91" t="s">
        <v>80</v>
      </c>
      <c r="W448" s="92">
        <v>0</v>
      </c>
      <c r="X448" s="93">
        <v>54.923238423217185</v>
      </c>
      <c r="Y448" s="93">
        <v>0</v>
      </c>
      <c r="Z448" s="93">
        <v>0</v>
      </c>
      <c r="AA448" s="93"/>
    </row>
    <row r="449" spans="1:27" x14ac:dyDescent="0.25">
      <c r="A449" s="88">
        <v>447</v>
      </c>
      <c r="B449" s="94" t="s">
        <v>112</v>
      </c>
      <c r="C449" s="90" t="s">
        <v>6</v>
      </c>
      <c r="D449" s="91" t="s">
        <v>62</v>
      </c>
      <c r="E449" s="92">
        <v>0</v>
      </c>
      <c r="F449" s="93">
        <v>0</v>
      </c>
      <c r="G449" s="93">
        <v>0</v>
      </c>
      <c r="H449" s="93"/>
      <c r="I449" s="93"/>
      <c r="J449" s="88"/>
      <c r="K449" s="94"/>
      <c r="L449" s="90"/>
      <c r="M449" s="91"/>
      <c r="N449" s="92"/>
      <c r="O449" s="93"/>
      <c r="P449" s="93"/>
      <c r="Q449" s="93"/>
      <c r="R449" s="93"/>
      <c r="S449" s="125">
        <f t="shared" si="6"/>
        <v>447</v>
      </c>
      <c r="T449" s="94" t="s">
        <v>864</v>
      </c>
      <c r="U449" s="90" t="s">
        <v>6</v>
      </c>
      <c r="V449" s="91" t="s">
        <v>62</v>
      </c>
      <c r="W449" s="92">
        <v>0</v>
      </c>
      <c r="X449" s="93">
        <v>36.92521163114376</v>
      </c>
      <c r="Y449" s="93">
        <v>0</v>
      </c>
      <c r="Z449" s="93">
        <v>0</v>
      </c>
      <c r="AA449" s="93"/>
    </row>
    <row r="450" spans="1:27" x14ac:dyDescent="0.25">
      <c r="A450" s="88">
        <v>448</v>
      </c>
      <c r="B450" s="89" t="s">
        <v>123</v>
      </c>
      <c r="C450" s="90" t="s">
        <v>16</v>
      </c>
      <c r="D450" s="91" t="s">
        <v>57</v>
      </c>
      <c r="E450" s="92">
        <v>0</v>
      </c>
      <c r="F450" s="93">
        <v>0</v>
      </c>
      <c r="G450" s="93">
        <v>0</v>
      </c>
      <c r="H450" s="93"/>
      <c r="I450" s="93"/>
      <c r="J450" s="88"/>
      <c r="K450" s="94"/>
      <c r="L450" s="90"/>
      <c r="M450" s="91"/>
      <c r="N450" s="92"/>
      <c r="O450" s="93"/>
      <c r="P450" s="93"/>
      <c r="Q450" s="93"/>
      <c r="R450" s="93"/>
      <c r="S450" s="125">
        <f t="shared" si="6"/>
        <v>448</v>
      </c>
      <c r="T450" s="94" t="s">
        <v>780</v>
      </c>
      <c r="U450" s="90" t="s">
        <v>6</v>
      </c>
      <c r="V450" s="91" t="s">
        <v>89</v>
      </c>
      <c r="W450" s="92">
        <v>0</v>
      </c>
      <c r="X450" s="93">
        <v>43.547029406122483</v>
      </c>
      <c r="Y450" s="93">
        <v>0</v>
      </c>
      <c r="Z450" s="93">
        <v>0</v>
      </c>
      <c r="AA450" s="93"/>
    </row>
    <row r="451" spans="1:27" x14ac:dyDescent="0.25">
      <c r="A451" s="88">
        <v>449</v>
      </c>
      <c r="B451" s="94" t="s">
        <v>516</v>
      </c>
      <c r="C451" s="90" t="s">
        <v>6</v>
      </c>
      <c r="D451" s="91" t="s">
        <v>66</v>
      </c>
      <c r="E451" s="92">
        <v>0</v>
      </c>
      <c r="F451" s="93">
        <v>0</v>
      </c>
      <c r="G451" s="93">
        <v>0</v>
      </c>
      <c r="H451" s="93"/>
      <c r="I451" s="93"/>
      <c r="J451" s="88"/>
      <c r="K451" s="94"/>
      <c r="L451" s="90"/>
      <c r="M451" s="91"/>
      <c r="N451" s="92"/>
      <c r="O451" s="93"/>
      <c r="P451" s="93"/>
      <c r="Q451" s="93"/>
      <c r="R451" s="93"/>
      <c r="S451" s="125">
        <f t="shared" si="6"/>
        <v>449</v>
      </c>
      <c r="T451" s="94" t="s">
        <v>308</v>
      </c>
      <c r="U451" s="90" t="s">
        <v>6</v>
      </c>
      <c r="V451" s="91" t="s">
        <v>77</v>
      </c>
      <c r="W451" s="92">
        <v>0</v>
      </c>
      <c r="X451" s="93">
        <v>52.425251951062656</v>
      </c>
      <c r="Y451" s="93">
        <v>0</v>
      </c>
      <c r="Z451" s="93">
        <v>0</v>
      </c>
      <c r="AA451" s="93"/>
    </row>
    <row r="452" spans="1:27" x14ac:dyDescent="0.25">
      <c r="A452" s="88">
        <v>450</v>
      </c>
      <c r="B452" s="89" t="s">
        <v>177</v>
      </c>
      <c r="C452" s="90" t="s">
        <v>16</v>
      </c>
      <c r="D452" s="91" t="s">
        <v>69</v>
      </c>
      <c r="E452" s="92">
        <v>0</v>
      </c>
      <c r="F452" s="93">
        <v>0</v>
      </c>
      <c r="G452" s="93">
        <v>0</v>
      </c>
      <c r="H452" s="93"/>
      <c r="I452" s="93"/>
      <c r="J452" s="88"/>
      <c r="K452" s="94"/>
      <c r="L452" s="90"/>
      <c r="M452" s="91"/>
      <c r="N452" s="92"/>
      <c r="O452" s="93"/>
      <c r="P452" s="93"/>
      <c r="Q452" s="93"/>
      <c r="R452" s="93"/>
      <c r="S452" s="125">
        <f t="shared" si="6"/>
        <v>450</v>
      </c>
      <c r="T452" s="94" t="s">
        <v>909</v>
      </c>
      <c r="U452" s="90" t="s">
        <v>6</v>
      </c>
      <c r="V452" s="91" t="s">
        <v>96</v>
      </c>
      <c r="W452" s="92">
        <v>0</v>
      </c>
      <c r="X452" s="93">
        <v>62.314957240197394</v>
      </c>
      <c r="Y452" s="93">
        <v>0</v>
      </c>
      <c r="Z452" s="93">
        <v>0</v>
      </c>
      <c r="AA452" s="93"/>
    </row>
    <row r="453" spans="1:27" x14ac:dyDescent="0.25">
      <c r="A453" s="88">
        <v>451</v>
      </c>
      <c r="B453" s="94" t="s">
        <v>248</v>
      </c>
      <c r="C453" s="90" t="s">
        <v>16</v>
      </c>
      <c r="D453" s="91" t="s">
        <v>69</v>
      </c>
      <c r="E453" s="92">
        <v>0</v>
      </c>
      <c r="F453" s="93">
        <v>0</v>
      </c>
      <c r="G453" s="93">
        <v>0</v>
      </c>
      <c r="H453" s="93"/>
      <c r="I453" s="93"/>
      <c r="J453" s="88"/>
      <c r="K453" s="94"/>
      <c r="L453" s="90"/>
      <c r="M453" s="91"/>
      <c r="N453" s="92"/>
      <c r="O453" s="93"/>
      <c r="P453" s="93"/>
      <c r="Q453" s="93"/>
      <c r="R453" s="93"/>
      <c r="S453" s="125">
        <f t="shared" ref="S453:S468" si="7">S452+1</f>
        <v>451</v>
      </c>
      <c r="T453" s="94" t="s">
        <v>856</v>
      </c>
      <c r="U453" s="90" t="s">
        <v>6</v>
      </c>
      <c r="V453" s="91" t="s">
        <v>69</v>
      </c>
      <c r="W453" s="92">
        <v>0</v>
      </c>
      <c r="X453" s="93">
        <v>49.453335550873589</v>
      </c>
      <c r="Y453" s="93">
        <v>0</v>
      </c>
      <c r="Z453" s="93">
        <v>0</v>
      </c>
      <c r="AA453" s="93"/>
    </row>
    <row r="454" spans="1:27" x14ac:dyDescent="0.25">
      <c r="A454" s="88">
        <v>452</v>
      </c>
      <c r="B454" s="94" t="s">
        <v>210</v>
      </c>
      <c r="C454" s="90" t="s">
        <v>6</v>
      </c>
      <c r="D454" s="91" t="s">
        <v>69</v>
      </c>
      <c r="E454" s="92">
        <v>0</v>
      </c>
      <c r="F454" s="93">
        <v>0</v>
      </c>
      <c r="G454" s="93">
        <v>0</v>
      </c>
      <c r="H454" s="93"/>
      <c r="I454" s="93"/>
      <c r="J454" s="88"/>
      <c r="K454" s="94"/>
      <c r="L454" s="90"/>
      <c r="M454" s="91"/>
      <c r="N454" s="92"/>
      <c r="O454" s="93"/>
      <c r="P454" s="93"/>
      <c r="Q454" s="93"/>
      <c r="R454" s="93"/>
      <c r="S454" s="125">
        <f t="shared" si="7"/>
        <v>452</v>
      </c>
      <c r="T454" s="94" t="s">
        <v>900</v>
      </c>
      <c r="U454" s="90" t="s">
        <v>6</v>
      </c>
      <c r="V454" s="91" t="s">
        <v>69</v>
      </c>
      <c r="W454" s="92">
        <v>0</v>
      </c>
      <c r="X454" s="93">
        <v>34.831596322857962</v>
      </c>
      <c r="Y454" s="93">
        <v>0</v>
      </c>
      <c r="Z454" s="93">
        <v>0</v>
      </c>
      <c r="AA454" s="93"/>
    </row>
    <row r="455" spans="1:27" x14ac:dyDescent="0.25">
      <c r="A455" s="88">
        <v>453</v>
      </c>
      <c r="B455" s="94" t="s">
        <v>453</v>
      </c>
      <c r="C455" s="90" t="s">
        <v>6</v>
      </c>
      <c r="D455" s="91" t="s">
        <v>62</v>
      </c>
      <c r="E455" s="92">
        <v>0</v>
      </c>
      <c r="F455" s="93">
        <v>0</v>
      </c>
      <c r="G455" s="93">
        <v>0</v>
      </c>
      <c r="H455" s="93"/>
      <c r="I455" s="93"/>
      <c r="J455" s="88"/>
      <c r="K455" s="94"/>
      <c r="L455" s="90"/>
      <c r="M455" s="91"/>
      <c r="N455" s="92"/>
      <c r="O455" s="93"/>
      <c r="P455" s="93"/>
      <c r="Q455" s="93"/>
      <c r="R455" s="93"/>
      <c r="S455" s="125">
        <f t="shared" si="7"/>
        <v>453</v>
      </c>
      <c r="T455" s="94" t="s">
        <v>207</v>
      </c>
      <c r="U455" s="90" t="s">
        <v>6</v>
      </c>
      <c r="V455" s="91" t="s">
        <v>69</v>
      </c>
      <c r="W455" s="92">
        <v>0</v>
      </c>
      <c r="X455" s="93">
        <v>51.435829495418268</v>
      </c>
      <c r="Y455" s="93">
        <v>0</v>
      </c>
      <c r="Z455" s="93">
        <v>0</v>
      </c>
      <c r="AA455" s="93"/>
    </row>
    <row r="456" spans="1:27" x14ac:dyDescent="0.25">
      <c r="A456" s="88">
        <v>454</v>
      </c>
      <c r="B456" s="94" t="s">
        <v>92</v>
      </c>
      <c r="C456" s="90" t="s">
        <v>6</v>
      </c>
      <c r="D456" s="91" t="s">
        <v>57</v>
      </c>
      <c r="E456" s="92">
        <v>0</v>
      </c>
      <c r="F456" s="93">
        <v>0</v>
      </c>
      <c r="G456" s="93">
        <v>0</v>
      </c>
      <c r="H456" s="93"/>
      <c r="I456" s="93"/>
      <c r="J456" s="88"/>
      <c r="K456" s="94"/>
      <c r="L456" s="90"/>
      <c r="M456" s="91"/>
      <c r="N456" s="92"/>
      <c r="O456" s="93"/>
      <c r="P456" s="93"/>
      <c r="Q456" s="93"/>
      <c r="R456" s="93"/>
      <c r="S456" s="125">
        <f t="shared" si="7"/>
        <v>454</v>
      </c>
      <c r="T456" s="94" t="s">
        <v>1067</v>
      </c>
      <c r="U456" s="90" t="s">
        <v>6</v>
      </c>
      <c r="V456" s="91" t="s">
        <v>62</v>
      </c>
      <c r="W456" s="92">
        <v>6</v>
      </c>
      <c r="X456" s="93">
        <v>0</v>
      </c>
      <c r="Y456" s="93">
        <v>0</v>
      </c>
      <c r="Z456" s="93">
        <v>0</v>
      </c>
      <c r="AA456" s="93"/>
    </row>
    <row r="457" spans="1:27" x14ac:dyDescent="0.25">
      <c r="A457" s="88">
        <v>455</v>
      </c>
      <c r="B457" s="94" t="s">
        <v>476</v>
      </c>
      <c r="C457" s="90" t="s">
        <v>6</v>
      </c>
      <c r="D457" s="91" t="s">
        <v>63</v>
      </c>
      <c r="E457" s="92">
        <v>0</v>
      </c>
      <c r="F457" s="93">
        <v>0</v>
      </c>
      <c r="G457" s="93">
        <v>0</v>
      </c>
      <c r="H457" s="93"/>
      <c r="I457" s="93"/>
      <c r="J457" s="88"/>
      <c r="K457" s="94"/>
      <c r="L457" s="90"/>
      <c r="M457" s="91"/>
      <c r="N457" s="92"/>
      <c r="O457" s="93"/>
      <c r="P457" s="93"/>
      <c r="Q457" s="93"/>
      <c r="R457" s="93"/>
      <c r="S457" s="125">
        <f t="shared" si="7"/>
        <v>455</v>
      </c>
      <c r="T457" s="94" t="s">
        <v>728</v>
      </c>
      <c r="U457" s="90" t="s">
        <v>6</v>
      </c>
      <c r="V457" s="91" t="s">
        <v>64</v>
      </c>
      <c r="W457" s="92">
        <v>0</v>
      </c>
      <c r="X457" s="93">
        <v>43.019579337649425</v>
      </c>
      <c r="Y457" s="93">
        <v>0</v>
      </c>
      <c r="Z457" s="93">
        <v>0</v>
      </c>
      <c r="AA457" s="93"/>
    </row>
    <row r="458" spans="1:27" x14ac:dyDescent="0.25">
      <c r="A458" s="88">
        <v>456</v>
      </c>
      <c r="B458" s="94" t="s">
        <v>484</v>
      </c>
      <c r="C458" s="90" t="s">
        <v>16</v>
      </c>
      <c r="D458" s="91" t="s">
        <v>61</v>
      </c>
      <c r="E458" s="92">
        <v>0</v>
      </c>
      <c r="F458" s="93">
        <v>0</v>
      </c>
      <c r="G458" s="93">
        <v>0</v>
      </c>
      <c r="H458" s="93"/>
      <c r="I458" s="93"/>
      <c r="J458" s="88"/>
      <c r="K458" s="94"/>
      <c r="L458" s="90"/>
      <c r="M458" s="91"/>
      <c r="N458" s="92"/>
      <c r="O458" s="93"/>
      <c r="P458" s="93"/>
      <c r="Q458" s="93"/>
      <c r="R458" s="93"/>
      <c r="S458" s="125">
        <f t="shared" si="7"/>
        <v>456</v>
      </c>
      <c r="T458" s="94" t="s">
        <v>1126</v>
      </c>
      <c r="U458" s="90" t="s">
        <v>6</v>
      </c>
      <c r="V458" s="91" t="s">
        <v>77</v>
      </c>
      <c r="W458" s="92">
        <v>2</v>
      </c>
      <c r="X458" s="93">
        <v>0</v>
      </c>
      <c r="Y458" s="93">
        <v>0</v>
      </c>
      <c r="Z458" s="93">
        <v>0</v>
      </c>
      <c r="AA458" s="93"/>
    </row>
    <row r="459" spans="1:27" x14ac:dyDescent="0.25">
      <c r="A459" s="88">
        <v>457</v>
      </c>
      <c r="B459" s="94" t="s">
        <v>153</v>
      </c>
      <c r="C459" s="90" t="s">
        <v>6</v>
      </c>
      <c r="D459" s="91" t="s">
        <v>69</v>
      </c>
      <c r="E459" s="92">
        <v>0</v>
      </c>
      <c r="F459" s="93">
        <v>0</v>
      </c>
      <c r="G459" s="93">
        <v>0</v>
      </c>
      <c r="H459" s="93"/>
      <c r="I459" s="93"/>
      <c r="J459" s="88"/>
      <c r="K459" s="94"/>
      <c r="L459" s="90"/>
      <c r="M459" s="91"/>
      <c r="N459" s="92"/>
      <c r="O459" s="93"/>
      <c r="P459" s="93"/>
      <c r="Q459" s="93"/>
      <c r="R459" s="93"/>
      <c r="S459" s="125">
        <f t="shared" si="7"/>
        <v>457</v>
      </c>
      <c r="T459" s="94" t="s">
        <v>858</v>
      </c>
      <c r="U459" s="90" t="s">
        <v>6</v>
      </c>
      <c r="V459" s="91" t="s">
        <v>67</v>
      </c>
      <c r="W459" s="92">
        <v>0</v>
      </c>
      <c r="X459" s="93">
        <v>48.036969719903745</v>
      </c>
      <c r="Y459" s="93">
        <v>0</v>
      </c>
      <c r="Z459" s="93">
        <v>0</v>
      </c>
      <c r="AA459" s="93"/>
    </row>
    <row r="460" spans="1:27" x14ac:dyDescent="0.25">
      <c r="A460" s="88">
        <v>458</v>
      </c>
      <c r="B460" s="89" t="s">
        <v>220</v>
      </c>
      <c r="C460" s="90" t="s">
        <v>16</v>
      </c>
      <c r="D460" s="91" t="s">
        <v>62</v>
      </c>
      <c r="E460" s="92">
        <v>0</v>
      </c>
      <c r="F460" s="93">
        <v>0</v>
      </c>
      <c r="G460" s="93">
        <v>0</v>
      </c>
      <c r="H460" s="93"/>
      <c r="I460" s="93"/>
      <c r="J460" s="88"/>
      <c r="K460" s="94"/>
      <c r="L460" s="90"/>
      <c r="M460" s="91"/>
      <c r="N460" s="92"/>
      <c r="O460" s="93"/>
      <c r="P460" s="93"/>
      <c r="Q460" s="93"/>
      <c r="R460" s="93"/>
      <c r="S460" s="125">
        <f t="shared" si="7"/>
        <v>458</v>
      </c>
      <c r="T460" s="94" t="s">
        <v>923</v>
      </c>
      <c r="U460" s="90" t="s">
        <v>6</v>
      </c>
      <c r="V460" s="91" t="s">
        <v>64</v>
      </c>
      <c r="W460" s="92">
        <v>0</v>
      </c>
      <c r="X460" s="93">
        <v>35.576333624308198</v>
      </c>
      <c r="Y460" s="93">
        <v>0</v>
      </c>
      <c r="Z460" s="93">
        <v>0</v>
      </c>
      <c r="AA460" s="93"/>
    </row>
    <row r="461" spans="1:27" x14ac:dyDescent="0.25">
      <c r="A461" s="88">
        <v>459</v>
      </c>
      <c r="B461" s="89" t="s">
        <v>175</v>
      </c>
      <c r="C461" s="90" t="s">
        <v>6</v>
      </c>
      <c r="D461" s="91" t="s">
        <v>61</v>
      </c>
      <c r="E461" s="92">
        <v>0</v>
      </c>
      <c r="F461" s="93">
        <v>0</v>
      </c>
      <c r="G461" s="93">
        <v>0</v>
      </c>
      <c r="H461" s="93"/>
      <c r="I461" s="93"/>
      <c r="J461" s="88"/>
      <c r="K461" s="94"/>
      <c r="L461" s="90"/>
      <c r="M461" s="91"/>
      <c r="N461" s="92"/>
      <c r="O461" s="93"/>
      <c r="P461" s="93"/>
      <c r="Q461" s="93"/>
      <c r="R461" s="93"/>
      <c r="S461" s="125">
        <f t="shared" si="7"/>
        <v>459</v>
      </c>
      <c r="T461" s="94" t="s">
        <v>395</v>
      </c>
      <c r="U461" s="90" t="s">
        <v>6</v>
      </c>
      <c r="V461" s="91" t="s">
        <v>62</v>
      </c>
      <c r="W461" s="92">
        <v>0</v>
      </c>
      <c r="X461" s="93">
        <v>51.206257322193025</v>
      </c>
      <c r="Y461" s="93">
        <v>0</v>
      </c>
      <c r="Z461" s="93">
        <v>0</v>
      </c>
      <c r="AA461" s="93"/>
    </row>
    <row r="462" spans="1:27" x14ac:dyDescent="0.25">
      <c r="A462" s="88">
        <v>460</v>
      </c>
      <c r="B462" s="94" t="s">
        <v>674</v>
      </c>
      <c r="C462" s="90" t="s">
        <v>6</v>
      </c>
      <c r="D462" s="91" t="s">
        <v>69</v>
      </c>
      <c r="E462" s="92">
        <v>0</v>
      </c>
      <c r="F462" s="93">
        <v>0</v>
      </c>
      <c r="G462" s="93">
        <v>0</v>
      </c>
      <c r="H462" s="93"/>
      <c r="I462" s="93"/>
      <c r="J462" s="88"/>
      <c r="K462" s="94"/>
      <c r="L462" s="90"/>
      <c r="M462" s="91"/>
      <c r="N462" s="92"/>
      <c r="O462" s="93"/>
      <c r="P462" s="93"/>
      <c r="Q462" s="93"/>
      <c r="R462" s="93"/>
      <c r="S462" s="125">
        <f t="shared" si="7"/>
        <v>460</v>
      </c>
      <c r="T462" s="94" t="s">
        <v>812</v>
      </c>
      <c r="U462" s="90" t="s">
        <v>6</v>
      </c>
      <c r="V462" s="91" t="s">
        <v>57</v>
      </c>
      <c r="W462" s="92">
        <v>0</v>
      </c>
      <c r="X462" s="93">
        <v>39.238841356732316</v>
      </c>
      <c r="Y462" s="93">
        <v>0</v>
      </c>
      <c r="Z462" s="93">
        <v>0</v>
      </c>
      <c r="AA462" s="93"/>
    </row>
    <row r="463" spans="1:27" x14ac:dyDescent="0.25">
      <c r="A463" s="88">
        <v>461</v>
      </c>
      <c r="B463" s="89" t="s">
        <v>477</v>
      </c>
      <c r="C463" s="90" t="s">
        <v>6</v>
      </c>
      <c r="D463" s="91" t="s">
        <v>63</v>
      </c>
      <c r="E463" s="92">
        <v>0</v>
      </c>
      <c r="F463" s="93">
        <v>0</v>
      </c>
      <c r="G463" s="93">
        <v>0</v>
      </c>
      <c r="H463" s="93"/>
      <c r="I463" s="93"/>
      <c r="J463" s="88"/>
      <c r="K463" s="94"/>
      <c r="L463" s="90"/>
      <c r="M463" s="91"/>
      <c r="N463" s="92"/>
      <c r="O463" s="93"/>
      <c r="P463" s="93"/>
      <c r="Q463" s="93"/>
      <c r="R463" s="93"/>
      <c r="S463" s="125">
        <f t="shared" si="7"/>
        <v>461</v>
      </c>
      <c r="T463" s="94" t="s">
        <v>200</v>
      </c>
      <c r="U463" s="90" t="s">
        <v>6</v>
      </c>
      <c r="V463" s="91" t="s">
        <v>62</v>
      </c>
      <c r="W463" s="92">
        <v>0</v>
      </c>
      <c r="X463" s="93">
        <v>71.847238112987299</v>
      </c>
      <c r="Y463" s="93">
        <v>0</v>
      </c>
      <c r="Z463" s="93">
        <v>0</v>
      </c>
      <c r="AA463" s="93"/>
    </row>
    <row r="464" spans="1:27" x14ac:dyDescent="0.25">
      <c r="A464" s="88">
        <v>462</v>
      </c>
      <c r="B464" s="94" t="s">
        <v>518</v>
      </c>
      <c r="C464" s="90" t="s">
        <v>6</v>
      </c>
      <c r="D464" s="91" t="s">
        <v>89</v>
      </c>
      <c r="E464" s="92">
        <v>0</v>
      </c>
      <c r="F464" s="93">
        <v>0</v>
      </c>
      <c r="G464" s="93">
        <v>0</v>
      </c>
      <c r="H464" s="93"/>
      <c r="I464" s="93"/>
      <c r="J464" s="88"/>
      <c r="K464" s="94"/>
      <c r="L464" s="90"/>
      <c r="M464" s="91"/>
      <c r="N464" s="92"/>
      <c r="O464" s="93"/>
      <c r="P464" s="93"/>
      <c r="Q464" s="93"/>
      <c r="R464" s="93"/>
      <c r="S464" s="125">
        <f t="shared" si="7"/>
        <v>462</v>
      </c>
      <c r="T464" s="94" t="s">
        <v>920</v>
      </c>
      <c r="U464" s="90" t="s">
        <v>6</v>
      </c>
      <c r="V464" s="91" t="s">
        <v>66</v>
      </c>
      <c r="W464" s="92">
        <v>0</v>
      </c>
      <c r="X464" s="93">
        <v>39.33529400467787</v>
      </c>
      <c r="Y464" s="93">
        <v>0</v>
      </c>
      <c r="Z464" s="93">
        <v>0</v>
      </c>
      <c r="AA464" s="93"/>
    </row>
    <row r="465" spans="1:27" x14ac:dyDescent="0.25">
      <c r="A465" s="88">
        <v>463</v>
      </c>
      <c r="B465" s="94" t="s">
        <v>359</v>
      </c>
      <c r="C465" s="90" t="s">
        <v>6</v>
      </c>
      <c r="D465" s="91" t="s">
        <v>63</v>
      </c>
      <c r="E465" s="92">
        <v>0</v>
      </c>
      <c r="F465" s="93">
        <v>0</v>
      </c>
      <c r="G465" s="93">
        <v>0</v>
      </c>
      <c r="H465" s="93"/>
      <c r="I465" s="93"/>
      <c r="J465" s="88"/>
      <c r="K465" s="94"/>
      <c r="L465" s="90"/>
      <c r="M465" s="91"/>
      <c r="N465" s="92"/>
      <c r="O465" s="93"/>
      <c r="P465" s="93"/>
      <c r="Q465" s="93"/>
      <c r="R465" s="93"/>
      <c r="S465" s="125">
        <f t="shared" si="7"/>
        <v>463</v>
      </c>
      <c r="T465" s="94"/>
      <c r="U465" s="90"/>
      <c r="V465" s="91"/>
      <c r="W465" s="92"/>
      <c r="X465" s="93"/>
      <c r="Y465" s="93"/>
      <c r="Z465" s="93"/>
      <c r="AA465" s="93"/>
    </row>
    <row r="466" spans="1:27" x14ac:dyDescent="0.25">
      <c r="A466" s="88">
        <v>464</v>
      </c>
      <c r="B466" s="89" t="s">
        <v>303</v>
      </c>
      <c r="C466" s="90" t="s">
        <v>6</v>
      </c>
      <c r="D466" s="91" t="s">
        <v>256</v>
      </c>
      <c r="E466" s="92">
        <v>0</v>
      </c>
      <c r="F466" s="93">
        <v>0</v>
      </c>
      <c r="G466" s="93">
        <v>0</v>
      </c>
      <c r="H466" s="93"/>
      <c r="I466" s="93"/>
      <c r="J466" s="88"/>
      <c r="K466" s="94"/>
      <c r="L466" s="90"/>
      <c r="M466" s="91"/>
      <c r="N466" s="92"/>
      <c r="O466" s="93"/>
      <c r="P466" s="93"/>
      <c r="Q466" s="93"/>
      <c r="R466" s="93"/>
      <c r="S466" s="125">
        <f t="shared" si="7"/>
        <v>464</v>
      </c>
      <c r="T466" s="94"/>
      <c r="U466" s="90"/>
      <c r="V466" s="91"/>
      <c r="W466" s="92"/>
      <c r="X466" s="93"/>
      <c r="Y466" s="93"/>
      <c r="Z466" s="93"/>
      <c r="AA466" s="93"/>
    </row>
    <row r="467" spans="1:27" x14ac:dyDescent="0.25">
      <c r="A467" s="88">
        <v>465</v>
      </c>
      <c r="B467" s="95" t="s">
        <v>425</v>
      </c>
      <c r="C467" s="88" t="s">
        <v>16</v>
      </c>
      <c r="D467" s="88" t="s">
        <v>63</v>
      </c>
      <c r="E467" s="92">
        <v>0</v>
      </c>
      <c r="F467" s="93">
        <v>0</v>
      </c>
      <c r="G467" s="93">
        <v>0</v>
      </c>
      <c r="H467" s="93"/>
      <c r="I467" s="93"/>
      <c r="J467" s="88"/>
      <c r="K467" s="94"/>
      <c r="L467" s="90"/>
      <c r="M467" s="91"/>
      <c r="N467" s="92"/>
      <c r="O467" s="93"/>
      <c r="P467" s="93"/>
      <c r="Q467" s="93"/>
      <c r="R467" s="93"/>
      <c r="S467" s="125">
        <f t="shared" si="7"/>
        <v>465</v>
      </c>
      <c r="T467" s="94"/>
      <c r="U467" s="90"/>
      <c r="V467" s="91"/>
      <c r="W467" s="92"/>
      <c r="X467" s="93"/>
      <c r="Y467" s="93"/>
      <c r="Z467" s="93"/>
      <c r="AA467" s="93"/>
    </row>
    <row r="468" spans="1:27" x14ac:dyDescent="0.25">
      <c r="A468" s="88">
        <v>466</v>
      </c>
      <c r="B468" s="94" t="s">
        <v>243</v>
      </c>
      <c r="C468" s="90" t="s">
        <v>6</v>
      </c>
      <c r="D468" s="91" t="s">
        <v>69</v>
      </c>
      <c r="E468" s="92">
        <v>0</v>
      </c>
      <c r="F468" s="93">
        <v>0</v>
      </c>
      <c r="G468" s="93">
        <v>0</v>
      </c>
      <c r="H468" s="93"/>
      <c r="I468" s="93"/>
      <c r="J468" s="88"/>
      <c r="K468" s="94"/>
      <c r="L468" s="90"/>
      <c r="M468" s="91"/>
      <c r="N468" s="92"/>
      <c r="O468" s="93"/>
      <c r="P468" s="93"/>
      <c r="Q468" s="93"/>
      <c r="R468" s="93"/>
      <c r="S468" s="125">
        <f t="shared" si="7"/>
        <v>466</v>
      </c>
      <c r="T468" s="94"/>
      <c r="U468" s="90"/>
      <c r="V468" s="91"/>
      <c r="W468" s="92"/>
      <c r="X468" s="93"/>
      <c r="Y468" s="93"/>
      <c r="Z468" s="93"/>
      <c r="AA468" s="93"/>
    </row>
    <row r="469" spans="1:27" x14ac:dyDescent="0.25">
      <c r="A469" s="88">
        <v>467</v>
      </c>
      <c r="B469" s="89" t="s">
        <v>677</v>
      </c>
      <c r="C469" s="90" t="s">
        <v>6</v>
      </c>
      <c r="D469" s="91" t="s">
        <v>96</v>
      </c>
      <c r="E469" s="92">
        <v>0</v>
      </c>
      <c r="F469" s="93">
        <v>0</v>
      </c>
      <c r="G469" s="93">
        <v>0</v>
      </c>
      <c r="H469" s="93"/>
      <c r="I469" s="93"/>
      <c r="J469" s="88"/>
      <c r="K469" s="94"/>
      <c r="L469" s="90"/>
      <c r="M469" s="91"/>
      <c r="N469" s="92"/>
      <c r="O469" s="93"/>
      <c r="P469" s="93"/>
      <c r="Q469" s="93"/>
      <c r="R469" s="93"/>
      <c r="S469" s="125"/>
      <c r="T469" s="94"/>
      <c r="U469" s="90"/>
      <c r="V469" s="91"/>
      <c r="W469" s="92"/>
      <c r="X469" s="93"/>
      <c r="Y469" s="93"/>
      <c r="Z469" s="93"/>
      <c r="AA469" s="93"/>
    </row>
    <row r="470" spans="1:27" x14ac:dyDescent="0.25">
      <c r="A470" s="88">
        <v>468</v>
      </c>
      <c r="B470" s="89" t="s">
        <v>512</v>
      </c>
      <c r="C470" s="90" t="s">
        <v>6</v>
      </c>
      <c r="D470" s="91" t="s">
        <v>77</v>
      </c>
      <c r="E470" s="92">
        <v>0</v>
      </c>
      <c r="F470" s="93">
        <v>0</v>
      </c>
      <c r="G470" s="93">
        <v>0</v>
      </c>
      <c r="H470" s="93"/>
      <c r="I470" s="93"/>
      <c r="J470" s="88"/>
      <c r="K470" s="94"/>
      <c r="L470" s="90"/>
      <c r="M470" s="91"/>
      <c r="N470" s="92"/>
      <c r="O470" s="93"/>
      <c r="P470" s="93"/>
      <c r="Q470" s="93"/>
      <c r="R470" s="93"/>
      <c r="S470" s="125"/>
      <c r="T470" s="94"/>
      <c r="U470" s="90"/>
      <c r="V470" s="91"/>
      <c r="W470" s="92"/>
      <c r="X470" s="93"/>
      <c r="Y470" s="93"/>
      <c r="Z470" s="93"/>
      <c r="AA470" s="93"/>
    </row>
    <row r="471" spans="1:27" x14ac:dyDescent="0.25">
      <c r="A471" s="88">
        <v>469</v>
      </c>
      <c r="B471" s="94" t="s">
        <v>325</v>
      </c>
      <c r="C471" s="90" t="s">
        <v>6</v>
      </c>
      <c r="D471" s="91" t="s">
        <v>77</v>
      </c>
      <c r="E471" s="92">
        <v>0</v>
      </c>
      <c r="F471" s="93">
        <v>0</v>
      </c>
      <c r="G471" s="93">
        <v>0</v>
      </c>
      <c r="H471" s="93"/>
      <c r="I471" s="93"/>
      <c r="J471" s="88"/>
      <c r="K471" s="94"/>
      <c r="L471" s="90"/>
      <c r="M471" s="91"/>
      <c r="N471" s="92"/>
      <c r="O471" s="93"/>
      <c r="P471" s="93"/>
      <c r="Q471" s="93"/>
      <c r="R471" s="93"/>
      <c r="S471" s="125"/>
      <c r="T471" s="94"/>
      <c r="U471" s="90"/>
      <c r="V471" s="91"/>
      <c r="W471" s="92"/>
      <c r="X471" s="93"/>
      <c r="Y471" s="93"/>
      <c r="Z471" s="93"/>
      <c r="AA471" s="93"/>
    </row>
    <row r="472" spans="1:27" x14ac:dyDescent="0.25">
      <c r="A472" s="88">
        <v>470</v>
      </c>
      <c r="B472" s="94" t="s">
        <v>485</v>
      </c>
      <c r="C472" s="90" t="s">
        <v>6</v>
      </c>
      <c r="D472" s="91" t="s">
        <v>61</v>
      </c>
      <c r="E472" s="92">
        <v>0</v>
      </c>
      <c r="F472" s="93">
        <v>0</v>
      </c>
      <c r="G472" s="93">
        <v>0</v>
      </c>
      <c r="H472" s="93"/>
      <c r="I472" s="93"/>
      <c r="J472" s="88"/>
      <c r="K472" s="94"/>
      <c r="L472" s="90"/>
      <c r="M472" s="91"/>
      <c r="N472" s="92"/>
      <c r="O472" s="93"/>
      <c r="P472" s="93"/>
      <c r="Q472" s="93"/>
      <c r="R472" s="93"/>
      <c r="S472" s="125"/>
      <c r="T472" s="94"/>
      <c r="U472" s="90"/>
      <c r="V472" s="91"/>
      <c r="W472" s="92"/>
      <c r="X472" s="93"/>
      <c r="Y472" s="93"/>
      <c r="Z472" s="93"/>
      <c r="AA472" s="93"/>
    </row>
    <row r="473" spans="1:27" x14ac:dyDescent="0.25">
      <c r="A473" s="88">
        <v>471</v>
      </c>
      <c r="B473" s="89" t="s">
        <v>492</v>
      </c>
      <c r="C473" s="90" t="s">
        <v>6</v>
      </c>
      <c r="D473" s="91" t="s">
        <v>63</v>
      </c>
      <c r="E473" s="92">
        <v>0</v>
      </c>
      <c r="F473" s="93">
        <v>0</v>
      </c>
      <c r="G473" s="93">
        <v>0</v>
      </c>
      <c r="H473" s="93"/>
      <c r="I473" s="93"/>
      <c r="J473" s="88"/>
      <c r="K473" s="94"/>
      <c r="L473" s="90"/>
      <c r="M473" s="91"/>
      <c r="N473" s="92"/>
      <c r="O473" s="93"/>
      <c r="P473" s="93"/>
      <c r="Q473" s="93"/>
      <c r="R473" s="93"/>
      <c r="S473" s="125"/>
      <c r="T473" s="94"/>
      <c r="U473" s="90"/>
      <c r="V473" s="91"/>
      <c r="W473" s="92"/>
      <c r="X473" s="93"/>
      <c r="Y473" s="93"/>
      <c r="Z473" s="93"/>
      <c r="AA473" s="93"/>
    </row>
    <row r="474" spans="1:27" x14ac:dyDescent="0.25">
      <c r="A474" s="88">
        <v>472</v>
      </c>
      <c r="B474" s="94" t="s">
        <v>162</v>
      </c>
      <c r="C474" s="90" t="s">
        <v>6</v>
      </c>
      <c r="D474" s="90" t="s">
        <v>69</v>
      </c>
      <c r="E474" s="92">
        <v>0</v>
      </c>
      <c r="F474" s="93">
        <v>0</v>
      </c>
      <c r="G474" s="93">
        <v>0</v>
      </c>
      <c r="H474" s="93"/>
      <c r="I474" s="93"/>
      <c r="J474" s="88"/>
      <c r="K474" s="94"/>
      <c r="L474" s="90"/>
      <c r="M474" s="91"/>
      <c r="N474" s="92"/>
      <c r="O474" s="93"/>
      <c r="P474" s="93"/>
      <c r="Q474" s="93"/>
      <c r="R474" s="93"/>
      <c r="S474" s="125"/>
      <c r="T474" s="94"/>
      <c r="U474" s="90"/>
      <c r="V474" s="91"/>
      <c r="W474" s="92"/>
      <c r="X474" s="93"/>
      <c r="Y474" s="93"/>
      <c r="Z474" s="93"/>
      <c r="AA474" s="93"/>
    </row>
    <row r="475" spans="1:27" x14ac:dyDescent="0.25">
      <c r="A475" s="88">
        <v>473</v>
      </c>
      <c r="B475" s="89" t="s">
        <v>283</v>
      </c>
      <c r="C475" s="90" t="s">
        <v>6</v>
      </c>
      <c r="D475" s="91" t="s">
        <v>62</v>
      </c>
      <c r="E475" s="92">
        <v>0</v>
      </c>
      <c r="F475" s="93">
        <v>0</v>
      </c>
      <c r="G475" s="93">
        <v>0</v>
      </c>
      <c r="H475" s="93"/>
      <c r="I475" s="93"/>
      <c r="J475" s="88"/>
      <c r="K475" s="94"/>
      <c r="L475" s="90"/>
      <c r="M475" s="91"/>
      <c r="N475" s="92"/>
      <c r="O475" s="93"/>
      <c r="P475" s="93"/>
      <c r="Q475" s="93"/>
      <c r="R475" s="93"/>
      <c r="S475" s="125"/>
      <c r="T475" s="94"/>
      <c r="U475" s="90"/>
      <c r="V475" s="91"/>
      <c r="W475" s="92"/>
      <c r="X475" s="93"/>
      <c r="Y475" s="93"/>
      <c r="Z475" s="93"/>
      <c r="AA475" s="93"/>
    </row>
    <row r="476" spans="1:27" x14ac:dyDescent="0.25">
      <c r="A476" s="88">
        <v>474</v>
      </c>
      <c r="B476" s="94" t="s">
        <v>379</v>
      </c>
      <c r="C476" s="90" t="s">
        <v>16</v>
      </c>
      <c r="D476" s="91" t="s">
        <v>58</v>
      </c>
      <c r="E476" s="92">
        <v>0</v>
      </c>
      <c r="F476" s="93">
        <v>0</v>
      </c>
      <c r="G476" s="93">
        <v>0</v>
      </c>
      <c r="H476" s="93"/>
      <c r="I476" s="93"/>
      <c r="J476" s="88"/>
      <c r="K476" s="94"/>
      <c r="L476" s="90"/>
      <c r="M476" s="91"/>
      <c r="N476" s="92"/>
      <c r="O476" s="93"/>
      <c r="P476" s="93"/>
      <c r="Q476" s="93"/>
      <c r="R476" s="93"/>
      <c r="S476" s="125"/>
      <c r="T476" s="94"/>
      <c r="U476" s="90"/>
      <c r="V476" s="91"/>
      <c r="W476" s="92"/>
      <c r="X476" s="93"/>
      <c r="Y476" s="93"/>
      <c r="Z476" s="93"/>
      <c r="AA476" s="93"/>
    </row>
    <row r="477" spans="1:27" x14ac:dyDescent="0.25">
      <c r="A477" s="88">
        <v>475</v>
      </c>
      <c r="B477" s="96" t="s">
        <v>274</v>
      </c>
      <c r="C477" s="90" t="s">
        <v>16</v>
      </c>
      <c r="D477" s="91" t="s">
        <v>58</v>
      </c>
      <c r="E477" s="92">
        <v>0</v>
      </c>
      <c r="F477" s="93">
        <v>0</v>
      </c>
      <c r="G477" s="93">
        <v>0</v>
      </c>
      <c r="H477" s="93"/>
      <c r="I477" s="93"/>
      <c r="J477" s="88"/>
      <c r="K477" s="94"/>
      <c r="L477" s="90"/>
      <c r="M477" s="91"/>
      <c r="N477" s="92"/>
      <c r="O477" s="93"/>
      <c r="P477" s="93"/>
      <c r="Q477" s="93"/>
      <c r="R477" s="93"/>
      <c r="S477" s="125"/>
      <c r="T477" s="94"/>
      <c r="U477" s="90"/>
      <c r="V477" s="91"/>
      <c r="W477" s="92"/>
      <c r="X477" s="93"/>
      <c r="Y477" s="93"/>
      <c r="Z477" s="93"/>
      <c r="AA477" s="93"/>
    </row>
    <row r="478" spans="1:27" x14ac:dyDescent="0.25">
      <c r="A478" s="88">
        <v>476</v>
      </c>
      <c r="B478" s="94" t="s">
        <v>208</v>
      </c>
      <c r="C478" s="90" t="s">
        <v>6</v>
      </c>
      <c r="D478" s="91" t="s">
        <v>69</v>
      </c>
      <c r="E478" s="92">
        <v>0</v>
      </c>
      <c r="F478" s="93">
        <v>0</v>
      </c>
      <c r="G478" s="93">
        <v>0</v>
      </c>
      <c r="H478" s="93"/>
      <c r="I478" s="93"/>
      <c r="J478" s="88"/>
      <c r="K478" s="94"/>
      <c r="L478" s="90"/>
      <c r="M478" s="91"/>
      <c r="N478" s="92"/>
      <c r="O478" s="93"/>
      <c r="P478" s="93"/>
      <c r="Q478" s="93"/>
      <c r="R478" s="93"/>
      <c r="S478" s="125"/>
      <c r="T478" s="94"/>
      <c r="U478" s="90"/>
      <c r="V478" s="91"/>
      <c r="W478" s="92"/>
      <c r="X478" s="93"/>
      <c r="Y478" s="93"/>
      <c r="Z478" s="93"/>
      <c r="AA478" s="93"/>
    </row>
    <row r="479" spans="1:27" x14ac:dyDescent="0.25">
      <c r="A479" s="88">
        <v>477</v>
      </c>
      <c r="B479" s="89" t="s">
        <v>672</v>
      </c>
      <c r="C479" s="90" t="s">
        <v>16</v>
      </c>
      <c r="D479" s="91" t="s">
        <v>57</v>
      </c>
      <c r="E479" s="92">
        <v>0</v>
      </c>
      <c r="F479" s="93">
        <v>0</v>
      </c>
      <c r="G479" s="93">
        <v>0</v>
      </c>
      <c r="H479" s="93"/>
      <c r="I479" s="93"/>
      <c r="J479" s="88"/>
      <c r="K479" s="94"/>
      <c r="L479" s="90"/>
      <c r="M479" s="91"/>
      <c r="N479" s="92"/>
      <c r="O479" s="93"/>
      <c r="P479" s="93"/>
      <c r="Q479" s="93"/>
      <c r="R479" s="93"/>
      <c r="S479" s="125"/>
      <c r="T479" s="94"/>
      <c r="U479" s="90"/>
      <c r="V479" s="91"/>
      <c r="W479" s="92"/>
      <c r="X479" s="93"/>
      <c r="Y479" s="93"/>
      <c r="Z479" s="93"/>
      <c r="AA479" s="93"/>
    </row>
    <row r="480" spans="1:27" x14ac:dyDescent="0.25">
      <c r="A480" s="88">
        <v>478</v>
      </c>
      <c r="B480" s="94" t="s">
        <v>436</v>
      </c>
      <c r="C480" s="90" t="s">
        <v>6</v>
      </c>
      <c r="D480" s="91" t="s">
        <v>69</v>
      </c>
      <c r="E480" s="92">
        <v>0</v>
      </c>
      <c r="F480" s="93">
        <v>0</v>
      </c>
      <c r="G480" s="93">
        <v>0</v>
      </c>
      <c r="H480" s="93"/>
      <c r="I480" s="93"/>
      <c r="J480" s="88"/>
      <c r="K480" s="94"/>
      <c r="L480" s="90"/>
      <c r="M480" s="91"/>
      <c r="N480" s="92"/>
      <c r="O480" s="93"/>
      <c r="P480" s="93"/>
      <c r="Q480" s="93"/>
      <c r="R480" s="93"/>
      <c r="S480" s="125"/>
      <c r="T480" s="94"/>
      <c r="U480" s="90"/>
      <c r="V480" s="91"/>
      <c r="W480" s="92"/>
      <c r="X480" s="93"/>
      <c r="Y480" s="93"/>
      <c r="Z480" s="93"/>
      <c r="AA480" s="93"/>
    </row>
    <row r="481" spans="1:27" x14ac:dyDescent="0.25">
      <c r="A481" s="88">
        <v>479</v>
      </c>
      <c r="B481" s="94" t="s">
        <v>291</v>
      </c>
      <c r="C481" s="90" t="s">
        <v>16</v>
      </c>
      <c r="D481" s="91" t="s">
        <v>57</v>
      </c>
      <c r="E481" s="92">
        <v>0</v>
      </c>
      <c r="F481" s="93">
        <v>0</v>
      </c>
      <c r="G481" s="93">
        <v>0</v>
      </c>
      <c r="H481" s="93"/>
      <c r="I481" s="93"/>
      <c r="J481" s="88"/>
      <c r="K481" s="94"/>
      <c r="L481" s="90"/>
      <c r="M481" s="91"/>
      <c r="N481" s="92"/>
      <c r="O481" s="93"/>
      <c r="P481" s="93"/>
      <c r="Q481" s="93"/>
      <c r="R481" s="93"/>
      <c r="S481" s="125"/>
      <c r="T481" s="94"/>
      <c r="U481" s="90"/>
      <c r="V481" s="91"/>
      <c r="W481" s="92"/>
      <c r="X481" s="93"/>
      <c r="Y481" s="93"/>
      <c r="Z481" s="93"/>
      <c r="AA481" s="93"/>
    </row>
    <row r="482" spans="1:27" x14ac:dyDescent="0.25">
      <c r="A482" s="88">
        <v>480</v>
      </c>
      <c r="B482" s="89" t="s">
        <v>301</v>
      </c>
      <c r="C482" s="90" t="s">
        <v>6</v>
      </c>
      <c r="D482" s="91" t="s">
        <v>96</v>
      </c>
      <c r="E482" s="92">
        <v>0</v>
      </c>
      <c r="F482" s="93">
        <v>0</v>
      </c>
      <c r="G482" s="93">
        <v>0</v>
      </c>
      <c r="H482" s="93"/>
      <c r="I482" s="93"/>
      <c r="J482" s="88"/>
      <c r="K482" s="94"/>
      <c r="L482" s="90"/>
      <c r="M482" s="91"/>
      <c r="N482" s="92"/>
      <c r="O482" s="93"/>
      <c r="P482" s="93"/>
      <c r="Q482" s="93"/>
      <c r="R482" s="93"/>
      <c r="S482" s="125"/>
      <c r="T482" s="94"/>
      <c r="U482" s="90"/>
      <c r="V482" s="91"/>
      <c r="W482" s="92"/>
      <c r="X482" s="93"/>
      <c r="Y482" s="93"/>
      <c r="Z482" s="93"/>
      <c r="AA482" s="93"/>
    </row>
    <row r="483" spans="1:27" x14ac:dyDescent="0.25">
      <c r="A483" s="88">
        <v>481</v>
      </c>
      <c r="B483" s="89" t="s">
        <v>322</v>
      </c>
      <c r="C483" s="90" t="s">
        <v>6</v>
      </c>
      <c r="D483" s="91" t="s">
        <v>80</v>
      </c>
      <c r="E483" s="92">
        <v>0</v>
      </c>
      <c r="F483" s="93">
        <v>0</v>
      </c>
      <c r="G483" s="93">
        <v>0</v>
      </c>
      <c r="H483" s="93"/>
      <c r="I483" s="93"/>
      <c r="J483" s="88"/>
      <c r="K483" s="94"/>
      <c r="L483" s="90"/>
      <c r="M483" s="91"/>
      <c r="N483" s="92"/>
      <c r="O483" s="93"/>
      <c r="P483" s="93"/>
      <c r="Q483" s="93"/>
      <c r="R483" s="93"/>
      <c r="S483" s="125"/>
      <c r="T483" s="94"/>
      <c r="U483" s="90"/>
      <c r="V483" s="91"/>
      <c r="W483" s="92"/>
      <c r="X483" s="93"/>
      <c r="Y483" s="93"/>
      <c r="Z483" s="93"/>
      <c r="AA483" s="93"/>
    </row>
    <row r="484" spans="1:27" x14ac:dyDescent="0.25">
      <c r="A484" s="88">
        <v>482</v>
      </c>
      <c r="B484" s="89" t="s">
        <v>289</v>
      </c>
      <c r="C484" s="90" t="s">
        <v>6</v>
      </c>
      <c r="D484" s="91" t="s">
        <v>69</v>
      </c>
      <c r="E484" s="92">
        <v>0</v>
      </c>
      <c r="F484" s="93">
        <v>0</v>
      </c>
      <c r="G484" s="93">
        <v>0</v>
      </c>
      <c r="H484" s="93"/>
      <c r="I484" s="93"/>
      <c r="J484" s="88"/>
      <c r="K484" s="94"/>
      <c r="L484" s="90"/>
      <c r="M484" s="91"/>
      <c r="N484" s="92"/>
      <c r="O484" s="93"/>
      <c r="P484" s="93"/>
      <c r="Q484" s="93"/>
      <c r="R484" s="93"/>
      <c r="S484" s="125"/>
      <c r="T484" s="94"/>
      <c r="U484" s="90"/>
      <c r="V484" s="91"/>
      <c r="W484" s="92"/>
      <c r="X484" s="93"/>
      <c r="Y484" s="93"/>
      <c r="Z484" s="93"/>
      <c r="AA484" s="93"/>
    </row>
    <row r="485" spans="1:27" x14ac:dyDescent="0.25">
      <c r="A485" s="88">
        <v>483</v>
      </c>
      <c r="B485" s="94" t="s">
        <v>201</v>
      </c>
      <c r="C485" s="90" t="s">
        <v>6</v>
      </c>
      <c r="D485" s="91" t="s">
        <v>62</v>
      </c>
      <c r="E485" s="92">
        <v>0</v>
      </c>
      <c r="F485" s="93">
        <v>0</v>
      </c>
      <c r="G485" s="93">
        <v>0</v>
      </c>
      <c r="H485" s="93"/>
      <c r="I485" s="93"/>
      <c r="J485" s="88"/>
      <c r="K485" s="94"/>
      <c r="L485" s="90"/>
      <c r="M485" s="91"/>
      <c r="N485" s="92"/>
      <c r="O485" s="93"/>
      <c r="P485" s="93"/>
      <c r="Q485" s="93"/>
      <c r="R485" s="93"/>
      <c r="S485" s="125"/>
      <c r="T485" s="94"/>
      <c r="U485" s="90"/>
      <c r="V485" s="91"/>
      <c r="W485" s="92"/>
      <c r="X485" s="93"/>
      <c r="Y485" s="93"/>
      <c r="Z485" s="93"/>
      <c r="AA485" s="93"/>
    </row>
    <row r="486" spans="1:27" x14ac:dyDescent="0.25">
      <c r="A486" s="88">
        <v>484</v>
      </c>
      <c r="B486" s="94" t="s">
        <v>668</v>
      </c>
      <c r="C486" s="90" t="s">
        <v>6</v>
      </c>
      <c r="D486" s="91" t="s">
        <v>63</v>
      </c>
      <c r="E486" s="92">
        <v>0</v>
      </c>
      <c r="F486" s="93">
        <v>0</v>
      </c>
      <c r="G486" s="93">
        <v>0</v>
      </c>
      <c r="H486" s="93"/>
      <c r="I486" s="93"/>
      <c r="J486" s="88"/>
      <c r="K486" s="94"/>
      <c r="L486" s="90"/>
      <c r="M486" s="91"/>
      <c r="N486" s="92"/>
      <c r="O486" s="93"/>
      <c r="P486" s="93"/>
      <c r="Q486" s="93"/>
      <c r="R486" s="93"/>
      <c r="S486" s="125"/>
      <c r="T486" s="94"/>
      <c r="U486" s="90"/>
      <c r="V486" s="91"/>
      <c r="W486" s="92"/>
      <c r="X486" s="93"/>
      <c r="Y486" s="93"/>
      <c r="Z486" s="93"/>
      <c r="AA486" s="93"/>
    </row>
    <row r="487" spans="1:27" x14ac:dyDescent="0.25">
      <c r="A487" s="88">
        <v>485</v>
      </c>
      <c r="B487" s="89" t="s">
        <v>667</v>
      </c>
      <c r="C487" s="90" t="s">
        <v>6</v>
      </c>
      <c r="D487" s="91" t="s">
        <v>62</v>
      </c>
      <c r="E487" s="92">
        <v>0</v>
      </c>
      <c r="F487" s="93">
        <v>0</v>
      </c>
      <c r="G487" s="93">
        <v>0</v>
      </c>
      <c r="H487" s="93"/>
      <c r="I487" s="93"/>
      <c r="J487" s="88"/>
      <c r="K487" s="94"/>
      <c r="L487" s="90"/>
      <c r="M487" s="91"/>
      <c r="N487" s="92"/>
      <c r="O487" s="93"/>
      <c r="P487" s="93"/>
      <c r="Q487" s="93"/>
      <c r="R487" s="93"/>
      <c r="S487" s="125"/>
      <c r="T487" s="94"/>
      <c r="U487" s="90"/>
      <c r="V487" s="91"/>
      <c r="W487" s="92"/>
      <c r="X487" s="93"/>
      <c r="Y487" s="93"/>
      <c r="Z487" s="93"/>
      <c r="AA487" s="93"/>
    </row>
    <row r="488" spans="1:27" x14ac:dyDescent="0.25">
      <c r="A488" s="88">
        <v>486</v>
      </c>
      <c r="B488" s="94" t="s">
        <v>73</v>
      </c>
      <c r="C488" s="90" t="s">
        <v>6</v>
      </c>
      <c r="D488" s="91" t="s">
        <v>57</v>
      </c>
      <c r="E488" s="92">
        <v>0</v>
      </c>
      <c r="F488" s="93">
        <v>0</v>
      </c>
      <c r="G488" s="93">
        <v>0</v>
      </c>
      <c r="H488" s="93"/>
      <c r="I488" s="93"/>
      <c r="J488" s="88"/>
      <c r="K488" s="94"/>
      <c r="L488" s="90"/>
      <c r="M488" s="91"/>
      <c r="N488" s="92"/>
      <c r="O488" s="93"/>
      <c r="P488" s="93"/>
      <c r="Q488" s="93"/>
      <c r="R488" s="93"/>
      <c r="S488" s="125"/>
      <c r="T488" s="94"/>
      <c r="U488" s="90"/>
      <c r="V488" s="91"/>
      <c r="W488" s="92"/>
      <c r="X488" s="93"/>
      <c r="Y488" s="93"/>
      <c r="Z488" s="93"/>
      <c r="AA488" s="93"/>
    </row>
    <row r="489" spans="1:27" x14ac:dyDescent="0.25">
      <c r="A489" s="88">
        <v>487</v>
      </c>
      <c r="B489" s="89" t="s">
        <v>73</v>
      </c>
      <c r="C489" s="90" t="s">
        <v>6</v>
      </c>
      <c r="D489" s="91" t="s">
        <v>58</v>
      </c>
      <c r="E489" s="92">
        <v>0</v>
      </c>
      <c r="F489" s="93">
        <v>0</v>
      </c>
      <c r="G489" s="93">
        <v>0</v>
      </c>
      <c r="H489" s="93"/>
      <c r="I489" s="93"/>
      <c r="J489" s="88"/>
      <c r="K489" s="94"/>
      <c r="L489" s="90"/>
      <c r="M489" s="91"/>
      <c r="N489" s="92"/>
      <c r="O489" s="93"/>
      <c r="P489" s="93"/>
      <c r="Q489" s="93"/>
      <c r="R489" s="93"/>
      <c r="S489" s="125"/>
      <c r="T489" s="94"/>
      <c r="U489" s="90"/>
      <c r="V489" s="91"/>
      <c r="W489" s="92"/>
      <c r="X489" s="93"/>
      <c r="Y489" s="93"/>
      <c r="Z489" s="93"/>
      <c r="AA489" s="93"/>
    </row>
    <row r="490" spans="1:27" x14ac:dyDescent="0.25">
      <c r="A490" s="88">
        <v>488</v>
      </c>
      <c r="B490" s="94" t="s">
        <v>385</v>
      </c>
      <c r="C490" s="90" t="s">
        <v>16</v>
      </c>
      <c r="D490" s="91" t="s">
        <v>62</v>
      </c>
      <c r="E490" s="92">
        <v>0</v>
      </c>
      <c r="F490" s="93">
        <v>0</v>
      </c>
      <c r="G490" s="93">
        <v>0</v>
      </c>
      <c r="H490" s="93"/>
      <c r="I490" s="93"/>
      <c r="J490" s="88"/>
      <c r="K490" s="94"/>
      <c r="L490" s="90"/>
      <c r="M490" s="91"/>
      <c r="N490" s="92"/>
      <c r="O490" s="93"/>
      <c r="P490" s="93"/>
      <c r="Q490" s="93"/>
      <c r="R490" s="93"/>
      <c r="S490" s="125"/>
      <c r="T490" s="94"/>
      <c r="U490" s="90"/>
      <c r="V490" s="91"/>
      <c r="W490" s="92"/>
      <c r="X490" s="93"/>
      <c r="Y490" s="93"/>
      <c r="Z490" s="93"/>
      <c r="AA490" s="93"/>
    </row>
    <row r="491" spans="1:27" x14ac:dyDescent="0.25">
      <c r="A491" s="88">
        <v>489</v>
      </c>
      <c r="B491" s="89" t="s">
        <v>234</v>
      </c>
      <c r="C491" s="90" t="s">
        <v>16</v>
      </c>
      <c r="D491" s="91" t="s">
        <v>89</v>
      </c>
      <c r="E491" s="92">
        <v>0</v>
      </c>
      <c r="F491" s="93">
        <v>0</v>
      </c>
      <c r="G491" s="93">
        <v>0</v>
      </c>
      <c r="H491" s="93"/>
      <c r="I491" s="93"/>
      <c r="J491" s="88"/>
      <c r="K491" s="94"/>
      <c r="L491" s="90"/>
      <c r="M491" s="91"/>
      <c r="N491" s="92"/>
      <c r="O491" s="93"/>
      <c r="P491" s="93"/>
      <c r="Q491" s="93"/>
      <c r="R491" s="93"/>
      <c r="S491" s="125"/>
      <c r="T491" s="94"/>
      <c r="U491" s="90"/>
      <c r="V491" s="91"/>
      <c r="W491" s="92"/>
      <c r="X491" s="93"/>
      <c r="Y491" s="93"/>
      <c r="Z491" s="93"/>
      <c r="AA491" s="93"/>
    </row>
    <row r="492" spans="1:27" x14ac:dyDescent="0.25">
      <c r="A492" s="88">
        <v>490</v>
      </c>
      <c r="B492" s="89" t="s">
        <v>704</v>
      </c>
      <c r="C492" s="90" t="s">
        <v>6</v>
      </c>
      <c r="D492" s="91" t="s">
        <v>58</v>
      </c>
      <c r="E492" s="92">
        <v>0</v>
      </c>
      <c r="F492" s="93">
        <v>0</v>
      </c>
      <c r="G492" s="93">
        <v>0</v>
      </c>
      <c r="H492" s="93"/>
      <c r="I492" s="93"/>
      <c r="J492" s="88"/>
      <c r="K492" s="94"/>
      <c r="L492" s="90"/>
      <c r="M492" s="91"/>
      <c r="N492" s="92"/>
      <c r="O492" s="93"/>
      <c r="P492" s="93"/>
      <c r="Q492" s="93"/>
      <c r="R492" s="93"/>
      <c r="S492" s="125"/>
      <c r="T492" s="94"/>
      <c r="U492" s="90"/>
      <c r="V492" s="91"/>
      <c r="W492" s="92"/>
      <c r="X492" s="93"/>
      <c r="Y492" s="93"/>
      <c r="Z492" s="93"/>
      <c r="AA492" s="93"/>
    </row>
    <row r="493" spans="1:27" x14ac:dyDescent="0.25">
      <c r="A493" s="88">
        <v>491</v>
      </c>
      <c r="B493" s="94" t="s">
        <v>699</v>
      </c>
      <c r="C493" s="90" t="s">
        <v>6</v>
      </c>
      <c r="D493" s="91" t="s">
        <v>78</v>
      </c>
      <c r="E493" s="92">
        <v>0</v>
      </c>
      <c r="F493" s="93">
        <v>0</v>
      </c>
      <c r="G493" s="93">
        <v>0</v>
      </c>
      <c r="H493" s="93"/>
      <c r="I493" s="93"/>
      <c r="J493" s="88"/>
      <c r="K493" s="94"/>
      <c r="L493" s="90"/>
      <c r="M493" s="91"/>
      <c r="N493" s="92"/>
      <c r="O493" s="93"/>
      <c r="P493" s="93"/>
      <c r="Q493" s="93"/>
      <c r="R493" s="93"/>
      <c r="S493" s="125"/>
      <c r="T493" s="94"/>
      <c r="U493" s="90"/>
      <c r="V493" s="91"/>
      <c r="W493" s="92"/>
      <c r="X493" s="93"/>
      <c r="Y493" s="93"/>
      <c r="Z493" s="93"/>
      <c r="AA493" s="93"/>
    </row>
    <row r="494" spans="1:27" x14ac:dyDescent="0.25">
      <c r="A494" s="88">
        <v>492</v>
      </c>
      <c r="B494" s="94" t="s">
        <v>468</v>
      </c>
      <c r="C494" s="90" t="s">
        <v>6</v>
      </c>
      <c r="D494" s="90" t="s">
        <v>62</v>
      </c>
      <c r="E494" s="92">
        <v>0</v>
      </c>
      <c r="F494" s="93">
        <v>0</v>
      </c>
      <c r="G494" s="93">
        <v>0</v>
      </c>
      <c r="H494" s="93"/>
      <c r="I494" s="93"/>
      <c r="J494" s="88"/>
      <c r="K494" s="94"/>
      <c r="L494" s="90"/>
      <c r="M494" s="91"/>
      <c r="N494" s="92"/>
      <c r="O494" s="93"/>
      <c r="P494" s="93"/>
      <c r="Q494" s="93"/>
      <c r="R494" s="93"/>
      <c r="S494" s="125"/>
      <c r="T494" s="94"/>
      <c r="U494" s="90"/>
      <c r="V494" s="91"/>
      <c r="W494" s="92"/>
      <c r="X494" s="93"/>
      <c r="Y494" s="93"/>
      <c r="Z494" s="93"/>
      <c r="AA494" s="93"/>
    </row>
    <row r="495" spans="1:27" x14ac:dyDescent="0.25">
      <c r="A495" s="88">
        <v>493</v>
      </c>
      <c r="B495" s="94" t="s">
        <v>252</v>
      </c>
      <c r="C495" s="90" t="s">
        <v>6</v>
      </c>
      <c r="D495" s="91" t="s">
        <v>67</v>
      </c>
      <c r="E495" s="92">
        <v>0</v>
      </c>
      <c r="F495" s="93">
        <v>0</v>
      </c>
      <c r="G495" s="93">
        <v>0</v>
      </c>
      <c r="H495" s="93"/>
      <c r="I495" s="93"/>
      <c r="J495" s="88"/>
      <c r="K495" s="94"/>
      <c r="L495" s="90"/>
      <c r="M495" s="91"/>
      <c r="N495" s="92"/>
      <c r="O495" s="93"/>
      <c r="P495" s="93"/>
      <c r="Q495" s="93"/>
      <c r="R495" s="93"/>
      <c r="S495" s="125"/>
      <c r="T495" s="94"/>
      <c r="U495" s="90"/>
      <c r="V495" s="91"/>
      <c r="W495" s="92"/>
      <c r="X495" s="93"/>
      <c r="Y495" s="93"/>
      <c r="Z495" s="93"/>
      <c r="AA495" s="93"/>
    </row>
    <row r="496" spans="1:27" x14ac:dyDescent="0.25">
      <c r="A496" s="88">
        <v>494</v>
      </c>
      <c r="B496" s="94" t="s">
        <v>470</v>
      </c>
      <c r="C496" s="90" t="s">
        <v>6</v>
      </c>
      <c r="D496" s="91" t="s">
        <v>63</v>
      </c>
      <c r="E496" s="92">
        <v>0</v>
      </c>
      <c r="F496" s="93">
        <v>0</v>
      </c>
      <c r="G496" s="93">
        <v>0</v>
      </c>
      <c r="H496" s="93"/>
      <c r="I496" s="93"/>
      <c r="J496" s="88"/>
      <c r="K496" s="94"/>
      <c r="L496" s="90"/>
      <c r="M496" s="91"/>
      <c r="N496" s="92"/>
      <c r="O496" s="93"/>
      <c r="P496" s="93"/>
      <c r="Q496" s="93"/>
      <c r="R496" s="93"/>
      <c r="S496" s="125"/>
      <c r="T496" s="94"/>
      <c r="U496" s="90"/>
      <c r="V496" s="91"/>
      <c r="W496" s="92"/>
      <c r="X496" s="93"/>
      <c r="Y496" s="93"/>
      <c r="Z496" s="93"/>
      <c r="AA496" s="93"/>
    </row>
    <row r="497" spans="1:27" x14ac:dyDescent="0.25">
      <c r="A497" s="88">
        <v>495</v>
      </c>
      <c r="B497" s="94" t="s">
        <v>323</v>
      </c>
      <c r="C497" s="90" t="s">
        <v>6</v>
      </c>
      <c r="D497" s="91" t="s">
        <v>61</v>
      </c>
      <c r="E497" s="92">
        <v>0</v>
      </c>
      <c r="F497" s="93">
        <v>0</v>
      </c>
      <c r="G497" s="93">
        <v>0</v>
      </c>
      <c r="H497" s="93"/>
      <c r="I497" s="93"/>
      <c r="J497" s="88"/>
      <c r="K497" s="94"/>
      <c r="L497" s="90"/>
      <c r="M497" s="91"/>
      <c r="N497" s="92"/>
      <c r="O497" s="93"/>
      <c r="P497" s="93"/>
      <c r="Q497" s="93"/>
      <c r="R497" s="93"/>
      <c r="S497" s="125"/>
      <c r="T497" s="94"/>
      <c r="U497" s="90"/>
      <c r="V497" s="91"/>
      <c r="W497" s="92"/>
      <c r="X497" s="93"/>
      <c r="Y497" s="93"/>
      <c r="Z497" s="93"/>
      <c r="AA497" s="93"/>
    </row>
    <row r="498" spans="1:27" x14ac:dyDescent="0.25">
      <c r="A498" s="88">
        <v>496</v>
      </c>
      <c r="B498" s="94" t="s">
        <v>390</v>
      </c>
      <c r="C498" s="90" t="s">
        <v>16</v>
      </c>
      <c r="D498" s="91" t="s">
        <v>57</v>
      </c>
      <c r="E498" s="92">
        <v>0</v>
      </c>
      <c r="F498" s="93">
        <v>0</v>
      </c>
      <c r="G498" s="93">
        <v>0</v>
      </c>
      <c r="H498" s="93"/>
      <c r="I498" s="93"/>
      <c r="J498" s="88"/>
      <c r="K498" s="94"/>
      <c r="L498" s="90"/>
      <c r="M498" s="91"/>
      <c r="N498" s="92"/>
      <c r="O498" s="93"/>
      <c r="P498" s="93"/>
      <c r="Q498" s="93"/>
      <c r="R498" s="93"/>
      <c r="S498" s="125"/>
      <c r="T498" s="94"/>
      <c r="U498" s="90"/>
      <c r="V498" s="91"/>
      <c r="W498" s="92"/>
      <c r="X498" s="93"/>
      <c r="Y498" s="93"/>
      <c r="Z498" s="93"/>
      <c r="AA498" s="93"/>
    </row>
    <row r="499" spans="1:27" x14ac:dyDescent="0.25">
      <c r="A499" s="88">
        <v>497</v>
      </c>
      <c r="B499" s="94" t="s">
        <v>260</v>
      </c>
      <c r="C499" s="90" t="s">
        <v>6</v>
      </c>
      <c r="D499" s="91" t="s">
        <v>57</v>
      </c>
      <c r="E499" s="92">
        <v>0</v>
      </c>
      <c r="F499" s="93">
        <v>0</v>
      </c>
      <c r="G499" s="93">
        <v>0</v>
      </c>
      <c r="H499" s="93"/>
      <c r="I499" s="93"/>
      <c r="J499" s="88"/>
      <c r="K499" s="94"/>
      <c r="L499" s="90"/>
      <c r="M499" s="91"/>
      <c r="N499" s="92"/>
      <c r="O499" s="93"/>
      <c r="P499" s="93"/>
      <c r="Q499" s="93"/>
      <c r="R499" s="93"/>
      <c r="S499" s="125"/>
      <c r="T499" s="94"/>
      <c r="U499" s="90"/>
      <c r="V499" s="91"/>
      <c r="W499" s="92"/>
      <c r="X499" s="93"/>
      <c r="Y499" s="93"/>
      <c r="Z499" s="93"/>
      <c r="AA499" s="93"/>
    </row>
    <row r="500" spans="1:27" x14ac:dyDescent="0.25">
      <c r="A500" s="88">
        <v>498</v>
      </c>
      <c r="B500" s="94" t="s">
        <v>221</v>
      </c>
      <c r="C500" s="90" t="s">
        <v>6</v>
      </c>
      <c r="D500" s="91" t="s">
        <v>59</v>
      </c>
      <c r="E500" s="92">
        <v>0</v>
      </c>
      <c r="F500" s="93">
        <v>0</v>
      </c>
      <c r="G500" s="93">
        <v>0</v>
      </c>
      <c r="H500" s="93"/>
      <c r="I500" s="93"/>
      <c r="J500" s="88"/>
      <c r="K500" s="94"/>
      <c r="L500" s="90"/>
      <c r="M500" s="91"/>
      <c r="N500" s="92"/>
      <c r="O500" s="93"/>
      <c r="P500" s="93"/>
      <c r="Q500" s="93"/>
      <c r="R500" s="93"/>
      <c r="S500" s="125"/>
      <c r="T500" s="94"/>
      <c r="U500" s="90"/>
      <c r="V500" s="91"/>
      <c r="W500" s="92"/>
      <c r="X500" s="93"/>
      <c r="Y500" s="93"/>
      <c r="Z500" s="93"/>
      <c r="AA500" s="93"/>
    </row>
    <row r="501" spans="1:27" x14ac:dyDescent="0.25">
      <c r="A501" s="88">
        <v>499</v>
      </c>
      <c r="B501" s="89" t="s">
        <v>163</v>
      </c>
      <c r="C501" s="90" t="s">
        <v>6</v>
      </c>
      <c r="D501" s="91" t="s">
        <v>62</v>
      </c>
      <c r="E501" s="92">
        <v>0</v>
      </c>
      <c r="F501" s="93">
        <v>0</v>
      </c>
      <c r="G501" s="93">
        <v>0</v>
      </c>
      <c r="H501" s="93"/>
      <c r="I501" s="93"/>
      <c r="J501" s="88"/>
      <c r="K501" s="94"/>
      <c r="L501" s="90"/>
      <c r="M501" s="91"/>
      <c r="N501" s="92"/>
      <c r="O501" s="93"/>
      <c r="P501" s="93"/>
      <c r="Q501" s="93"/>
      <c r="R501" s="93"/>
      <c r="S501" s="125"/>
      <c r="T501" s="94"/>
      <c r="U501" s="90"/>
      <c r="V501" s="91"/>
      <c r="W501" s="92"/>
      <c r="X501" s="93"/>
      <c r="Y501" s="93"/>
      <c r="Z501" s="93"/>
      <c r="AA501" s="93"/>
    </row>
    <row r="502" spans="1:27" x14ac:dyDescent="0.25">
      <c r="A502" s="88">
        <v>500</v>
      </c>
      <c r="B502" s="89" t="s">
        <v>251</v>
      </c>
      <c r="C502" s="90" t="s">
        <v>6</v>
      </c>
      <c r="D502" s="91" t="s">
        <v>256</v>
      </c>
      <c r="E502" s="92">
        <v>0</v>
      </c>
      <c r="F502" s="93">
        <v>0</v>
      </c>
      <c r="G502" s="93">
        <v>0</v>
      </c>
      <c r="H502" s="93"/>
      <c r="I502" s="93"/>
      <c r="J502" s="88"/>
      <c r="K502" s="94"/>
      <c r="L502" s="90"/>
      <c r="M502" s="91"/>
      <c r="N502" s="92"/>
      <c r="O502" s="93"/>
      <c r="P502" s="93"/>
      <c r="Q502" s="93"/>
      <c r="R502" s="93"/>
      <c r="S502" s="125"/>
      <c r="T502" s="94"/>
      <c r="U502" s="90"/>
      <c r="V502" s="91"/>
      <c r="W502" s="92"/>
      <c r="X502" s="93"/>
      <c r="Y502" s="93"/>
      <c r="Z502" s="93"/>
      <c r="AA502" s="93"/>
    </row>
    <row r="503" spans="1:27" x14ac:dyDescent="0.25">
      <c r="A503" s="88">
        <v>501</v>
      </c>
      <c r="B503" s="94" t="s">
        <v>172</v>
      </c>
      <c r="C503" s="90" t="s">
        <v>6</v>
      </c>
      <c r="D503" s="91" t="s">
        <v>58</v>
      </c>
      <c r="E503" s="92">
        <v>0</v>
      </c>
      <c r="F503" s="93">
        <v>0</v>
      </c>
      <c r="G503" s="93">
        <v>0</v>
      </c>
      <c r="H503" s="93"/>
      <c r="I503" s="93"/>
      <c r="J503" s="88"/>
      <c r="K503" s="94"/>
      <c r="L503" s="90"/>
      <c r="M503" s="91"/>
      <c r="N503" s="92"/>
      <c r="O503" s="93"/>
      <c r="P503" s="93"/>
      <c r="Q503" s="93"/>
      <c r="R503" s="93"/>
      <c r="S503" s="125"/>
      <c r="T503" s="94"/>
      <c r="U503" s="90"/>
      <c r="V503" s="91"/>
      <c r="W503" s="92"/>
      <c r="X503" s="93"/>
      <c r="Y503" s="93"/>
      <c r="Z503" s="93"/>
      <c r="AA503" s="93"/>
    </row>
    <row r="504" spans="1:27" x14ac:dyDescent="0.25">
      <c r="A504" s="88">
        <v>502</v>
      </c>
      <c r="B504" s="94" t="s">
        <v>389</v>
      </c>
      <c r="C504" s="90" t="s">
        <v>6</v>
      </c>
      <c r="D504" s="91" t="s">
        <v>61</v>
      </c>
      <c r="E504" s="92">
        <v>0</v>
      </c>
      <c r="F504" s="93">
        <v>0</v>
      </c>
      <c r="G504" s="93">
        <v>0</v>
      </c>
      <c r="H504" s="93"/>
      <c r="I504" s="93"/>
      <c r="J504" s="88"/>
      <c r="K504" s="94"/>
      <c r="L504" s="90"/>
      <c r="M504" s="91"/>
      <c r="N504" s="92"/>
      <c r="O504" s="93"/>
      <c r="P504" s="93"/>
      <c r="Q504" s="93"/>
      <c r="R504" s="93"/>
      <c r="S504" s="125"/>
      <c r="T504" s="94"/>
      <c r="U504" s="90"/>
      <c r="V504" s="91"/>
      <c r="W504" s="92"/>
      <c r="X504" s="93"/>
      <c r="Y504" s="93"/>
      <c r="Z504" s="93"/>
      <c r="AA504" s="93"/>
    </row>
    <row r="505" spans="1:27" x14ac:dyDescent="0.25">
      <c r="A505" s="88">
        <v>503</v>
      </c>
      <c r="B505" s="94" t="s">
        <v>170</v>
      </c>
      <c r="C505" s="90" t="s">
        <v>16</v>
      </c>
      <c r="D505" s="91" t="s">
        <v>58</v>
      </c>
      <c r="E505" s="92">
        <v>0</v>
      </c>
      <c r="F505" s="93">
        <v>0</v>
      </c>
      <c r="G505" s="93">
        <v>0</v>
      </c>
      <c r="H505" s="93"/>
      <c r="I505" s="93"/>
      <c r="J505" s="88"/>
      <c r="K505" s="94"/>
      <c r="L505" s="90"/>
      <c r="M505" s="91"/>
      <c r="N505" s="92"/>
      <c r="O505" s="93"/>
      <c r="P505" s="93"/>
      <c r="Q505" s="93"/>
      <c r="R505" s="93"/>
      <c r="S505" s="125"/>
      <c r="T505" s="94"/>
      <c r="U505" s="90"/>
      <c r="V505" s="91"/>
      <c r="W505" s="92"/>
      <c r="X505" s="93"/>
      <c r="Y505" s="93"/>
      <c r="Z505" s="93"/>
      <c r="AA505" s="93"/>
    </row>
    <row r="506" spans="1:27" x14ac:dyDescent="0.25">
      <c r="A506" s="88">
        <v>504</v>
      </c>
      <c r="B506" s="94" t="s">
        <v>435</v>
      </c>
      <c r="C506" s="90" t="s">
        <v>6</v>
      </c>
      <c r="D506" s="91" t="s">
        <v>69</v>
      </c>
      <c r="E506" s="92">
        <v>0</v>
      </c>
      <c r="F506" s="93">
        <v>0</v>
      </c>
      <c r="G506" s="93">
        <v>0</v>
      </c>
      <c r="H506" s="93"/>
      <c r="I506" s="93"/>
      <c r="J506" s="88"/>
      <c r="K506" s="94"/>
      <c r="L506" s="90"/>
      <c r="M506" s="91"/>
      <c r="N506" s="92"/>
      <c r="O506" s="93"/>
      <c r="P506" s="93"/>
      <c r="Q506" s="93"/>
      <c r="R506" s="93"/>
      <c r="S506" s="125"/>
      <c r="T506" s="94"/>
      <c r="U506" s="90"/>
      <c r="V506" s="91"/>
      <c r="W506" s="92"/>
      <c r="X506" s="93"/>
      <c r="Y506" s="93"/>
      <c r="Z506" s="93"/>
      <c r="AA506" s="93"/>
    </row>
    <row r="507" spans="1:27" x14ac:dyDescent="0.25">
      <c r="A507" s="88">
        <v>505</v>
      </c>
      <c r="B507" s="94" t="s">
        <v>196</v>
      </c>
      <c r="C507" s="90" t="s">
        <v>6</v>
      </c>
      <c r="D507" s="91" t="s">
        <v>59</v>
      </c>
      <c r="E507" s="92">
        <v>0</v>
      </c>
      <c r="F507" s="93">
        <v>0</v>
      </c>
      <c r="G507" s="93">
        <v>0</v>
      </c>
      <c r="H507" s="93"/>
      <c r="I507" s="93"/>
      <c r="J507" s="88"/>
      <c r="K507" s="94"/>
      <c r="L507" s="90"/>
      <c r="M507" s="91"/>
      <c r="N507" s="92"/>
      <c r="O507" s="93"/>
      <c r="P507" s="93"/>
      <c r="Q507" s="93"/>
      <c r="R507" s="93"/>
      <c r="S507" s="125"/>
      <c r="T507" s="94"/>
      <c r="U507" s="90"/>
      <c r="V507" s="91"/>
      <c r="W507" s="92"/>
      <c r="X507" s="93"/>
      <c r="Y507" s="93"/>
      <c r="Z507" s="93"/>
      <c r="AA507" s="93"/>
    </row>
    <row r="508" spans="1:27" x14ac:dyDescent="0.25">
      <c r="A508" s="88">
        <v>506</v>
      </c>
      <c r="B508" s="94" t="s">
        <v>290</v>
      </c>
      <c r="C508" s="90" t="s">
        <v>6</v>
      </c>
      <c r="D508" s="91" t="s">
        <v>57</v>
      </c>
      <c r="E508" s="92">
        <v>0</v>
      </c>
      <c r="F508" s="93">
        <v>0</v>
      </c>
      <c r="G508" s="93">
        <v>0</v>
      </c>
      <c r="H508" s="93"/>
      <c r="I508" s="93"/>
      <c r="J508" s="88"/>
      <c r="K508" s="94"/>
      <c r="L508" s="90"/>
      <c r="M508" s="91"/>
      <c r="N508" s="92"/>
      <c r="O508" s="93"/>
      <c r="P508" s="93"/>
      <c r="Q508" s="93"/>
      <c r="R508" s="93"/>
      <c r="S508" s="125"/>
      <c r="T508" s="94"/>
      <c r="U508" s="90"/>
      <c r="V508" s="91"/>
      <c r="W508" s="92"/>
      <c r="X508" s="93"/>
      <c r="Y508" s="93"/>
      <c r="Z508" s="93"/>
      <c r="AA508" s="93"/>
    </row>
    <row r="509" spans="1:27" x14ac:dyDescent="0.25">
      <c r="A509" s="88">
        <v>507</v>
      </c>
      <c r="B509" s="89" t="s">
        <v>521</v>
      </c>
      <c r="C509" s="90" t="s">
        <v>6</v>
      </c>
      <c r="D509" s="91" t="s">
        <v>256</v>
      </c>
      <c r="E509" s="92">
        <v>0</v>
      </c>
      <c r="F509" s="93">
        <v>0</v>
      </c>
      <c r="G509" s="93">
        <v>0</v>
      </c>
      <c r="H509" s="93"/>
      <c r="I509" s="93"/>
      <c r="J509" s="88"/>
      <c r="K509" s="94"/>
      <c r="L509" s="90"/>
      <c r="M509" s="91"/>
      <c r="N509" s="92"/>
      <c r="O509" s="93"/>
      <c r="P509" s="93"/>
      <c r="Q509" s="93"/>
      <c r="R509" s="93"/>
      <c r="S509" s="125"/>
      <c r="T509" s="94"/>
      <c r="U509" s="90"/>
      <c r="V509" s="91"/>
      <c r="W509" s="92"/>
      <c r="X509" s="93"/>
      <c r="Y509" s="93"/>
      <c r="Z509" s="93"/>
      <c r="AA509" s="93"/>
    </row>
    <row r="510" spans="1:27" x14ac:dyDescent="0.25">
      <c r="A510" s="88">
        <v>508</v>
      </c>
      <c r="B510" s="89" t="s">
        <v>222</v>
      </c>
      <c r="C510" s="90" t="s">
        <v>6</v>
      </c>
      <c r="D510" s="90" t="s">
        <v>58</v>
      </c>
      <c r="E510" s="92">
        <v>0</v>
      </c>
      <c r="F510" s="93">
        <v>0</v>
      </c>
      <c r="G510" s="93">
        <v>0</v>
      </c>
      <c r="H510" s="93"/>
      <c r="I510" s="93"/>
      <c r="J510" s="88"/>
      <c r="K510" s="94"/>
      <c r="L510" s="90"/>
      <c r="M510" s="91"/>
      <c r="N510" s="92"/>
      <c r="O510" s="93"/>
      <c r="P510" s="93"/>
      <c r="Q510" s="93"/>
      <c r="R510" s="93"/>
      <c r="S510" s="125"/>
      <c r="T510" s="94"/>
      <c r="U510" s="90"/>
      <c r="V510" s="91"/>
      <c r="W510" s="92"/>
      <c r="X510" s="93"/>
      <c r="Y510" s="93"/>
      <c r="Z510" s="93"/>
      <c r="AA510" s="93"/>
    </row>
    <row r="511" spans="1:27" x14ac:dyDescent="0.25">
      <c r="A511" s="88">
        <v>509</v>
      </c>
      <c r="B511" s="94" t="s">
        <v>697</v>
      </c>
      <c r="C511" s="90" t="s">
        <v>6</v>
      </c>
      <c r="D511" s="91" t="s">
        <v>77</v>
      </c>
      <c r="E511" s="92">
        <v>0</v>
      </c>
      <c r="F511" s="93">
        <v>0</v>
      </c>
      <c r="G511" s="93">
        <v>0</v>
      </c>
      <c r="H511" s="93"/>
      <c r="I511" s="93"/>
      <c r="J511" s="88"/>
      <c r="K511" s="94"/>
      <c r="L511" s="90"/>
      <c r="M511" s="91"/>
      <c r="N511" s="92"/>
      <c r="O511" s="93"/>
      <c r="P511" s="93"/>
      <c r="Q511" s="93"/>
      <c r="R511" s="93"/>
      <c r="S511" s="125"/>
      <c r="T511" s="94"/>
      <c r="U511" s="90"/>
      <c r="V511" s="91"/>
      <c r="W511" s="92"/>
      <c r="X511" s="93"/>
      <c r="Y511" s="93"/>
      <c r="Z511" s="93"/>
      <c r="AA511" s="93"/>
    </row>
    <row r="512" spans="1:27" x14ac:dyDescent="0.25">
      <c r="A512" s="88">
        <v>510</v>
      </c>
      <c r="B512" s="94" t="s">
        <v>205</v>
      </c>
      <c r="C512" s="90" t="s">
        <v>6</v>
      </c>
      <c r="D512" s="91" t="s">
        <v>57</v>
      </c>
      <c r="E512" s="92">
        <v>0</v>
      </c>
      <c r="F512" s="93">
        <v>0</v>
      </c>
      <c r="G512" s="93">
        <v>0</v>
      </c>
      <c r="H512" s="93"/>
      <c r="I512" s="93"/>
      <c r="J512" s="88"/>
      <c r="K512" s="94"/>
      <c r="L512" s="90"/>
      <c r="M512" s="91"/>
      <c r="N512" s="92"/>
      <c r="O512" s="93"/>
      <c r="P512" s="93"/>
      <c r="Q512" s="93"/>
      <c r="R512" s="93"/>
      <c r="S512" s="125"/>
      <c r="T512" s="94"/>
      <c r="U512" s="90"/>
      <c r="V512" s="91"/>
      <c r="W512" s="92"/>
      <c r="X512" s="93"/>
      <c r="Y512" s="93"/>
      <c r="Z512" s="93"/>
      <c r="AA512" s="93"/>
    </row>
    <row r="513" spans="1:27" x14ac:dyDescent="0.25">
      <c r="A513" s="88">
        <v>511</v>
      </c>
      <c r="B513" s="89" t="s">
        <v>257</v>
      </c>
      <c r="C513" s="90" t="s">
        <v>16</v>
      </c>
      <c r="D513" s="91" t="s">
        <v>58</v>
      </c>
      <c r="E513" s="92">
        <v>0</v>
      </c>
      <c r="F513" s="93">
        <v>0</v>
      </c>
      <c r="G513" s="93">
        <v>0</v>
      </c>
      <c r="H513" s="93"/>
      <c r="I513" s="93"/>
      <c r="J513" s="88"/>
      <c r="K513" s="94"/>
      <c r="L513" s="90"/>
      <c r="M513" s="91"/>
      <c r="N513" s="92"/>
      <c r="O513" s="93"/>
      <c r="P513" s="93"/>
      <c r="Q513" s="93"/>
      <c r="R513" s="93"/>
      <c r="S513" s="125"/>
      <c r="T513" s="94"/>
      <c r="U513" s="90"/>
      <c r="V513" s="91"/>
      <c r="W513" s="92"/>
      <c r="X513" s="93"/>
      <c r="Y513" s="93"/>
      <c r="Z513" s="93"/>
      <c r="AA513" s="93"/>
    </row>
    <row r="514" spans="1:27" x14ac:dyDescent="0.25">
      <c r="A514" s="88">
        <v>512</v>
      </c>
      <c r="B514" s="94" t="s">
        <v>264</v>
      </c>
      <c r="C514" s="90" t="s">
        <v>16</v>
      </c>
      <c r="D514" s="91" t="s">
        <v>58</v>
      </c>
      <c r="E514" s="92">
        <v>0</v>
      </c>
      <c r="F514" s="93">
        <v>0</v>
      </c>
      <c r="G514" s="93">
        <v>0</v>
      </c>
      <c r="H514" s="93"/>
      <c r="I514" s="93"/>
      <c r="J514" s="88"/>
      <c r="K514" s="94"/>
      <c r="L514" s="90"/>
      <c r="M514" s="91"/>
      <c r="N514" s="92"/>
      <c r="O514" s="93"/>
      <c r="P514" s="93"/>
      <c r="Q514" s="93"/>
      <c r="R514" s="93"/>
      <c r="S514" s="125"/>
      <c r="T514" s="94"/>
      <c r="U514" s="90"/>
      <c r="V514" s="91"/>
      <c r="W514" s="92"/>
      <c r="X514" s="93"/>
      <c r="Y514" s="93"/>
      <c r="Z514" s="93"/>
      <c r="AA514" s="93"/>
    </row>
    <row r="515" spans="1:27" x14ac:dyDescent="0.25">
      <c r="A515" s="88">
        <v>513</v>
      </c>
      <c r="B515" s="94" t="s">
        <v>307</v>
      </c>
      <c r="C515" s="90" t="s">
        <v>6</v>
      </c>
      <c r="D515" s="91" t="s">
        <v>96</v>
      </c>
      <c r="E515" s="92">
        <v>0</v>
      </c>
      <c r="F515" s="93">
        <v>0</v>
      </c>
      <c r="G515" s="93">
        <v>0</v>
      </c>
      <c r="H515" s="93"/>
      <c r="I515" s="93"/>
      <c r="J515" s="88"/>
      <c r="K515" s="94"/>
      <c r="L515" s="90"/>
      <c r="M515" s="91"/>
      <c r="N515" s="92"/>
      <c r="O515" s="93"/>
      <c r="P515" s="93"/>
      <c r="Q515" s="93"/>
      <c r="R515" s="93"/>
      <c r="S515" s="125"/>
      <c r="T515" s="94"/>
      <c r="U515" s="90"/>
      <c r="V515" s="91"/>
      <c r="W515" s="92"/>
      <c r="X515" s="93"/>
      <c r="Y515" s="93"/>
      <c r="Z515" s="93"/>
      <c r="AA515" s="93"/>
    </row>
    <row r="516" spans="1:27" x14ac:dyDescent="0.25">
      <c r="A516" s="88">
        <v>514</v>
      </c>
      <c r="B516" s="89" t="s">
        <v>707</v>
      </c>
      <c r="C516" s="90" t="s">
        <v>16</v>
      </c>
      <c r="D516" s="91" t="s">
        <v>64</v>
      </c>
      <c r="E516" s="92">
        <v>0</v>
      </c>
      <c r="F516" s="93">
        <v>0</v>
      </c>
      <c r="G516" s="93">
        <v>0</v>
      </c>
      <c r="H516" s="93"/>
      <c r="I516" s="93"/>
      <c r="J516" s="88"/>
      <c r="K516" s="94"/>
      <c r="L516" s="90"/>
      <c r="M516" s="91"/>
      <c r="N516" s="92"/>
      <c r="O516" s="93"/>
      <c r="P516" s="93"/>
      <c r="Q516" s="93"/>
      <c r="R516" s="93"/>
      <c r="S516" s="125"/>
      <c r="T516" s="94"/>
      <c r="U516" s="90"/>
      <c r="V516" s="91"/>
      <c r="W516" s="92"/>
      <c r="X516" s="93"/>
      <c r="Y516" s="93"/>
      <c r="Z516" s="93"/>
      <c r="AA516" s="93"/>
    </row>
    <row r="517" spans="1:27" x14ac:dyDescent="0.25">
      <c r="A517" s="88">
        <v>515</v>
      </c>
      <c r="B517" s="94" t="s">
        <v>125</v>
      </c>
      <c r="C517" s="90" t="s">
        <v>6</v>
      </c>
      <c r="D517" s="91" t="s">
        <v>61</v>
      </c>
      <c r="E517" s="92">
        <v>0</v>
      </c>
      <c r="F517" s="93">
        <v>0</v>
      </c>
      <c r="G517" s="93">
        <v>0</v>
      </c>
      <c r="H517" s="93"/>
      <c r="I517" s="93"/>
      <c r="J517" s="88"/>
      <c r="K517" s="94"/>
      <c r="L517" s="90"/>
      <c r="M517" s="91"/>
      <c r="N517" s="92"/>
      <c r="O517" s="93"/>
      <c r="P517" s="93"/>
      <c r="Q517" s="93"/>
      <c r="R517" s="93"/>
      <c r="S517" s="125"/>
      <c r="T517" s="94"/>
      <c r="U517" s="90"/>
      <c r="V517" s="91"/>
      <c r="W517" s="92"/>
      <c r="X517" s="93"/>
      <c r="Y517" s="93"/>
      <c r="Z517" s="93"/>
      <c r="AA517" s="93"/>
    </row>
    <row r="518" spans="1:27" x14ac:dyDescent="0.25">
      <c r="A518" s="88">
        <v>516</v>
      </c>
      <c r="B518" s="89" t="s">
        <v>442</v>
      </c>
      <c r="C518" s="90" t="s">
        <v>6</v>
      </c>
      <c r="D518" s="91" t="s">
        <v>63</v>
      </c>
      <c r="E518" s="92">
        <v>0</v>
      </c>
      <c r="F518" s="93">
        <v>0</v>
      </c>
      <c r="G518" s="93">
        <v>0</v>
      </c>
      <c r="H518" s="93"/>
      <c r="I518" s="93"/>
      <c r="J518" s="88"/>
      <c r="K518" s="94"/>
      <c r="L518" s="90"/>
      <c r="M518" s="91"/>
      <c r="N518" s="92"/>
      <c r="O518" s="93"/>
      <c r="P518" s="93"/>
      <c r="Q518" s="93"/>
      <c r="R518" s="93"/>
      <c r="S518" s="125"/>
      <c r="T518" s="94"/>
      <c r="U518" s="90"/>
      <c r="V518" s="91"/>
      <c r="W518" s="92"/>
      <c r="X518" s="93"/>
      <c r="Y518" s="93"/>
      <c r="Z518" s="93"/>
      <c r="AA518" s="93"/>
    </row>
    <row r="519" spans="1:27" x14ac:dyDescent="0.25">
      <c r="A519" s="88">
        <v>517</v>
      </c>
      <c r="B519" s="94" t="s">
        <v>480</v>
      </c>
      <c r="C519" s="90" t="s">
        <v>6</v>
      </c>
      <c r="D519" s="91" t="s">
        <v>63</v>
      </c>
      <c r="E519" s="92">
        <v>0</v>
      </c>
      <c r="F519" s="93">
        <v>0</v>
      </c>
      <c r="G519" s="93">
        <v>0</v>
      </c>
      <c r="H519" s="93"/>
      <c r="I519" s="93"/>
      <c r="J519" s="88"/>
      <c r="K519" s="94"/>
      <c r="L519" s="90"/>
      <c r="M519" s="91"/>
      <c r="N519" s="92"/>
      <c r="O519" s="93"/>
      <c r="P519" s="93"/>
      <c r="Q519" s="93"/>
      <c r="R519" s="93"/>
      <c r="S519" s="125"/>
      <c r="T519" s="94"/>
      <c r="U519" s="90"/>
      <c r="V519" s="91"/>
      <c r="W519" s="92"/>
      <c r="X519" s="93"/>
      <c r="Y519" s="93"/>
      <c r="Z519" s="93"/>
      <c r="AA519" s="93"/>
    </row>
    <row r="520" spans="1:27" x14ac:dyDescent="0.25">
      <c r="A520" s="88">
        <v>518</v>
      </c>
      <c r="B520" s="94" t="s">
        <v>192</v>
      </c>
      <c r="C520" s="90" t="s">
        <v>6</v>
      </c>
      <c r="D520" s="91" t="s">
        <v>59</v>
      </c>
      <c r="E520" s="92">
        <v>0</v>
      </c>
      <c r="F520" s="93">
        <v>0</v>
      </c>
      <c r="G520" s="93">
        <v>0</v>
      </c>
      <c r="H520" s="93"/>
      <c r="I520" s="93"/>
      <c r="J520" s="88"/>
      <c r="K520" s="94"/>
      <c r="L520" s="90"/>
      <c r="M520" s="91"/>
      <c r="N520" s="92"/>
      <c r="O520" s="93"/>
      <c r="P520" s="93"/>
      <c r="Q520" s="93"/>
      <c r="R520" s="93"/>
      <c r="S520" s="125"/>
      <c r="T520" s="94"/>
      <c r="U520" s="90"/>
      <c r="V520" s="91"/>
      <c r="W520" s="92"/>
      <c r="X520" s="93"/>
      <c r="Y520" s="93"/>
      <c r="Z520" s="93"/>
      <c r="AA520" s="93"/>
    </row>
    <row r="521" spans="1:27" x14ac:dyDescent="0.25">
      <c r="A521" s="88">
        <v>520</v>
      </c>
      <c r="B521" s="94" t="s">
        <v>197</v>
      </c>
      <c r="C521" s="90" t="s">
        <v>6</v>
      </c>
      <c r="D521" s="91" t="s">
        <v>76</v>
      </c>
      <c r="E521" s="92">
        <v>0</v>
      </c>
      <c r="F521" s="93">
        <v>0</v>
      </c>
      <c r="G521" s="93">
        <v>0</v>
      </c>
      <c r="H521" s="93"/>
      <c r="I521" s="93"/>
      <c r="J521" s="88"/>
      <c r="K521" s="94"/>
      <c r="L521" s="90"/>
      <c r="M521" s="91"/>
      <c r="N521" s="92"/>
      <c r="O521" s="93"/>
      <c r="P521" s="93"/>
      <c r="Q521" s="93"/>
      <c r="R521" s="93"/>
      <c r="S521" s="125"/>
      <c r="T521" s="94"/>
      <c r="U521" s="90"/>
      <c r="V521" s="91"/>
      <c r="W521" s="92"/>
      <c r="X521" s="93"/>
      <c r="Y521" s="93"/>
      <c r="Z521" s="93"/>
      <c r="AA521" s="93"/>
    </row>
    <row r="522" spans="1:27" x14ac:dyDescent="0.25">
      <c r="A522" s="88">
        <v>521</v>
      </c>
      <c r="B522" s="96" t="s">
        <v>97</v>
      </c>
      <c r="C522" s="90" t="s">
        <v>6</v>
      </c>
      <c r="D522" s="91" t="s">
        <v>96</v>
      </c>
      <c r="E522" s="92">
        <v>0</v>
      </c>
      <c r="F522" s="93">
        <v>0</v>
      </c>
      <c r="G522" s="93">
        <v>0</v>
      </c>
      <c r="H522" s="93"/>
      <c r="I522" s="93"/>
      <c r="J522" s="88"/>
      <c r="K522" s="94"/>
      <c r="L522" s="90"/>
      <c r="M522" s="91"/>
      <c r="N522" s="92"/>
      <c r="O522" s="93"/>
      <c r="P522" s="93"/>
      <c r="Q522" s="93"/>
      <c r="R522" s="93"/>
      <c r="S522" s="125"/>
      <c r="T522" s="94"/>
      <c r="U522" s="90"/>
      <c r="V522" s="91"/>
      <c r="W522" s="92"/>
      <c r="X522" s="93"/>
      <c r="Y522" s="93"/>
      <c r="Z522" s="93"/>
      <c r="AA522" s="93"/>
    </row>
    <row r="523" spans="1:27" x14ac:dyDescent="0.25">
      <c r="A523" s="88">
        <v>522</v>
      </c>
      <c r="B523" s="94" t="s">
        <v>675</v>
      </c>
      <c r="C523" s="90" t="s">
        <v>6</v>
      </c>
      <c r="D523" s="91" t="s">
        <v>58</v>
      </c>
      <c r="E523" s="92">
        <v>0</v>
      </c>
      <c r="F523" s="93">
        <v>0</v>
      </c>
      <c r="G523" s="93">
        <v>0</v>
      </c>
      <c r="H523" s="93"/>
      <c r="I523" s="93"/>
      <c r="J523" s="88"/>
      <c r="K523" s="94"/>
      <c r="L523" s="90"/>
      <c r="M523" s="91"/>
      <c r="N523" s="92"/>
      <c r="O523" s="93"/>
      <c r="P523" s="93"/>
      <c r="Q523" s="93"/>
      <c r="R523" s="93"/>
      <c r="S523" s="125"/>
      <c r="T523" s="94"/>
      <c r="U523" s="90"/>
      <c r="V523" s="91"/>
      <c r="W523" s="92"/>
      <c r="X523" s="93"/>
      <c r="Y523" s="93"/>
      <c r="Z523" s="93"/>
      <c r="AA523" s="93"/>
    </row>
    <row r="524" spans="1:27" x14ac:dyDescent="0.25">
      <c r="A524" s="88">
        <v>523</v>
      </c>
      <c r="B524" s="94" t="s">
        <v>487</v>
      </c>
      <c r="C524" s="90" t="s">
        <v>16</v>
      </c>
      <c r="D524" s="91" t="s">
        <v>69</v>
      </c>
      <c r="E524" s="92">
        <v>0</v>
      </c>
      <c r="F524" s="93">
        <v>0</v>
      </c>
      <c r="G524" s="93">
        <v>0</v>
      </c>
      <c r="H524" s="93"/>
      <c r="I524" s="93"/>
      <c r="J524" s="88"/>
      <c r="K524" s="94"/>
      <c r="L524" s="90"/>
      <c r="M524" s="91"/>
      <c r="N524" s="92"/>
      <c r="O524" s="93"/>
      <c r="P524" s="93"/>
      <c r="Q524" s="93"/>
      <c r="R524" s="93"/>
      <c r="S524" s="125"/>
      <c r="T524" s="94"/>
      <c r="U524" s="90"/>
      <c r="V524" s="91"/>
      <c r="W524" s="92"/>
      <c r="X524" s="93"/>
      <c r="Y524" s="93"/>
      <c r="Z524" s="93"/>
      <c r="AA524" s="93"/>
    </row>
    <row r="525" spans="1:27" x14ac:dyDescent="0.25">
      <c r="A525" s="88">
        <v>524</v>
      </c>
      <c r="B525" s="94" t="s">
        <v>462</v>
      </c>
      <c r="C525" s="90" t="s">
        <v>16</v>
      </c>
      <c r="D525" s="91" t="s">
        <v>69</v>
      </c>
      <c r="E525" s="92">
        <v>0</v>
      </c>
      <c r="F525" s="93">
        <v>0</v>
      </c>
      <c r="G525" s="93">
        <v>0</v>
      </c>
      <c r="H525" s="93"/>
      <c r="I525" s="93"/>
      <c r="J525" s="88"/>
      <c r="K525" s="94"/>
      <c r="L525" s="90"/>
      <c r="M525" s="91"/>
      <c r="N525" s="92"/>
      <c r="O525" s="93"/>
      <c r="P525" s="93"/>
      <c r="Q525" s="93"/>
      <c r="R525" s="93"/>
      <c r="S525" s="125"/>
      <c r="T525" s="94"/>
      <c r="U525" s="90"/>
      <c r="V525" s="91"/>
      <c r="W525" s="92"/>
      <c r="X525" s="93"/>
      <c r="Y525" s="93"/>
      <c r="Z525" s="93"/>
      <c r="AA525" s="93"/>
    </row>
    <row r="526" spans="1:27" x14ac:dyDescent="0.25">
      <c r="A526" s="88">
        <v>525</v>
      </c>
      <c r="B526" s="89" t="s">
        <v>351</v>
      </c>
      <c r="C526" s="90" t="s">
        <v>16</v>
      </c>
      <c r="D526" s="91" t="s">
        <v>63</v>
      </c>
      <c r="E526" s="92">
        <v>0</v>
      </c>
      <c r="F526" s="93">
        <v>0</v>
      </c>
      <c r="G526" s="93">
        <v>0</v>
      </c>
      <c r="H526" s="93"/>
      <c r="I526" s="93"/>
      <c r="J526" s="88"/>
      <c r="K526" s="94"/>
      <c r="L526" s="90"/>
      <c r="M526" s="91"/>
      <c r="N526" s="92"/>
      <c r="O526" s="93"/>
      <c r="P526" s="93"/>
      <c r="Q526" s="93"/>
      <c r="R526" s="93"/>
      <c r="S526" s="125"/>
      <c r="T526" s="94"/>
      <c r="U526" s="90"/>
      <c r="V526" s="91"/>
      <c r="W526" s="92"/>
      <c r="X526" s="93"/>
      <c r="Y526" s="93"/>
      <c r="Z526" s="93"/>
      <c r="AA526" s="93"/>
    </row>
    <row r="527" spans="1:27" x14ac:dyDescent="0.25">
      <c r="A527" s="88">
        <v>526</v>
      </c>
      <c r="B527" s="94" t="s">
        <v>364</v>
      </c>
      <c r="C527" s="90" t="s">
        <v>16</v>
      </c>
      <c r="D527" s="90" t="s">
        <v>63</v>
      </c>
      <c r="E527" s="92">
        <v>0</v>
      </c>
      <c r="F527" s="93">
        <v>0</v>
      </c>
      <c r="G527" s="93">
        <v>0</v>
      </c>
      <c r="H527" s="93"/>
      <c r="I527" s="93"/>
      <c r="J527" s="88"/>
      <c r="K527" s="94"/>
      <c r="L527" s="90"/>
      <c r="M527" s="91"/>
      <c r="N527" s="92"/>
      <c r="O527" s="93"/>
      <c r="P527" s="93"/>
      <c r="Q527" s="93"/>
      <c r="R527" s="93"/>
      <c r="S527" s="125"/>
      <c r="T527" s="94"/>
      <c r="U527" s="90"/>
      <c r="V527" s="91"/>
      <c r="W527" s="92"/>
      <c r="X527" s="93"/>
      <c r="Y527" s="93"/>
      <c r="Z527" s="93"/>
      <c r="AA527" s="93"/>
    </row>
    <row r="528" spans="1:27" x14ac:dyDescent="0.25">
      <c r="A528" s="88">
        <v>527</v>
      </c>
      <c r="B528" s="89" t="s">
        <v>51</v>
      </c>
      <c r="C528" s="90" t="s">
        <v>6</v>
      </c>
      <c r="D528" s="91" t="s">
        <v>62</v>
      </c>
      <c r="E528" s="92">
        <v>0</v>
      </c>
      <c r="F528" s="93">
        <v>0</v>
      </c>
      <c r="G528" s="93">
        <v>0</v>
      </c>
      <c r="H528" s="93"/>
      <c r="I528" s="93"/>
      <c r="J528" s="88"/>
      <c r="K528" s="94"/>
      <c r="L528" s="90"/>
      <c r="M528" s="91"/>
      <c r="N528" s="92"/>
      <c r="O528" s="93"/>
      <c r="P528" s="93"/>
      <c r="Q528" s="93"/>
      <c r="R528" s="93"/>
      <c r="S528" s="125"/>
      <c r="T528" s="94"/>
      <c r="U528" s="90"/>
      <c r="V528" s="91"/>
      <c r="W528" s="92"/>
      <c r="X528" s="93"/>
      <c r="Y528" s="93"/>
      <c r="Z528" s="93"/>
      <c r="AA528" s="93"/>
    </row>
    <row r="529" spans="1:27" x14ac:dyDescent="0.25">
      <c r="A529" s="88">
        <v>528</v>
      </c>
      <c r="B529" s="94" t="s">
        <v>447</v>
      </c>
      <c r="C529" s="90" t="s">
        <v>6</v>
      </c>
      <c r="D529" s="91" t="s">
        <v>89</v>
      </c>
      <c r="E529" s="92">
        <v>0</v>
      </c>
      <c r="F529" s="93">
        <v>0</v>
      </c>
      <c r="G529" s="93">
        <v>0</v>
      </c>
      <c r="H529" s="93"/>
      <c r="I529" s="93"/>
      <c r="J529" s="88"/>
      <c r="K529" s="94"/>
      <c r="L529" s="90"/>
      <c r="M529" s="91"/>
      <c r="N529" s="92"/>
      <c r="O529" s="93"/>
      <c r="P529" s="93"/>
      <c r="Q529" s="93"/>
      <c r="R529" s="93"/>
      <c r="S529" s="125"/>
      <c r="T529" s="94"/>
      <c r="U529" s="90"/>
      <c r="V529" s="91"/>
      <c r="W529" s="92"/>
      <c r="X529" s="93"/>
      <c r="Y529" s="93"/>
      <c r="Z529" s="93"/>
      <c r="AA529" s="93"/>
    </row>
    <row r="530" spans="1:27" x14ac:dyDescent="0.25">
      <c r="A530" s="88">
        <v>529</v>
      </c>
      <c r="B530" s="94" t="s">
        <v>388</v>
      </c>
      <c r="C530" s="90" t="s">
        <v>16</v>
      </c>
      <c r="D530" s="91" t="s">
        <v>58</v>
      </c>
      <c r="E530" s="92">
        <v>0</v>
      </c>
      <c r="F530" s="93">
        <v>0</v>
      </c>
      <c r="G530" s="93">
        <v>0</v>
      </c>
      <c r="H530" s="93"/>
      <c r="I530" s="93"/>
      <c r="J530" s="88"/>
      <c r="K530" s="94"/>
      <c r="L530" s="90"/>
      <c r="M530" s="91"/>
      <c r="N530" s="92"/>
      <c r="O530" s="93"/>
      <c r="P530" s="93"/>
      <c r="Q530" s="93"/>
      <c r="R530" s="93"/>
      <c r="S530" s="125"/>
      <c r="T530" s="94"/>
      <c r="U530" s="90"/>
      <c r="V530" s="91"/>
      <c r="W530" s="92"/>
      <c r="X530" s="93"/>
      <c r="Y530" s="93"/>
      <c r="Z530" s="93"/>
      <c r="AA530" s="93"/>
    </row>
    <row r="531" spans="1:27" x14ac:dyDescent="0.25">
      <c r="A531" s="88">
        <v>530</v>
      </c>
      <c r="B531" s="94" t="s">
        <v>461</v>
      </c>
      <c r="C531" s="90" t="s">
        <v>16</v>
      </c>
      <c r="D531" s="91" t="s">
        <v>69</v>
      </c>
      <c r="E531" s="92">
        <v>0</v>
      </c>
      <c r="F531" s="93">
        <v>0</v>
      </c>
      <c r="G531" s="93">
        <v>0</v>
      </c>
      <c r="H531" s="93"/>
      <c r="I531" s="93"/>
      <c r="J531" s="88"/>
      <c r="K531" s="94"/>
      <c r="L531" s="90"/>
      <c r="M531" s="91"/>
      <c r="N531" s="92"/>
      <c r="O531" s="93"/>
      <c r="P531" s="93"/>
      <c r="Q531" s="93"/>
      <c r="R531" s="93"/>
      <c r="S531" s="125"/>
      <c r="T531" s="94"/>
      <c r="U531" s="90"/>
      <c r="V531" s="91"/>
      <c r="W531" s="92"/>
      <c r="X531" s="93"/>
      <c r="Y531" s="93"/>
      <c r="Z531" s="93"/>
      <c r="AA531" s="93"/>
    </row>
    <row r="532" spans="1:27" x14ac:dyDescent="0.25">
      <c r="A532" s="88">
        <v>531</v>
      </c>
      <c r="B532" s="94" t="s">
        <v>402</v>
      </c>
      <c r="C532" s="90" t="s">
        <v>6</v>
      </c>
      <c r="D532" s="91" t="s">
        <v>96</v>
      </c>
      <c r="E532" s="92">
        <v>0</v>
      </c>
      <c r="F532" s="93">
        <v>0</v>
      </c>
      <c r="G532" s="93">
        <v>0</v>
      </c>
      <c r="H532" s="93"/>
      <c r="I532" s="93"/>
      <c r="J532" s="88"/>
      <c r="K532" s="94"/>
      <c r="L532" s="90"/>
      <c r="M532" s="91"/>
      <c r="N532" s="92"/>
      <c r="O532" s="93"/>
      <c r="P532" s="93"/>
      <c r="Q532" s="93"/>
      <c r="R532" s="93"/>
      <c r="S532" s="125"/>
      <c r="T532" s="94"/>
      <c r="U532" s="90"/>
      <c r="V532" s="91"/>
      <c r="W532" s="92"/>
      <c r="X532" s="93"/>
      <c r="Y532" s="93"/>
      <c r="Z532" s="93"/>
      <c r="AA532" s="93"/>
    </row>
    <row r="533" spans="1:27" x14ac:dyDescent="0.25">
      <c r="A533" s="88">
        <v>532</v>
      </c>
      <c r="B533" s="89" t="s">
        <v>352</v>
      </c>
      <c r="C533" s="90" t="s">
        <v>16</v>
      </c>
      <c r="D533" s="91" t="s">
        <v>63</v>
      </c>
      <c r="E533" s="92">
        <v>0</v>
      </c>
      <c r="F533" s="93">
        <v>0</v>
      </c>
      <c r="G533" s="93">
        <v>0</v>
      </c>
      <c r="H533" s="93"/>
      <c r="I533" s="93"/>
      <c r="J533" s="88"/>
      <c r="K533" s="94"/>
      <c r="L533" s="90"/>
      <c r="M533" s="91"/>
      <c r="N533" s="92"/>
      <c r="O533" s="93"/>
      <c r="P533" s="93"/>
      <c r="Q533" s="93"/>
      <c r="R533" s="93"/>
      <c r="S533" s="125"/>
      <c r="T533" s="94"/>
      <c r="U533" s="90"/>
      <c r="V533" s="91"/>
      <c r="W533" s="92"/>
      <c r="X533" s="93"/>
      <c r="Y533" s="93"/>
      <c r="Z533" s="93"/>
      <c r="AA533" s="93"/>
    </row>
    <row r="534" spans="1:27" x14ac:dyDescent="0.25">
      <c r="A534" s="88">
        <v>533</v>
      </c>
      <c r="B534" s="89" t="s">
        <v>347</v>
      </c>
      <c r="C534" s="90" t="s">
        <v>6</v>
      </c>
      <c r="D534" s="91" t="s">
        <v>348</v>
      </c>
      <c r="E534" s="92">
        <v>0</v>
      </c>
      <c r="F534" s="93">
        <v>0</v>
      </c>
      <c r="G534" s="93">
        <v>0</v>
      </c>
      <c r="H534" s="93"/>
      <c r="I534" s="93"/>
      <c r="J534" s="88"/>
      <c r="K534" s="94"/>
      <c r="L534" s="90"/>
      <c r="M534" s="91"/>
      <c r="N534" s="92"/>
      <c r="O534" s="93"/>
      <c r="P534" s="93"/>
      <c r="Q534" s="93"/>
      <c r="R534" s="93"/>
      <c r="S534" s="125"/>
      <c r="T534" s="94"/>
      <c r="U534" s="90"/>
      <c r="V534" s="91"/>
      <c r="W534" s="92"/>
      <c r="X534" s="93"/>
      <c r="Y534" s="93"/>
      <c r="Z534" s="93"/>
      <c r="AA534" s="93"/>
    </row>
    <row r="535" spans="1:27" x14ac:dyDescent="0.25">
      <c r="A535" s="88">
        <v>534</v>
      </c>
      <c r="B535" s="94" t="s">
        <v>444</v>
      </c>
      <c r="C535" s="90" t="s">
        <v>6</v>
      </c>
      <c r="D535" s="91" t="s">
        <v>69</v>
      </c>
      <c r="E535" s="92">
        <v>0</v>
      </c>
      <c r="F535" s="93">
        <v>0</v>
      </c>
      <c r="G535" s="93">
        <v>0</v>
      </c>
      <c r="H535" s="93"/>
      <c r="I535" s="93"/>
      <c r="J535" s="88"/>
      <c r="K535" s="94"/>
      <c r="L535" s="90"/>
      <c r="M535" s="91"/>
      <c r="N535" s="92"/>
      <c r="O535" s="93"/>
      <c r="P535" s="93"/>
      <c r="Q535" s="93"/>
      <c r="R535" s="93"/>
      <c r="S535" s="125"/>
      <c r="T535" s="94"/>
      <c r="U535" s="90"/>
      <c r="V535" s="91"/>
      <c r="W535" s="92"/>
      <c r="X535" s="93"/>
      <c r="Y535" s="93"/>
      <c r="Z535" s="93"/>
      <c r="AA535" s="93"/>
    </row>
    <row r="536" spans="1:27" x14ac:dyDescent="0.25">
      <c r="A536" s="88">
        <v>535</v>
      </c>
      <c r="B536" s="89" t="s">
        <v>273</v>
      </c>
      <c r="C536" s="90" t="s">
        <v>6</v>
      </c>
      <c r="D536" s="91" t="s">
        <v>69</v>
      </c>
      <c r="E536" s="92">
        <v>0</v>
      </c>
      <c r="F536" s="93">
        <v>0</v>
      </c>
      <c r="G536" s="93">
        <v>0</v>
      </c>
      <c r="H536" s="93"/>
      <c r="I536" s="93"/>
      <c r="J536" s="88"/>
      <c r="K536" s="94"/>
      <c r="L536" s="90"/>
      <c r="M536" s="91"/>
      <c r="N536" s="92"/>
      <c r="O536" s="93"/>
      <c r="P536" s="93"/>
      <c r="Q536" s="93"/>
      <c r="R536" s="93"/>
      <c r="S536" s="125"/>
      <c r="T536" s="94"/>
      <c r="U536" s="90"/>
      <c r="V536" s="91"/>
      <c r="W536" s="92"/>
      <c r="X536" s="93"/>
      <c r="Y536" s="93"/>
      <c r="Z536" s="93"/>
      <c r="AA536" s="93"/>
    </row>
    <row r="537" spans="1:27" x14ac:dyDescent="0.25">
      <c r="A537" s="88">
        <v>536</v>
      </c>
      <c r="B537" s="89" t="s">
        <v>525</v>
      </c>
      <c r="C537" s="90" t="s">
        <v>16</v>
      </c>
      <c r="D537" s="91" t="s">
        <v>63</v>
      </c>
      <c r="E537" s="92">
        <v>0</v>
      </c>
      <c r="F537" s="93">
        <v>0</v>
      </c>
      <c r="G537" s="93">
        <v>0</v>
      </c>
      <c r="H537" s="93"/>
      <c r="I537" s="93"/>
      <c r="J537" s="88"/>
      <c r="K537" s="94"/>
      <c r="L537" s="90"/>
      <c r="M537" s="91"/>
      <c r="N537" s="92"/>
      <c r="O537" s="93"/>
      <c r="P537" s="93"/>
      <c r="Q537" s="93"/>
      <c r="R537" s="93"/>
      <c r="S537" s="125"/>
      <c r="T537" s="94"/>
      <c r="U537" s="90"/>
      <c r="V537" s="91"/>
      <c r="W537" s="92"/>
      <c r="X537" s="93"/>
      <c r="Y537" s="93"/>
      <c r="Z537" s="93"/>
      <c r="AA537" s="93"/>
    </row>
    <row r="538" spans="1:27" x14ac:dyDescent="0.25">
      <c r="A538" s="88">
        <v>537</v>
      </c>
      <c r="B538" s="89" t="s">
        <v>501</v>
      </c>
      <c r="C538" s="90" t="s">
        <v>6</v>
      </c>
      <c r="D538" s="91" t="s">
        <v>62</v>
      </c>
      <c r="E538" s="92">
        <v>0</v>
      </c>
      <c r="F538" s="93">
        <v>0</v>
      </c>
      <c r="G538" s="93">
        <v>0</v>
      </c>
      <c r="H538" s="93"/>
      <c r="I538" s="93"/>
      <c r="J538" s="88"/>
      <c r="K538" s="94"/>
      <c r="L538" s="90"/>
      <c r="M538" s="91"/>
      <c r="N538" s="92"/>
      <c r="O538" s="93"/>
      <c r="P538" s="93"/>
      <c r="Q538" s="93"/>
      <c r="R538" s="93"/>
      <c r="S538" s="125"/>
      <c r="T538" s="94"/>
      <c r="U538" s="90"/>
      <c r="V538" s="91"/>
      <c r="W538" s="92"/>
      <c r="X538" s="93"/>
      <c r="Y538" s="93"/>
      <c r="Z538" s="93"/>
      <c r="AA538" s="93"/>
    </row>
    <row r="539" spans="1:27" x14ac:dyDescent="0.25">
      <c r="A539" s="88">
        <v>538</v>
      </c>
      <c r="B539" s="94" t="s">
        <v>433</v>
      </c>
      <c r="C539" s="90" t="s">
        <v>16</v>
      </c>
      <c r="D539" s="90" t="s">
        <v>57</v>
      </c>
      <c r="E539" s="92">
        <v>0</v>
      </c>
      <c r="F539" s="93">
        <v>0</v>
      </c>
      <c r="G539" s="93">
        <v>0</v>
      </c>
      <c r="H539" s="93"/>
      <c r="I539" s="93"/>
      <c r="J539" s="88"/>
      <c r="K539" s="94"/>
      <c r="L539" s="90"/>
      <c r="M539" s="91"/>
      <c r="N539" s="92"/>
      <c r="O539" s="93"/>
      <c r="P539" s="93"/>
      <c r="Q539" s="93"/>
      <c r="R539" s="93"/>
      <c r="S539" s="125"/>
      <c r="T539" s="94"/>
      <c r="U539" s="90"/>
      <c r="V539" s="91"/>
      <c r="W539" s="92"/>
      <c r="X539" s="93"/>
      <c r="Y539" s="93"/>
      <c r="Z539" s="93"/>
      <c r="AA539" s="93"/>
    </row>
    <row r="540" spans="1:27" x14ac:dyDescent="0.25">
      <c r="A540" s="88">
        <v>539</v>
      </c>
      <c r="B540" s="94" t="s">
        <v>403</v>
      </c>
      <c r="C540" s="90" t="s">
        <v>6</v>
      </c>
      <c r="D540" s="91" t="s">
        <v>58</v>
      </c>
      <c r="E540" s="92">
        <v>0</v>
      </c>
      <c r="F540" s="93">
        <v>0</v>
      </c>
      <c r="G540" s="93">
        <v>0</v>
      </c>
      <c r="H540" s="93"/>
      <c r="I540" s="93"/>
      <c r="J540" s="88"/>
      <c r="K540" s="94"/>
      <c r="L540" s="90"/>
      <c r="M540" s="91"/>
      <c r="N540" s="92"/>
      <c r="O540" s="93"/>
      <c r="P540" s="93"/>
      <c r="Q540" s="93"/>
      <c r="R540" s="93"/>
      <c r="S540" s="125"/>
      <c r="T540" s="94"/>
      <c r="U540" s="90"/>
      <c r="V540" s="91"/>
      <c r="W540" s="92"/>
      <c r="X540" s="93"/>
      <c r="Y540" s="93"/>
      <c r="Z540" s="93"/>
      <c r="AA540" s="93"/>
    </row>
    <row r="541" spans="1:27" x14ac:dyDescent="0.25">
      <c r="A541" s="88">
        <v>540</v>
      </c>
      <c r="B541" s="89" t="s">
        <v>191</v>
      </c>
      <c r="C541" s="90" t="s">
        <v>6</v>
      </c>
      <c r="D541" s="91" t="s">
        <v>57</v>
      </c>
      <c r="E541" s="92">
        <v>0</v>
      </c>
      <c r="F541" s="93">
        <v>0</v>
      </c>
      <c r="G541" s="93">
        <v>0</v>
      </c>
      <c r="H541" s="93"/>
      <c r="I541" s="93"/>
      <c r="J541" s="88"/>
      <c r="K541" s="94"/>
      <c r="L541" s="90"/>
      <c r="M541" s="91"/>
      <c r="N541" s="92"/>
      <c r="O541" s="93"/>
      <c r="P541" s="93"/>
      <c r="Q541" s="93"/>
      <c r="R541" s="93"/>
      <c r="S541" s="125"/>
      <c r="T541" s="94"/>
      <c r="U541" s="90"/>
      <c r="V541" s="91"/>
      <c r="W541" s="92"/>
      <c r="X541" s="93"/>
      <c r="Y541" s="93"/>
      <c r="Z541" s="93"/>
      <c r="AA541" s="93"/>
    </row>
    <row r="542" spans="1:27" x14ac:dyDescent="0.25">
      <c r="A542" s="88">
        <v>541</v>
      </c>
      <c r="B542" s="94" t="s">
        <v>665</v>
      </c>
      <c r="C542" s="90" t="s">
        <v>6</v>
      </c>
      <c r="D542" s="91" t="s">
        <v>62</v>
      </c>
      <c r="E542" s="92">
        <v>0</v>
      </c>
      <c r="F542" s="93">
        <v>0</v>
      </c>
      <c r="G542" s="93">
        <v>0</v>
      </c>
      <c r="H542" s="93"/>
      <c r="I542" s="93"/>
      <c r="J542" s="88"/>
      <c r="K542" s="94"/>
      <c r="L542" s="90"/>
      <c r="M542" s="91"/>
      <c r="N542" s="92"/>
      <c r="O542" s="93"/>
      <c r="P542" s="93"/>
      <c r="Q542" s="93"/>
      <c r="R542" s="93"/>
      <c r="S542" s="125"/>
      <c r="T542" s="94"/>
      <c r="U542" s="90"/>
      <c r="V542" s="91"/>
      <c r="W542" s="92"/>
      <c r="X542" s="93"/>
      <c r="Y542" s="93"/>
      <c r="Z542" s="93"/>
      <c r="AA542" s="93"/>
    </row>
    <row r="543" spans="1:27" x14ac:dyDescent="0.25">
      <c r="A543" s="88">
        <v>541</v>
      </c>
      <c r="B543" s="94" t="s">
        <v>366</v>
      </c>
      <c r="C543" s="90" t="s">
        <v>16</v>
      </c>
      <c r="D543" s="90" t="s">
        <v>63</v>
      </c>
      <c r="E543" s="92">
        <v>0</v>
      </c>
      <c r="F543" s="93">
        <v>0</v>
      </c>
      <c r="G543" s="93">
        <v>0</v>
      </c>
      <c r="H543" s="93"/>
      <c r="I543" s="93"/>
      <c r="J543" s="88"/>
      <c r="K543" s="94"/>
      <c r="L543" s="90"/>
      <c r="M543" s="91"/>
      <c r="N543" s="92"/>
      <c r="O543" s="93"/>
      <c r="P543" s="93"/>
      <c r="Q543" s="93"/>
      <c r="R543" s="93"/>
      <c r="S543" s="125"/>
      <c r="T543" s="94"/>
      <c r="U543" s="90"/>
      <c r="V543" s="91"/>
      <c r="W543" s="92"/>
      <c r="X543" s="93"/>
      <c r="Y543" s="93"/>
      <c r="Z543" s="93"/>
      <c r="AA543" s="93"/>
    </row>
    <row r="544" spans="1:27" x14ac:dyDescent="0.25">
      <c r="A544" s="88">
        <v>542</v>
      </c>
      <c r="B544" s="94" t="s">
        <v>288</v>
      </c>
      <c r="C544" s="90" t="s">
        <v>6</v>
      </c>
      <c r="D544" s="91" t="s">
        <v>69</v>
      </c>
      <c r="E544" s="92">
        <v>0</v>
      </c>
      <c r="F544" s="93">
        <v>0</v>
      </c>
      <c r="G544" s="93">
        <v>0</v>
      </c>
      <c r="H544" s="93"/>
      <c r="I544" s="93"/>
      <c r="J544" s="88"/>
      <c r="K544" s="94"/>
      <c r="L544" s="90"/>
      <c r="M544" s="91"/>
      <c r="N544" s="92"/>
      <c r="O544" s="93"/>
      <c r="P544" s="93"/>
      <c r="Q544" s="93"/>
      <c r="R544" s="93"/>
      <c r="S544" s="125"/>
      <c r="T544" s="94"/>
      <c r="U544" s="90"/>
      <c r="V544" s="91"/>
      <c r="W544" s="92"/>
      <c r="X544" s="93"/>
      <c r="Y544" s="93"/>
      <c r="Z544" s="93"/>
      <c r="AA544" s="93"/>
    </row>
    <row r="545" spans="1:27" x14ac:dyDescent="0.25">
      <c r="A545" s="88">
        <v>543</v>
      </c>
      <c r="B545" s="94" t="s">
        <v>333</v>
      </c>
      <c r="C545" s="90" t="s">
        <v>6</v>
      </c>
      <c r="D545" s="91" t="s">
        <v>62</v>
      </c>
      <c r="E545" s="92">
        <v>0</v>
      </c>
      <c r="F545" s="93">
        <v>0</v>
      </c>
      <c r="G545" s="93">
        <v>0</v>
      </c>
      <c r="H545" s="93"/>
      <c r="I545" s="93"/>
      <c r="J545" s="88"/>
      <c r="K545" s="94"/>
      <c r="L545" s="90"/>
      <c r="M545" s="91"/>
      <c r="N545" s="92"/>
      <c r="O545" s="93"/>
      <c r="P545" s="93"/>
      <c r="Q545" s="93"/>
      <c r="R545" s="93"/>
      <c r="S545" s="125"/>
      <c r="T545" s="94"/>
      <c r="U545" s="90"/>
      <c r="V545" s="91"/>
      <c r="W545" s="92"/>
      <c r="X545" s="93"/>
      <c r="Y545" s="93"/>
      <c r="Z545" s="93"/>
      <c r="AA545" s="93"/>
    </row>
    <row r="546" spans="1:27" x14ac:dyDescent="0.25">
      <c r="A546" s="88">
        <v>544</v>
      </c>
      <c r="B546" s="94" t="s">
        <v>209</v>
      </c>
      <c r="C546" s="90" t="s">
        <v>6</v>
      </c>
      <c r="D546" s="91" t="s">
        <v>69</v>
      </c>
      <c r="E546" s="92">
        <v>0</v>
      </c>
      <c r="F546" s="93">
        <v>0</v>
      </c>
      <c r="G546" s="93">
        <v>0</v>
      </c>
      <c r="H546" s="93"/>
      <c r="I546" s="93"/>
      <c r="J546" s="88"/>
      <c r="K546" s="94"/>
      <c r="L546" s="90"/>
      <c r="M546" s="91"/>
      <c r="N546" s="92"/>
      <c r="O546" s="93"/>
      <c r="P546" s="93"/>
      <c r="Q546" s="93"/>
      <c r="R546" s="93"/>
      <c r="S546" s="125"/>
      <c r="T546" s="94"/>
      <c r="U546" s="90"/>
      <c r="V546" s="91"/>
      <c r="W546" s="92"/>
      <c r="X546" s="93"/>
      <c r="Y546" s="93"/>
      <c r="Z546" s="93"/>
      <c r="AA546" s="93"/>
    </row>
    <row r="547" spans="1:27" x14ac:dyDescent="0.25">
      <c r="A547" s="88">
        <v>545</v>
      </c>
      <c r="B547" s="94" t="s">
        <v>320</v>
      </c>
      <c r="C547" s="90" t="s">
        <v>6</v>
      </c>
      <c r="D547" s="91" t="s">
        <v>88</v>
      </c>
      <c r="E547" s="92">
        <v>0</v>
      </c>
      <c r="F547" s="93">
        <v>0</v>
      </c>
      <c r="G547" s="93">
        <v>0</v>
      </c>
      <c r="H547" s="93"/>
      <c r="I547" s="93"/>
      <c r="J547" s="88"/>
      <c r="K547" s="94"/>
      <c r="L547" s="90"/>
      <c r="M547" s="91"/>
      <c r="N547" s="92"/>
      <c r="O547" s="93"/>
      <c r="P547" s="93"/>
      <c r="Q547" s="93"/>
      <c r="R547" s="93"/>
      <c r="S547" s="125"/>
      <c r="T547" s="94"/>
      <c r="U547" s="90"/>
      <c r="V547" s="91"/>
      <c r="W547" s="92"/>
      <c r="X547" s="93"/>
      <c r="Y547" s="93"/>
      <c r="Z547" s="93"/>
      <c r="AA547" s="93"/>
    </row>
    <row r="548" spans="1:27" x14ac:dyDescent="0.25">
      <c r="A548" s="88">
        <v>546</v>
      </c>
      <c r="B548" s="94" t="s">
        <v>169</v>
      </c>
      <c r="C548" s="90" t="s">
        <v>16</v>
      </c>
      <c r="D548" s="91" t="s">
        <v>64</v>
      </c>
      <c r="E548" s="92">
        <v>0</v>
      </c>
      <c r="F548" s="93">
        <v>0</v>
      </c>
      <c r="G548" s="93">
        <v>0</v>
      </c>
      <c r="H548" s="93"/>
      <c r="I548" s="93"/>
      <c r="J548" s="88"/>
      <c r="K548" s="94"/>
      <c r="L548" s="90"/>
      <c r="M548" s="91"/>
      <c r="N548" s="92"/>
      <c r="O548" s="93"/>
      <c r="P548" s="93"/>
      <c r="Q548" s="93"/>
      <c r="R548" s="93"/>
      <c r="S548" s="125"/>
      <c r="T548" s="94"/>
      <c r="U548" s="90"/>
      <c r="V548" s="91"/>
      <c r="W548" s="92"/>
      <c r="X548" s="93"/>
      <c r="Y548" s="93"/>
      <c r="Z548" s="93"/>
      <c r="AA548" s="93"/>
    </row>
    <row r="549" spans="1:27" x14ac:dyDescent="0.25">
      <c r="A549" s="88">
        <v>547</v>
      </c>
      <c r="B549" s="89" t="s">
        <v>374</v>
      </c>
      <c r="C549" s="90" t="s">
        <v>6</v>
      </c>
      <c r="D549" s="91" t="s">
        <v>380</v>
      </c>
      <c r="E549" s="92">
        <v>0</v>
      </c>
      <c r="F549" s="93">
        <v>0</v>
      </c>
      <c r="G549" s="93">
        <v>0</v>
      </c>
      <c r="H549" s="93"/>
      <c r="I549" s="93"/>
      <c r="J549" s="88"/>
      <c r="K549" s="94"/>
      <c r="L549" s="90"/>
      <c r="M549" s="91"/>
      <c r="N549" s="92"/>
      <c r="O549" s="93"/>
      <c r="P549" s="93"/>
      <c r="Q549" s="93"/>
      <c r="R549" s="93"/>
      <c r="S549" s="125"/>
      <c r="T549" s="94"/>
      <c r="U549" s="90"/>
      <c r="V549" s="91"/>
      <c r="W549" s="92"/>
      <c r="X549" s="93"/>
      <c r="Y549" s="93"/>
      <c r="Z549" s="93"/>
      <c r="AA549" s="93"/>
    </row>
    <row r="550" spans="1:27" x14ac:dyDescent="0.25">
      <c r="A550" s="88">
        <v>548</v>
      </c>
      <c r="B550" s="94" t="s">
        <v>278</v>
      </c>
      <c r="C550" s="90" t="s">
        <v>6</v>
      </c>
      <c r="D550" s="91" t="s">
        <v>62</v>
      </c>
      <c r="E550" s="92">
        <v>0</v>
      </c>
      <c r="F550" s="93">
        <v>0</v>
      </c>
      <c r="G550" s="93">
        <v>0</v>
      </c>
      <c r="H550" s="93"/>
      <c r="I550" s="93"/>
      <c r="J550" s="88"/>
      <c r="K550" s="94"/>
      <c r="L550" s="90"/>
      <c r="M550" s="91"/>
      <c r="N550" s="92"/>
      <c r="O550" s="93"/>
      <c r="P550" s="93"/>
      <c r="Q550" s="93"/>
      <c r="R550" s="93"/>
      <c r="S550" s="125"/>
      <c r="T550" s="94"/>
      <c r="U550" s="90"/>
      <c r="V550" s="91"/>
      <c r="W550" s="92"/>
      <c r="X550" s="93"/>
      <c r="Y550" s="93"/>
      <c r="Z550" s="93"/>
      <c r="AA550" s="93"/>
    </row>
    <row r="551" spans="1:27" x14ac:dyDescent="0.25">
      <c r="A551" s="88">
        <v>549</v>
      </c>
      <c r="B551" s="89" t="s">
        <v>464</v>
      </c>
      <c r="C551" s="90" t="s">
        <v>16</v>
      </c>
      <c r="D551" s="91" t="s">
        <v>58</v>
      </c>
      <c r="E551" s="92">
        <v>0</v>
      </c>
      <c r="F551" s="93">
        <v>0</v>
      </c>
      <c r="G551" s="93">
        <v>0</v>
      </c>
      <c r="H551" s="93"/>
      <c r="I551" s="93"/>
      <c r="J551" s="88"/>
      <c r="K551" s="94"/>
      <c r="L551" s="90"/>
      <c r="M551" s="91"/>
      <c r="N551" s="92"/>
      <c r="O551" s="93"/>
      <c r="P551" s="93"/>
      <c r="Q551" s="93"/>
      <c r="R551" s="93"/>
      <c r="S551" s="125"/>
      <c r="T551" s="94"/>
      <c r="U551" s="90"/>
      <c r="V551" s="91"/>
      <c r="W551" s="92"/>
      <c r="X551" s="93"/>
      <c r="Y551" s="93"/>
      <c r="Z551" s="93"/>
      <c r="AA551" s="93"/>
    </row>
    <row r="552" spans="1:27" x14ac:dyDescent="0.25">
      <c r="A552" s="88">
        <v>550</v>
      </c>
      <c r="B552" s="94" t="s">
        <v>237</v>
      </c>
      <c r="C552" s="90" t="s">
        <v>16</v>
      </c>
      <c r="D552" s="91" t="s">
        <v>57</v>
      </c>
      <c r="E552" s="92">
        <v>0</v>
      </c>
      <c r="F552" s="93">
        <v>0</v>
      </c>
      <c r="G552" s="93">
        <v>0</v>
      </c>
      <c r="H552" s="93"/>
      <c r="I552" s="93"/>
      <c r="J552" s="88"/>
      <c r="K552" s="94"/>
      <c r="L552" s="90"/>
      <c r="M552" s="91"/>
      <c r="N552" s="92"/>
      <c r="O552" s="93"/>
      <c r="P552" s="93"/>
      <c r="Q552" s="93"/>
      <c r="R552" s="93"/>
      <c r="S552" s="125"/>
      <c r="T552" s="94"/>
      <c r="U552" s="90"/>
      <c r="V552" s="91"/>
      <c r="W552" s="92"/>
      <c r="X552" s="93"/>
      <c r="Y552" s="93"/>
      <c r="Z552" s="93"/>
      <c r="AA552" s="93"/>
    </row>
    <row r="553" spans="1:27" x14ac:dyDescent="0.25">
      <c r="A553" s="88">
        <v>551</v>
      </c>
      <c r="B553" s="89" t="s">
        <v>233</v>
      </c>
      <c r="C553" s="90" t="s">
        <v>16</v>
      </c>
      <c r="D553" s="91" t="s">
        <v>89</v>
      </c>
      <c r="E553" s="92">
        <v>0</v>
      </c>
      <c r="F553" s="93">
        <v>0</v>
      </c>
      <c r="G553" s="93">
        <v>0</v>
      </c>
      <c r="H553" s="93"/>
      <c r="I553" s="93"/>
      <c r="J553" s="88"/>
      <c r="K553" s="94"/>
      <c r="L553" s="90"/>
      <c r="M553" s="91"/>
      <c r="N553" s="92"/>
      <c r="O553" s="93"/>
      <c r="P553" s="93"/>
      <c r="Q553" s="93"/>
      <c r="R553" s="93"/>
      <c r="S553" s="125"/>
      <c r="T553" s="94"/>
      <c r="U553" s="90"/>
      <c r="V553" s="91"/>
      <c r="W553" s="92"/>
      <c r="X553" s="93"/>
      <c r="Y553" s="93"/>
      <c r="Z553" s="93"/>
      <c r="AA553" s="93"/>
    </row>
    <row r="554" spans="1:27" x14ac:dyDescent="0.25">
      <c r="A554" s="88">
        <v>552</v>
      </c>
      <c r="B554" s="89" t="s">
        <v>294</v>
      </c>
      <c r="C554" s="90" t="s">
        <v>16</v>
      </c>
      <c r="D554" s="91" t="s">
        <v>89</v>
      </c>
      <c r="E554" s="92">
        <v>0</v>
      </c>
      <c r="F554" s="93">
        <v>0</v>
      </c>
      <c r="G554" s="93">
        <v>0</v>
      </c>
      <c r="H554" s="93"/>
      <c r="I554" s="93"/>
      <c r="J554" s="88"/>
      <c r="K554" s="94"/>
      <c r="L554" s="90"/>
      <c r="M554" s="91"/>
      <c r="N554" s="92"/>
      <c r="O554" s="93"/>
      <c r="P554" s="93"/>
      <c r="Q554" s="93"/>
      <c r="R554" s="93"/>
      <c r="S554" s="125"/>
      <c r="T554" s="94"/>
      <c r="U554" s="90"/>
      <c r="V554" s="91"/>
      <c r="W554" s="92"/>
      <c r="X554" s="93"/>
      <c r="Y554" s="93"/>
      <c r="Z554" s="93"/>
      <c r="AA554" s="93"/>
    </row>
    <row r="555" spans="1:27" x14ac:dyDescent="0.25">
      <c r="A555" s="88">
        <v>553</v>
      </c>
      <c r="B555" s="89" t="s">
        <v>393</v>
      </c>
      <c r="C555" s="90" t="s">
        <v>16</v>
      </c>
      <c r="D555" s="91" t="s">
        <v>64</v>
      </c>
      <c r="E555" s="92">
        <v>0</v>
      </c>
      <c r="F555" s="93">
        <v>0</v>
      </c>
      <c r="G555" s="93">
        <v>0</v>
      </c>
      <c r="H555" s="93"/>
      <c r="I555" s="93"/>
      <c r="J555" s="88"/>
      <c r="K555" s="94"/>
      <c r="L555" s="90"/>
      <c r="M555" s="91"/>
      <c r="N555" s="92"/>
      <c r="O555" s="93"/>
      <c r="P555" s="93"/>
      <c r="Q555" s="93"/>
      <c r="R555" s="93"/>
      <c r="S555" s="125"/>
      <c r="T555" s="94"/>
      <c r="U555" s="90"/>
      <c r="V555" s="91"/>
      <c r="W555" s="92"/>
      <c r="X555" s="93"/>
      <c r="Y555" s="93"/>
      <c r="Z555" s="93"/>
      <c r="AA555" s="93"/>
    </row>
    <row r="556" spans="1:27" x14ac:dyDescent="0.25">
      <c r="A556" s="88">
        <v>554</v>
      </c>
      <c r="B556" s="94" t="s">
        <v>439</v>
      </c>
      <c r="C556" s="90" t="s">
        <v>6</v>
      </c>
      <c r="D556" s="91" t="s">
        <v>57</v>
      </c>
      <c r="E556" s="92">
        <v>0</v>
      </c>
      <c r="F556" s="93">
        <v>0</v>
      </c>
      <c r="G556" s="93">
        <v>0</v>
      </c>
      <c r="H556" s="93"/>
      <c r="I556" s="93"/>
      <c r="J556" s="88"/>
      <c r="K556" s="94"/>
      <c r="L556" s="90"/>
      <c r="M556" s="91"/>
      <c r="N556" s="92"/>
      <c r="O556" s="93"/>
      <c r="P556" s="93"/>
      <c r="Q556" s="93"/>
      <c r="R556" s="93"/>
      <c r="S556" s="125"/>
      <c r="T556" s="94"/>
      <c r="U556" s="90"/>
      <c r="V556" s="91"/>
      <c r="W556" s="92"/>
      <c r="X556" s="93"/>
      <c r="Y556" s="93"/>
      <c r="Z556" s="93"/>
      <c r="AA556" s="93"/>
    </row>
    <row r="557" spans="1:27" x14ac:dyDescent="0.25">
      <c r="A557" s="88">
        <v>555</v>
      </c>
      <c r="B557" s="89" t="s">
        <v>661</v>
      </c>
      <c r="C557" s="90" t="s">
        <v>6</v>
      </c>
      <c r="D557" s="91" t="s">
        <v>69</v>
      </c>
      <c r="E557" s="92">
        <v>0</v>
      </c>
      <c r="F557" s="93">
        <v>0</v>
      </c>
      <c r="G557" s="93">
        <v>0</v>
      </c>
      <c r="H557" s="93"/>
      <c r="I557" s="93"/>
      <c r="J557" s="88"/>
      <c r="K557" s="94"/>
      <c r="L557" s="90"/>
      <c r="M557" s="91"/>
      <c r="N557" s="92"/>
      <c r="O557" s="93"/>
      <c r="P557" s="93"/>
      <c r="Q557" s="93"/>
      <c r="R557" s="93"/>
      <c r="S557" s="125"/>
      <c r="T557" s="94"/>
      <c r="U557" s="90"/>
      <c r="V557" s="91"/>
      <c r="W557" s="92"/>
      <c r="X557" s="93"/>
      <c r="Y557" s="93"/>
      <c r="Z557" s="93"/>
      <c r="AA557" s="93"/>
    </row>
    <row r="558" spans="1:27" x14ac:dyDescent="0.25">
      <c r="A558" s="88">
        <v>556</v>
      </c>
      <c r="B558" s="89" t="s">
        <v>312</v>
      </c>
      <c r="C558" s="90" t="s">
        <v>6</v>
      </c>
      <c r="D558" s="91" t="s">
        <v>77</v>
      </c>
      <c r="E558" s="92">
        <v>0</v>
      </c>
      <c r="F558" s="93">
        <v>0</v>
      </c>
      <c r="G558" s="93">
        <v>0</v>
      </c>
      <c r="H558" s="93"/>
      <c r="I558" s="93"/>
      <c r="J558" s="88"/>
      <c r="K558" s="94"/>
      <c r="L558" s="90"/>
      <c r="M558" s="91"/>
      <c r="N558" s="92"/>
      <c r="O558" s="93"/>
      <c r="P558" s="93"/>
      <c r="Q558" s="93"/>
      <c r="R558" s="93"/>
      <c r="S558" s="125"/>
      <c r="T558" s="94"/>
      <c r="U558" s="90"/>
      <c r="V558" s="91"/>
      <c r="W558" s="92"/>
      <c r="X558" s="93"/>
      <c r="Y558" s="93"/>
      <c r="Z558" s="93"/>
      <c r="AA558" s="93"/>
    </row>
    <row r="559" spans="1:27" x14ac:dyDescent="0.25">
      <c r="A559" s="88">
        <v>557</v>
      </c>
      <c r="B559" s="94" t="s">
        <v>279</v>
      </c>
      <c r="C559" s="90" t="s">
        <v>6</v>
      </c>
      <c r="D559" s="91" t="s">
        <v>62</v>
      </c>
      <c r="E559" s="92">
        <v>0</v>
      </c>
      <c r="F559" s="93">
        <v>0</v>
      </c>
      <c r="G559" s="93">
        <v>0</v>
      </c>
      <c r="H559" s="93"/>
      <c r="I559" s="93"/>
      <c r="J559" s="88"/>
      <c r="K559" s="94"/>
      <c r="L559" s="90"/>
      <c r="M559" s="91"/>
      <c r="N559" s="92"/>
      <c r="O559" s="93"/>
      <c r="P559" s="93"/>
      <c r="Q559" s="93"/>
      <c r="R559" s="93"/>
      <c r="S559" s="125"/>
      <c r="T559" s="94"/>
      <c r="U559" s="90"/>
      <c r="V559" s="91"/>
      <c r="W559" s="92"/>
      <c r="X559" s="93"/>
      <c r="Y559" s="93"/>
      <c r="Z559" s="93"/>
      <c r="AA559" s="93"/>
    </row>
    <row r="560" spans="1:27" x14ac:dyDescent="0.25">
      <c r="A560" s="88">
        <v>558</v>
      </c>
      <c r="B560" s="89" t="s">
        <v>327</v>
      </c>
      <c r="C560" s="90" t="s">
        <v>16</v>
      </c>
      <c r="D560" s="91" t="s">
        <v>151</v>
      </c>
      <c r="E560" s="92">
        <v>0</v>
      </c>
      <c r="F560" s="93">
        <v>0</v>
      </c>
      <c r="G560" s="93">
        <v>0</v>
      </c>
      <c r="H560" s="93"/>
      <c r="I560" s="93"/>
      <c r="J560" s="88"/>
      <c r="K560" s="94"/>
      <c r="L560" s="90"/>
      <c r="M560" s="91"/>
      <c r="N560" s="92"/>
      <c r="O560" s="93"/>
      <c r="P560" s="93"/>
      <c r="Q560" s="93"/>
      <c r="R560" s="93"/>
      <c r="S560" s="125"/>
      <c r="T560" s="94"/>
      <c r="U560" s="90"/>
      <c r="V560" s="91"/>
      <c r="W560" s="92"/>
      <c r="X560" s="93"/>
      <c r="Y560" s="93"/>
      <c r="Z560" s="93"/>
      <c r="AA560" s="93"/>
    </row>
    <row r="561" spans="1:27" x14ac:dyDescent="0.25">
      <c r="A561" s="88">
        <v>559</v>
      </c>
      <c r="B561" s="94" t="s">
        <v>95</v>
      </c>
      <c r="C561" s="90" t="s">
        <v>6</v>
      </c>
      <c r="D561" s="90" t="s">
        <v>87</v>
      </c>
      <c r="E561" s="92">
        <v>0</v>
      </c>
      <c r="F561" s="93">
        <v>0</v>
      </c>
      <c r="G561" s="93">
        <v>0</v>
      </c>
      <c r="H561" s="93"/>
      <c r="I561" s="93"/>
      <c r="J561" s="88"/>
      <c r="K561" s="94"/>
      <c r="L561" s="90"/>
      <c r="M561" s="91"/>
      <c r="N561" s="92"/>
      <c r="O561" s="93"/>
      <c r="P561" s="93"/>
      <c r="Q561" s="93"/>
      <c r="R561" s="93"/>
      <c r="S561" s="125"/>
      <c r="T561" s="94"/>
      <c r="U561" s="90"/>
      <c r="V561" s="91"/>
      <c r="W561" s="92"/>
      <c r="X561" s="93"/>
      <c r="Y561" s="93"/>
      <c r="Z561" s="93"/>
      <c r="AA561" s="93"/>
    </row>
    <row r="562" spans="1:27" x14ac:dyDescent="0.25">
      <c r="A562" s="88">
        <v>560</v>
      </c>
      <c r="B562" s="94" t="s">
        <v>676</v>
      </c>
      <c r="C562" s="90" t="s">
        <v>6</v>
      </c>
      <c r="D562" s="91" t="s">
        <v>122</v>
      </c>
      <c r="E562" s="92">
        <v>0</v>
      </c>
      <c r="F562" s="93">
        <v>0</v>
      </c>
      <c r="G562" s="93">
        <v>0</v>
      </c>
      <c r="H562" s="93"/>
      <c r="I562" s="93"/>
      <c r="J562" s="88"/>
      <c r="K562" s="94"/>
      <c r="L562" s="90"/>
      <c r="M562" s="91"/>
      <c r="N562" s="92"/>
      <c r="O562" s="93"/>
      <c r="P562" s="93"/>
      <c r="Q562" s="93"/>
      <c r="R562" s="93"/>
      <c r="S562" s="125"/>
      <c r="T562" s="94"/>
      <c r="U562" s="90"/>
      <c r="V562" s="91"/>
      <c r="W562" s="92"/>
      <c r="X562" s="93"/>
      <c r="Y562" s="93"/>
      <c r="Z562" s="93"/>
      <c r="AA562" s="93"/>
    </row>
    <row r="563" spans="1:27" x14ac:dyDescent="0.25">
      <c r="A563" s="88">
        <v>561</v>
      </c>
      <c r="B563" s="94" t="s">
        <v>415</v>
      </c>
      <c r="C563" s="90" t="s">
        <v>6</v>
      </c>
      <c r="D563" s="91" t="s">
        <v>143</v>
      </c>
      <c r="E563" s="92">
        <v>0</v>
      </c>
      <c r="F563" s="93">
        <v>0</v>
      </c>
      <c r="G563" s="93">
        <v>0</v>
      </c>
      <c r="H563" s="93"/>
      <c r="I563" s="93"/>
      <c r="J563" s="88"/>
      <c r="K563" s="94"/>
      <c r="L563" s="90"/>
      <c r="M563" s="91"/>
      <c r="N563" s="92"/>
      <c r="O563" s="93"/>
      <c r="P563" s="93"/>
      <c r="Q563" s="93"/>
      <c r="R563" s="93"/>
      <c r="S563" s="125"/>
      <c r="T563" s="94"/>
      <c r="U563" s="90"/>
      <c r="V563" s="91"/>
      <c r="W563" s="92"/>
      <c r="X563" s="93"/>
      <c r="Y563" s="93"/>
      <c r="Z563" s="93"/>
      <c r="AA563" s="93"/>
    </row>
    <row r="564" spans="1:27" x14ac:dyDescent="0.25">
      <c r="A564" s="88">
        <v>562</v>
      </c>
      <c r="B564" s="89" t="s">
        <v>309</v>
      </c>
      <c r="C564" s="90" t="s">
        <v>6</v>
      </c>
      <c r="D564" s="91" t="s">
        <v>77</v>
      </c>
      <c r="E564" s="92">
        <v>0</v>
      </c>
      <c r="F564" s="93">
        <v>0</v>
      </c>
      <c r="G564" s="93">
        <v>0</v>
      </c>
      <c r="H564" s="93"/>
      <c r="I564" s="93"/>
      <c r="J564" s="88"/>
      <c r="K564" s="94"/>
      <c r="L564" s="90"/>
      <c r="M564" s="91"/>
      <c r="N564" s="92"/>
      <c r="O564" s="93"/>
      <c r="P564" s="93"/>
      <c r="Q564" s="93"/>
      <c r="R564" s="93"/>
      <c r="S564" s="125"/>
      <c r="T564" s="94"/>
      <c r="U564" s="90"/>
      <c r="V564" s="91"/>
      <c r="W564" s="92"/>
      <c r="X564" s="93"/>
      <c r="Y564" s="93"/>
      <c r="Z564" s="93"/>
      <c r="AA564" s="93"/>
    </row>
    <row r="565" spans="1:27" x14ac:dyDescent="0.25">
      <c r="A565" s="88">
        <v>563</v>
      </c>
      <c r="B565" s="94" t="s">
        <v>488</v>
      </c>
      <c r="C565" s="90" t="s">
        <v>6</v>
      </c>
      <c r="D565" s="91" t="s">
        <v>62</v>
      </c>
      <c r="E565" s="92">
        <v>0</v>
      </c>
      <c r="F565" s="93">
        <v>0</v>
      </c>
      <c r="G565" s="93">
        <v>0</v>
      </c>
      <c r="H565" s="93"/>
      <c r="I565" s="93"/>
      <c r="J565" s="88"/>
      <c r="K565" s="94"/>
      <c r="L565" s="90"/>
      <c r="M565" s="91"/>
      <c r="N565" s="92"/>
      <c r="O565" s="93"/>
      <c r="P565" s="93"/>
      <c r="Q565" s="93"/>
      <c r="R565" s="93"/>
      <c r="S565" s="125"/>
      <c r="T565" s="94"/>
      <c r="U565" s="90"/>
      <c r="V565" s="91"/>
      <c r="W565" s="92"/>
      <c r="X565" s="93"/>
      <c r="Y565" s="93"/>
      <c r="Z565" s="93"/>
      <c r="AA565" s="93"/>
    </row>
    <row r="566" spans="1:27" x14ac:dyDescent="0.25">
      <c r="A566" s="88">
        <v>564</v>
      </c>
      <c r="B566" s="94" t="s">
        <v>305</v>
      </c>
      <c r="C566" s="90" t="s">
        <v>6</v>
      </c>
      <c r="D566" s="90" t="s">
        <v>89</v>
      </c>
      <c r="E566" s="92">
        <v>0</v>
      </c>
      <c r="F566" s="93">
        <v>0</v>
      </c>
      <c r="G566" s="93">
        <v>0</v>
      </c>
      <c r="H566" s="93"/>
      <c r="I566" s="93"/>
      <c r="J566" s="88"/>
      <c r="K566" s="94"/>
      <c r="L566" s="90"/>
      <c r="M566" s="91"/>
      <c r="N566" s="92"/>
      <c r="O566" s="93"/>
      <c r="P566" s="93"/>
      <c r="Q566" s="93"/>
      <c r="R566" s="93"/>
      <c r="S566" s="125"/>
      <c r="T566" s="94"/>
      <c r="U566" s="90"/>
      <c r="V566" s="91"/>
      <c r="W566" s="92"/>
      <c r="X566" s="93"/>
      <c r="Y566" s="93"/>
      <c r="Z566" s="93"/>
      <c r="AA566" s="93"/>
    </row>
    <row r="567" spans="1:27" x14ac:dyDescent="0.25">
      <c r="A567" s="88">
        <v>565</v>
      </c>
      <c r="B567" s="89" t="s">
        <v>706</v>
      </c>
      <c r="C567" s="90" t="s">
        <v>6</v>
      </c>
      <c r="D567" s="91" t="s">
        <v>58</v>
      </c>
      <c r="E567" s="92">
        <v>0</v>
      </c>
      <c r="F567" s="93">
        <v>0</v>
      </c>
      <c r="G567" s="93">
        <v>0</v>
      </c>
      <c r="H567" s="93"/>
      <c r="I567" s="93"/>
      <c r="J567" s="88"/>
      <c r="K567" s="94"/>
      <c r="L567" s="90"/>
      <c r="M567" s="91"/>
      <c r="N567" s="92"/>
      <c r="O567" s="93"/>
      <c r="P567" s="93"/>
      <c r="Q567" s="93"/>
      <c r="R567" s="93"/>
      <c r="S567" s="125"/>
      <c r="T567" s="94"/>
      <c r="U567" s="90"/>
      <c r="V567" s="91"/>
      <c r="W567" s="92"/>
      <c r="X567" s="93"/>
      <c r="Y567" s="93"/>
      <c r="Z567" s="93"/>
      <c r="AA567" s="93"/>
    </row>
    <row r="568" spans="1:27" x14ac:dyDescent="0.25">
      <c r="A568" s="88">
        <v>566</v>
      </c>
      <c r="B568" s="89" t="s">
        <v>443</v>
      </c>
      <c r="C568" s="90" t="s">
        <v>6</v>
      </c>
      <c r="D568" s="91" t="s">
        <v>69</v>
      </c>
      <c r="E568" s="92">
        <v>0</v>
      </c>
      <c r="F568" s="93">
        <v>0</v>
      </c>
      <c r="G568" s="93">
        <v>0</v>
      </c>
      <c r="H568" s="93"/>
      <c r="I568" s="93"/>
      <c r="J568" s="88"/>
      <c r="K568" s="94"/>
      <c r="L568" s="90"/>
      <c r="M568" s="91"/>
      <c r="N568" s="92"/>
      <c r="O568" s="93"/>
      <c r="P568" s="93"/>
      <c r="Q568" s="93"/>
      <c r="R568" s="93"/>
      <c r="S568" s="125"/>
      <c r="T568" s="94"/>
      <c r="U568" s="90"/>
      <c r="V568" s="91"/>
      <c r="W568" s="92"/>
      <c r="X568" s="93"/>
      <c r="Y568" s="93"/>
      <c r="Z568" s="93"/>
      <c r="AA568" s="93"/>
    </row>
    <row r="569" spans="1:27" x14ac:dyDescent="0.25">
      <c r="A569" s="88">
        <v>567</v>
      </c>
      <c r="B569" s="89" t="s">
        <v>437</v>
      </c>
      <c r="C569" s="90" t="s">
        <v>6</v>
      </c>
      <c r="D569" s="91" t="s">
        <v>69</v>
      </c>
      <c r="E569" s="92">
        <v>0</v>
      </c>
      <c r="F569" s="93">
        <v>0</v>
      </c>
      <c r="G569" s="93">
        <v>0</v>
      </c>
      <c r="H569" s="93"/>
      <c r="I569" s="93"/>
      <c r="J569" s="88"/>
      <c r="K569" s="94"/>
      <c r="L569" s="90"/>
      <c r="M569" s="91"/>
      <c r="N569" s="92"/>
      <c r="O569" s="93"/>
      <c r="P569" s="93"/>
      <c r="Q569" s="93"/>
      <c r="R569" s="93"/>
      <c r="S569" s="125"/>
      <c r="T569" s="94"/>
      <c r="U569" s="90"/>
      <c r="V569" s="91"/>
      <c r="W569" s="92"/>
      <c r="X569" s="93"/>
      <c r="Y569" s="93"/>
      <c r="Z569" s="93"/>
      <c r="AA569" s="93"/>
    </row>
    <row r="570" spans="1:27" x14ac:dyDescent="0.25">
      <c r="A570" s="88">
        <v>568</v>
      </c>
      <c r="B570" s="89" t="s">
        <v>91</v>
      </c>
      <c r="C570" s="90" t="s">
        <v>16</v>
      </c>
      <c r="D570" s="91" t="s">
        <v>58</v>
      </c>
      <c r="E570" s="92">
        <v>0</v>
      </c>
      <c r="F570" s="93">
        <v>0</v>
      </c>
      <c r="G570" s="93">
        <v>0</v>
      </c>
      <c r="H570" s="93"/>
      <c r="I570" s="93"/>
      <c r="J570" s="88"/>
      <c r="K570" s="94"/>
      <c r="L570" s="90"/>
      <c r="M570" s="91"/>
      <c r="N570" s="92"/>
      <c r="O570" s="93"/>
      <c r="P570" s="93"/>
      <c r="Q570" s="93"/>
      <c r="R570" s="93"/>
      <c r="S570" s="125"/>
      <c r="T570" s="94"/>
      <c r="U570" s="90"/>
      <c r="V570" s="91"/>
      <c r="W570" s="92"/>
      <c r="X570" s="93"/>
      <c r="Y570" s="93"/>
      <c r="Z570" s="93"/>
      <c r="AA570" s="93"/>
    </row>
    <row r="571" spans="1:27" x14ac:dyDescent="0.25">
      <c r="A571" s="88">
        <v>569</v>
      </c>
      <c r="B571" s="94" t="s">
        <v>360</v>
      </c>
      <c r="C571" s="90" t="s">
        <v>6</v>
      </c>
      <c r="D571" s="91" t="s">
        <v>63</v>
      </c>
      <c r="E571" s="92">
        <v>0</v>
      </c>
      <c r="F571" s="93">
        <v>0</v>
      </c>
      <c r="G571" s="93">
        <v>0</v>
      </c>
      <c r="H571" s="93"/>
      <c r="I571" s="93"/>
      <c r="J571" s="88"/>
      <c r="K571" s="94"/>
      <c r="L571" s="90"/>
      <c r="M571" s="91"/>
      <c r="N571" s="92"/>
      <c r="O571" s="93"/>
      <c r="P571" s="93"/>
      <c r="Q571" s="93"/>
      <c r="R571" s="93"/>
      <c r="S571" s="125"/>
      <c r="T571" s="94"/>
      <c r="U571" s="90"/>
      <c r="V571" s="91"/>
      <c r="W571" s="92"/>
      <c r="X571" s="93"/>
      <c r="Y571" s="93"/>
      <c r="Z571" s="93"/>
      <c r="AA571" s="93"/>
    </row>
    <row r="572" spans="1:27" x14ac:dyDescent="0.25">
      <c r="A572" s="88">
        <v>570</v>
      </c>
      <c r="B572" s="94" t="s">
        <v>242</v>
      </c>
      <c r="C572" s="90" t="s">
        <v>16</v>
      </c>
      <c r="D572" s="91" t="s">
        <v>57</v>
      </c>
      <c r="E572" s="92">
        <v>0</v>
      </c>
      <c r="F572" s="93">
        <v>0</v>
      </c>
      <c r="G572" s="93">
        <v>0</v>
      </c>
      <c r="H572" s="93"/>
      <c r="I572" s="93"/>
      <c r="J572" s="88"/>
      <c r="K572" s="94"/>
      <c r="L572" s="90"/>
      <c r="M572" s="91"/>
      <c r="N572" s="92"/>
      <c r="O572" s="93"/>
      <c r="P572" s="93"/>
      <c r="Q572" s="93"/>
      <c r="R572" s="93"/>
      <c r="S572" s="125"/>
      <c r="T572" s="94"/>
      <c r="U572" s="90"/>
      <c r="V572" s="91"/>
      <c r="W572" s="92"/>
      <c r="X572" s="93"/>
      <c r="Y572" s="93"/>
      <c r="Z572" s="93"/>
      <c r="AA572" s="93"/>
    </row>
    <row r="573" spans="1:27" x14ac:dyDescent="0.25">
      <c r="A573" s="88">
        <v>571</v>
      </c>
      <c r="B573" s="94" t="s">
        <v>499</v>
      </c>
      <c r="C573" s="90" t="s">
        <v>6</v>
      </c>
      <c r="D573" s="91" t="s">
        <v>62</v>
      </c>
      <c r="E573" s="92">
        <v>0</v>
      </c>
      <c r="F573" s="93">
        <v>0</v>
      </c>
      <c r="G573" s="93">
        <v>0</v>
      </c>
      <c r="H573" s="93"/>
      <c r="I573" s="93"/>
      <c r="J573" s="88"/>
      <c r="K573" s="94"/>
      <c r="L573" s="90"/>
      <c r="M573" s="91"/>
      <c r="N573" s="92"/>
      <c r="O573" s="93"/>
      <c r="P573" s="93"/>
      <c r="Q573" s="93"/>
      <c r="R573" s="93"/>
      <c r="S573" s="125"/>
      <c r="T573" s="94"/>
      <c r="U573" s="90"/>
      <c r="V573" s="91"/>
      <c r="W573" s="92"/>
      <c r="X573" s="93"/>
      <c r="Y573" s="93"/>
      <c r="Z573" s="93"/>
      <c r="AA573" s="93"/>
    </row>
    <row r="574" spans="1:27" x14ac:dyDescent="0.25">
      <c r="A574" s="88">
        <v>572</v>
      </c>
      <c r="B574" s="89" t="s">
        <v>18</v>
      </c>
      <c r="C574" s="90" t="s">
        <v>6</v>
      </c>
      <c r="D574" s="91" t="s">
        <v>58</v>
      </c>
      <c r="E574" s="92">
        <v>0</v>
      </c>
      <c r="F574" s="93">
        <v>0</v>
      </c>
      <c r="G574" s="93">
        <v>0</v>
      </c>
      <c r="H574" s="93"/>
      <c r="I574" s="93"/>
      <c r="J574" s="88"/>
      <c r="K574" s="94"/>
      <c r="L574" s="90"/>
      <c r="M574" s="91"/>
      <c r="N574" s="92"/>
      <c r="O574" s="93"/>
      <c r="P574" s="93"/>
      <c r="Q574" s="93"/>
      <c r="R574" s="93"/>
      <c r="S574" s="125"/>
      <c r="T574" s="94"/>
      <c r="U574" s="90"/>
      <c r="V574" s="91"/>
      <c r="W574" s="92"/>
      <c r="X574" s="93"/>
      <c r="Y574" s="93"/>
      <c r="Z574" s="93"/>
      <c r="AA574" s="93"/>
    </row>
    <row r="575" spans="1:27" x14ac:dyDescent="0.25">
      <c r="A575" s="88">
        <v>573</v>
      </c>
      <c r="B575" s="89" t="s">
        <v>363</v>
      </c>
      <c r="C575" s="90" t="s">
        <v>6</v>
      </c>
      <c r="D575" s="91" t="s">
        <v>63</v>
      </c>
      <c r="E575" s="92">
        <v>0</v>
      </c>
      <c r="F575" s="93">
        <v>0</v>
      </c>
      <c r="G575" s="93">
        <v>0</v>
      </c>
      <c r="H575" s="93"/>
      <c r="I575" s="93"/>
      <c r="J575" s="88"/>
      <c r="K575" s="94"/>
      <c r="L575" s="90"/>
      <c r="M575" s="91"/>
      <c r="N575" s="92"/>
      <c r="O575" s="93"/>
      <c r="P575" s="93"/>
      <c r="Q575" s="93"/>
      <c r="R575" s="93"/>
      <c r="S575" s="125"/>
      <c r="T575" s="94"/>
      <c r="U575" s="90"/>
      <c r="V575" s="91"/>
      <c r="W575" s="92"/>
      <c r="X575" s="93"/>
      <c r="Y575" s="93"/>
      <c r="Z575" s="93"/>
      <c r="AA575" s="93"/>
    </row>
    <row r="576" spans="1:27" x14ac:dyDescent="0.25">
      <c r="A576" s="88">
        <v>574</v>
      </c>
      <c r="B576" s="94" t="s">
        <v>482</v>
      </c>
      <c r="C576" s="90" t="s">
        <v>6</v>
      </c>
      <c r="D576" s="91" t="s">
        <v>59</v>
      </c>
      <c r="E576" s="92">
        <v>0</v>
      </c>
      <c r="F576" s="93">
        <v>0</v>
      </c>
      <c r="G576" s="93">
        <v>0</v>
      </c>
      <c r="H576" s="93"/>
      <c r="I576" s="93"/>
      <c r="J576" s="88"/>
      <c r="K576" s="94"/>
      <c r="L576" s="90"/>
      <c r="M576" s="91"/>
      <c r="N576" s="92"/>
      <c r="O576" s="93"/>
      <c r="P576" s="93"/>
      <c r="Q576" s="93"/>
      <c r="R576" s="93"/>
      <c r="S576" s="125"/>
      <c r="T576" s="94"/>
      <c r="U576" s="90"/>
      <c r="V576" s="91"/>
      <c r="W576" s="92"/>
      <c r="X576" s="93"/>
      <c r="Y576" s="93"/>
      <c r="Z576" s="93"/>
      <c r="AA576" s="93"/>
    </row>
    <row r="577" spans="1:27" x14ac:dyDescent="0.25">
      <c r="A577" s="88">
        <v>575</v>
      </c>
      <c r="B577" s="89" t="s">
        <v>701</v>
      </c>
      <c r="C577" s="90" t="s">
        <v>6</v>
      </c>
      <c r="D577" s="91" t="s">
        <v>58</v>
      </c>
      <c r="E577" s="92">
        <v>0</v>
      </c>
      <c r="F577" s="93">
        <v>0</v>
      </c>
      <c r="G577" s="93">
        <v>0</v>
      </c>
      <c r="H577" s="93"/>
      <c r="I577" s="93"/>
      <c r="J577" s="88"/>
      <c r="K577" s="94"/>
      <c r="L577" s="90"/>
      <c r="M577" s="91"/>
      <c r="N577" s="92"/>
      <c r="O577" s="93"/>
      <c r="P577" s="93"/>
      <c r="Q577" s="93"/>
      <c r="R577" s="93"/>
      <c r="S577" s="125"/>
      <c r="T577" s="94"/>
      <c r="U577" s="90"/>
      <c r="V577" s="91"/>
      <c r="W577" s="92"/>
      <c r="X577" s="93"/>
      <c r="Y577" s="93"/>
      <c r="Z577" s="93"/>
      <c r="AA577" s="93"/>
    </row>
    <row r="578" spans="1:27" x14ac:dyDescent="0.25">
      <c r="A578" s="88">
        <v>576</v>
      </c>
      <c r="B578" s="94" t="s">
        <v>152</v>
      </c>
      <c r="C578" s="90" t="s">
        <v>6</v>
      </c>
      <c r="D578" s="91" t="s">
        <v>57</v>
      </c>
      <c r="E578" s="92">
        <v>0</v>
      </c>
      <c r="F578" s="93">
        <v>0</v>
      </c>
      <c r="G578" s="93">
        <v>0</v>
      </c>
      <c r="H578" s="93"/>
      <c r="I578" s="93"/>
      <c r="J578" s="88"/>
      <c r="K578" s="94"/>
      <c r="L578" s="90"/>
      <c r="M578" s="91"/>
      <c r="N578" s="92"/>
      <c r="O578" s="93"/>
      <c r="P578" s="93"/>
      <c r="Q578" s="93"/>
      <c r="R578" s="93"/>
      <c r="S578" s="125"/>
      <c r="T578" s="94"/>
      <c r="U578" s="90"/>
      <c r="V578" s="91"/>
      <c r="W578" s="92"/>
      <c r="X578" s="93"/>
      <c r="Y578" s="93"/>
      <c r="Z578" s="93"/>
      <c r="AA578" s="93"/>
    </row>
    <row r="579" spans="1:27" x14ac:dyDescent="0.25">
      <c r="A579" s="88">
        <v>577</v>
      </c>
      <c r="B579" s="94" t="s">
        <v>86</v>
      </c>
      <c r="C579" s="90" t="s">
        <v>6</v>
      </c>
      <c r="D579" s="90" t="s">
        <v>61</v>
      </c>
      <c r="E579" s="92">
        <v>0</v>
      </c>
      <c r="F579" s="93">
        <v>0</v>
      </c>
      <c r="G579" s="93">
        <v>0</v>
      </c>
      <c r="H579" s="93"/>
      <c r="I579" s="93"/>
      <c r="J579" s="88"/>
      <c r="K579" s="94"/>
      <c r="L579" s="90"/>
      <c r="M579" s="91"/>
      <c r="N579" s="92"/>
      <c r="O579" s="93"/>
      <c r="P579" s="93"/>
      <c r="Q579" s="93"/>
      <c r="R579" s="93"/>
      <c r="S579" s="125"/>
      <c r="T579" s="94"/>
      <c r="U579" s="90"/>
      <c r="V579" s="91"/>
      <c r="W579" s="92"/>
      <c r="X579" s="93"/>
      <c r="Y579" s="93"/>
      <c r="Z579" s="93"/>
      <c r="AA579" s="93"/>
    </row>
    <row r="580" spans="1:27" x14ac:dyDescent="0.25">
      <c r="A580" s="88">
        <v>578</v>
      </c>
      <c r="B580" s="96" t="s">
        <v>663</v>
      </c>
      <c r="C580" s="90" t="s">
        <v>6</v>
      </c>
      <c r="D580" s="91" t="s">
        <v>57</v>
      </c>
      <c r="E580" s="92">
        <v>0</v>
      </c>
      <c r="F580" s="93">
        <v>0</v>
      </c>
      <c r="G580" s="93">
        <v>0</v>
      </c>
      <c r="H580" s="93"/>
      <c r="I580" s="93"/>
      <c r="J580" s="88"/>
      <c r="K580" s="94"/>
      <c r="L580" s="90"/>
      <c r="M580" s="91"/>
      <c r="N580" s="92"/>
      <c r="O580" s="93"/>
      <c r="P580" s="93"/>
      <c r="Q580" s="93"/>
      <c r="R580" s="93"/>
      <c r="S580" s="125"/>
      <c r="T580" s="94"/>
      <c r="U580" s="90"/>
      <c r="V580" s="91"/>
      <c r="W580" s="92"/>
      <c r="X580" s="93"/>
      <c r="Y580" s="93"/>
      <c r="Z580" s="93"/>
      <c r="AA580" s="93"/>
    </row>
    <row r="581" spans="1:27" x14ac:dyDescent="0.25">
      <c r="A581" s="88">
        <v>579</v>
      </c>
      <c r="B581" s="94" t="s">
        <v>10</v>
      </c>
      <c r="C581" s="90" t="s">
        <v>6</v>
      </c>
      <c r="D581" s="91" t="s">
        <v>58</v>
      </c>
      <c r="E581" s="92">
        <v>0</v>
      </c>
      <c r="F581" s="93">
        <v>0</v>
      </c>
      <c r="G581" s="93">
        <v>0</v>
      </c>
      <c r="H581" s="93"/>
      <c r="I581" s="93"/>
      <c r="J581" s="88"/>
      <c r="K581" s="94"/>
      <c r="L581" s="90"/>
      <c r="M581" s="91"/>
      <c r="N581" s="92"/>
      <c r="O581" s="93"/>
      <c r="P581" s="93"/>
      <c r="Q581" s="93"/>
      <c r="R581" s="93"/>
      <c r="S581" s="125"/>
      <c r="T581" s="94"/>
      <c r="U581" s="90"/>
      <c r="V581" s="91"/>
      <c r="W581" s="92"/>
      <c r="X581" s="93"/>
      <c r="Y581" s="93"/>
      <c r="Z581" s="93"/>
      <c r="AA581" s="93"/>
    </row>
    <row r="582" spans="1:27" x14ac:dyDescent="0.25">
      <c r="A582" s="88">
        <v>580</v>
      </c>
      <c r="B582" s="94" t="s">
        <v>510</v>
      </c>
      <c r="C582" s="90" t="s">
        <v>6</v>
      </c>
      <c r="D582" s="91" t="s">
        <v>58</v>
      </c>
      <c r="E582" s="92">
        <v>0</v>
      </c>
      <c r="F582" s="93">
        <v>0</v>
      </c>
      <c r="G582" s="93">
        <v>0</v>
      </c>
      <c r="H582" s="93"/>
      <c r="I582" s="93"/>
      <c r="J582" s="88"/>
      <c r="K582" s="94"/>
      <c r="L582" s="90"/>
      <c r="M582" s="91"/>
      <c r="N582" s="92"/>
      <c r="O582" s="93"/>
      <c r="P582" s="93"/>
      <c r="Q582" s="93"/>
      <c r="R582" s="93"/>
      <c r="S582" s="125"/>
      <c r="T582" s="94"/>
      <c r="U582" s="90"/>
      <c r="V582" s="91"/>
      <c r="W582" s="92"/>
      <c r="X582" s="93"/>
      <c r="Y582" s="93"/>
      <c r="Z582" s="93"/>
      <c r="AA582" s="93"/>
    </row>
    <row r="583" spans="1:27" x14ac:dyDescent="0.25">
      <c r="A583" s="88">
        <v>581</v>
      </c>
      <c r="B583" s="89" t="s">
        <v>698</v>
      </c>
      <c r="C583" s="90" t="s">
        <v>6</v>
      </c>
      <c r="D583" s="91" t="s">
        <v>58</v>
      </c>
      <c r="E583" s="92">
        <v>0</v>
      </c>
      <c r="F583" s="93">
        <v>0</v>
      </c>
      <c r="G583" s="93">
        <v>0</v>
      </c>
      <c r="H583" s="93"/>
      <c r="I583" s="93"/>
      <c r="J583" s="88"/>
      <c r="K583" s="94"/>
      <c r="L583" s="90"/>
      <c r="M583" s="91"/>
      <c r="N583" s="92"/>
      <c r="O583" s="93"/>
      <c r="P583" s="93"/>
      <c r="Q583" s="93"/>
      <c r="R583" s="93"/>
      <c r="S583" s="125"/>
      <c r="T583" s="94"/>
      <c r="U583" s="90"/>
      <c r="V583" s="91"/>
      <c r="W583" s="92"/>
      <c r="X583" s="93"/>
      <c r="Y583" s="93"/>
      <c r="Z583" s="93"/>
      <c r="AA583" s="93"/>
    </row>
    <row r="584" spans="1:27" x14ac:dyDescent="0.25">
      <c r="A584" s="88">
        <v>582</v>
      </c>
      <c r="B584" s="89" t="s">
        <v>465</v>
      </c>
      <c r="C584" s="90" t="s">
        <v>6</v>
      </c>
      <c r="D584" s="91" t="s">
        <v>88</v>
      </c>
      <c r="E584" s="92">
        <v>0</v>
      </c>
      <c r="F584" s="93">
        <v>0</v>
      </c>
      <c r="G584" s="93">
        <v>0</v>
      </c>
      <c r="H584" s="93"/>
      <c r="I584" s="93"/>
      <c r="J584" s="88"/>
      <c r="K584" s="94"/>
      <c r="L584" s="90"/>
      <c r="M584" s="91"/>
      <c r="N584" s="92"/>
      <c r="O584" s="93"/>
      <c r="P584" s="93"/>
      <c r="Q584" s="93"/>
      <c r="R584" s="93"/>
      <c r="S584" s="125"/>
      <c r="T584" s="94"/>
      <c r="U584" s="90"/>
      <c r="V584" s="91"/>
      <c r="W584" s="92"/>
      <c r="X584" s="93"/>
      <c r="Y584" s="93"/>
      <c r="Z584" s="93"/>
      <c r="AA584" s="93"/>
    </row>
    <row r="585" spans="1:27" x14ac:dyDescent="0.25">
      <c r="A585" s="88">
        <v>583</v>
      </c>
      <c r="B585" s="89" t="s">
        <v>240</v>
      </c>
      <c r="C585" s="90" t="s">
        <v>16</v>
      </c>
      <c r="D585" s="91" t="s">
        <v>57</v>
      </c>
      <c r="E585" s="92">
        <v>0</v>
      </c>
      <c r="F585" s="93">
        <v>0</v>
      </c>
      <c r="G585" s="93">
        <v>0</v>
      </c>
      <c r="H585" s="93"/>
      <c r="I585" s="93"/>
      <c r="J585" s="88"/>
      <c r="K585" s="94"/>
      <c r="L585" s="90"/>
      <c r="M585" s="91"/>
      <c r="N585" s="92"/>
      <c r="O585" s="93"/>
      <c r="P585" s="93"/>
      <c r="Q585" s="93"/>
      <c r="R585" s="93"/>
      <c r="S585" s="125"/>
      <c r="T585" s="94"/>
      <c r="U585" s="90"/>
      <c r="V585" s="91"/>
      <c r="W585" s="92"/>
      <c r="X585" s="93"/>
      <c r="Y585" s="93"/>
      <c r="Z585" s="93"/>
      <c r="AA585" s="93"/>
    </row>
    <row r="586" spans="1:27" x14ac:dyDescent="0.25">
      <c r="A586" s="88">
        <v>584</v>
      </c>
      <c r="B586" s="89" t="s">
        <v>528</v>
      </c>
      <c r="C586" s="90" t="s">
        <v>6</v>
      </c>
      <c r="D586" s="91" t="s">
        <v>63</v>
      </c>
      <c r="E586" s="92">
        <v>0</v>
      </c>
      <c r="F586" s="93">
        <v>0</v>
      </c>
      <c r="G586" s="93">
        <v>0</v>
      </c>
      <c r="H586" s="93"/>
      <c r="I586" s="93"/>
      <c r="J586" s="88"/>
      <c r="K586" s="94"/>
      <c r="L586" s="90"/>
      <c r="M586" s="91"/>
      <c r="N586" s="92"/>
      <c r="O586" s="93"/>
      <c r="P586" s="93"/>
      <c r="Q586" s="93"/>
      <c r="R586" s="93"/>
      <c r="S586" s="125"/>
      <c r="T586" s="94"/>
      <c r="U586" s="90"/>
      <c r="V586" s="91"/>
      <c r="W586" s="92"/>
      <c r="X586" s="93"/>
      <c r="Y586" s="93"/>
      <c r="Z586" s="93"/>
      <c r="AA586" s="93"/>
    </row>
    <row r="587" spans="1:27" x14ac:dyDescent="0.25">
      <c r="A587" s="88">
        <v>585</v>
      </c>
      <c r="B587" s="94" t="s">
        <v>129</v>
      </c>
      <c r="C587" s="90" t="s">
        <v>6</v>
      </c>
      <c r="D587" s="91" t="s">
        <v>89</v>
      </c>
      <c r="E587" s="92">
        <v>0</v>
      </c>
      <c r="F587" s="93">
        <v>0</v>
      </c>
      <c r="G587" s="93">
        <v>0</v>
      </c>
      <c r="H587" s="93"/>
      <c r="I587" s="93"/>
      <c r="J587" s="88"/>
      <c r="K587" s="94"/>
      <c r="L587" s="90"/>
      <c r="M587" s="91"/>
      <c r="N587" s="92"/>
      <c r="O587" s="93"/>
      <c r="P587" s="93"/>
      <c r="Q587" s="93"/>
      <c r="R587" s="93"/>
      <c r="S587" s="125"/>
      <c r="T587" s="94"/>
      <c r="U587" s="90"/>
      <c r="V587" s="91"/>
      <c r="W587" s="92"/>
      <c r="X587" s="93"/>
      <c r="Y587" s="93"/>
      <c r="Z587" s="93"/>
      <c r="AA587" s="93"/>
    </row>
    <row r="588" spans="1:27" x14ac:dyDescent="0.25">
      <c r="A588" s="88">
        <v>586</v>
      </c>
      <c r="B588" s="94" t="s">
        <v>445</v>
      </c>
      <c r="C588" s="90" t="s">
        <v>6</v>
      </c>
      <c r="D588" s="91" t="s">
        <v>58</v>
      </c>
      <c r="E588" s="92">
        <v>0</v>
      </c>
      <c r="F588" s="93">
        <v>0</v>
      </c>
      <c r="G588" s="93">
        <v>0</v>
      </c>
      <c r="H588" s="93"/>
      <c r="I588" s="93"/>
      <c r="J588" s="88"/>
      <c r="K588" s="94"/>
      <c r="L588" s="90"/>
      <c r="M588" s="91"/>
      <c r="N588" s="92"/>
      <c r="O588" s="93"/>
      <c r="P588" s="93"/>
      <c r="Q588" s="93"/>
      <c r="R588" s="93"/>
      <c r="S588" s="125"/>
      <c r="T588" s="94"/>
      <c r="U588" s="90"/>
      <c r="V588" s="91"/>
      <c r="W588" s="92"/>
      <c r="X588" s="93"/>
      <c r="Y588" s="93"/>
      <c r="Z588" s="93"/>
      <c r="AA588" s="93"/>
    </row>
    <row r="589" spans="1:27" x14ac:dyDescent="0.25">
      <c r="A589" s="88">
        <v>587</v>
      </c>
      <c r="B589" s="94" t="s">
        <v>370</v>
      </c>
      <c r="C589" s="90" t="s">
        <v>6</v>
      </c>
      <c r="D589" s="91" t="s">
        <v>380</v>
      </c>
      <c r="E589" s="92">
        <v>0</v>
      </c>
      <c r="F589" s="93">
        <v>0</v>
      </c>
      <c r="G589" s="93">
        <v>0</v>
      </c>
      <c r="H589" s="93"/>
      <c r="I589" s="93"/>
      <c r="J589" s="88"/>
      <c r="K589" s="94"/>
      <c r="L589" s="90"/>
      <c r="M589" s="91"/>
      <c r="N589" s="92"/>
      <c r="O589" s="93"/>
      <c r="P589" s="93"/>
      <c r="Q589" s="93"/>
      <c r="R589" s="93"/>
      <c r="S589" s="125"/>
      <c r="T589" s="94"/>
      <c r="U589" s="90"/>
      <c r="V589" s="91"/>
      <c r="W589" s="92"/>
      <c r="X589" s="93"/>
      <c r="Y589" s="93"/>
      <c r="Z589" s="93"/>
      <c r="AA589" s="93"/>
    </row>
    <row r="590" spans="1:27" x14ac:dyDescent="0.25">
      <c r="A590" s="88">
        <v>588</v>
      </c>
      <c r="B590" s="94" t="s">
        <v>161</v>
      </c>
      <c r="C590" s="90" t="s">
        <v>6</v>
      </c>
      <c r="D590" s="90" t="s">
        <v>57</v>
      </c>
      <c r="E590" s="92">
        <v>0</v>
      </c>
      <c r="F590" s="93">
        <v>0</v>
      </c>
      <c r="G590" s="93">
        <v>0</v>
      </c>
      <c r="H590" s="93"/>
      <c r="I590" s="93"/>
      <c r="J590" s="88"/>
      <c r="K590" s="94"/>
      <c r="L590" s="90"/>
      <c r="M590" s="91"/>
      <c r="N590" s="92"/>
      <c r="O590" s="93"/>
      <c r="P590" s="93"/>
      <c r="Q590" s="93"/>
      <c r="R590" s="93"/>
      <c r="S590" s="125"/>
      <c r="T590" s="94"/>
      <c r="U590" s="90"/>
      <c r="V590" s="91"/>
      <c r="W590" s="92"/>
      <c r="X590" s="93"/>
      <c r="Y590" s="93"/>
      <c r="Z590" s="93"/>
      <c r="AA590" s="93"/>
    </row>
    <row r="591" spans="1:27" x14ac:dyDescent="0.25">
      <c r="A591" s="88">
        <v>589</v>
      </c>
      <c r="B591" s="94" t="s">
        <v>158</v>
      </c>
      <c r="C591" s="90" t="s">
        <v>6</v>
      </c>
      <c r="D591" s="91" t="s">
        <v>67</v>
      </c>
      <c r="E591" s="92">
        <v>0</v>
      </c>
      <c r="F591" s="93">
        <v>0</v>
      </c>
      <c r="G591" s="93">
        <v>0</v>
      </c>
      <c r="H591" s="93"/>
      <c r="I591" s="93"/>
      <c r="J591" s="88"/>
      <c r="K591" s="94"/>
      <c r="L591" s="90"/>
      <c r="M591" s="91"/>
      <c r="N591" s="92"/>
      <c r="O591" s="93"/>
      <c r="P591" s="93"/>
      <c r="Q591" s="93"/>
      <c r="R591" s="93"/>
      <c r="S591" s="125"/>
      <c r="T591" s="94"/>
      <c r="U591" s="90"/>
      <c r="V591" s="91"/>
      <c r="W591" s="92"/>
      <c r="X591" s="93"/>
      <c r="Y591" s="93"/>
      <c r="Z591" s="93"/>
      <c r="AA591" s="93"/>
    </row>
    <row r="592" spans="1:27" x14ac:dyDescent="0.25">
      <c r="A592" s="88">
        <v>590</v>
      </c>
      <c r="B592" s="89" t="s">
        <v>296</v>
      </c>
      <c r="C592" s="90" t="s">
        <v>6</v>
      </c>
      <c r="D592" s="91" t="s">
        <v>96</v>
      </c>
      <c r="E592" s="92">
        <v>0</v>
      </c>
      <c r="F592" s="93">
        <v>0</v>
      </c>
      <c r="G592" s="93">
        <v>0</v>
      </c>
      <c r="H592" s="93"/>
      <c r="I592" s="93"/>
      <c r="J592" s="88"/>
      <c r="K592" s="94"/>
      <c r="L592" s="90"/>
      <c r="M592" s="91"/>
      <c r="N592" s="92"/>
      <c r="O592" s="93"/>
      <c r="P592" s="93"/>
      <c r="Q592" s="93"/>
      <c r="R592" s="93"/>
      <c r="S592" s="125"/>
      <c r="T592" s="94"/>
      <c r="U592" s="90"/>
      <c r="V592" s="91"/>
      <c r="W592" s="92"/>
      <c r="X592" s="93"/>
      <c r="Y592" s="93"/>
      <c r="Z592" s="93"/>
      <c r="AA592" s="93"/>
    </row>
    <row r="593" spans="1:27" x14ac:dyDescent="0.25">
      <c r="A593" s="88">
        <v>591</v>
      </c>
      <c r="B593" s="94" t="s">
        <v>451</v>
      </c>
      <c r="C593" s="90" t="s">
        <v>6</v>
      </c>
      <c r="D593" s="91" t="s">
        <v>151</v>
      </c>
      <c r="E593" s="92">
        <v>0</v>
      </c>
      <c r="F593" s="93">
        <v>0</v>
      </c>
      <c r="G593" s="93">
        <v>0</v>
      </c>
      <c r="H593" s="93"/>
      <c r="I593" s="93"/>
      <c r="J593" s="88"/>
      <c r="K593" s="94"/>
      <c r="L593" s="90"/>
      <c r="M593" s="91"/>
      <c r="N593" s="92"/>
      <c r="O593" s="93"/>
      <c r="P593" s="93"/>
      <c r="Q593" s="93"/>
      <c r="R593" s="93"/>
      <c r="S593" s="125"/>
      <c r="T593" s="94"/>
      <c r="U593" s="90"/>
      <c r="V593" s="91"/>
      <c r="W593" s="92"/>
      <c r="X593" s="93"/>
      <c r="Y593" s="93"/>
      <c r="Z593" s="93"/>
      <c r="AA593" s="93"/>
    </row>
    <row r="594" spans="1:27" x14ac:dyDescent="0.25">
      <c r="A594" s="88">
        <v>592</v>
      </c>
      <c r="B594" s="89" t="s">
        <v>267</v>
      </c>
      <c r="C594" s="90" t="s">
        <v>16</v>
      </c>
      <c r="D594" s="91" t="s">
        <v>58</v>
      </c>
      <c r="E594" s="92">
        <v>0</v>
      </c>
      <c r="F594" s="93">
        <v>0</v>
      </c>
      <c r="G594" s="93">
        <v>0</v>
      </c>
      <c r="H594" s="93"/>
      <c r="I594" s="93"/>
      <c r="J594" s="88"/>
      <c r="K594" s="94"/>
      <c r="L594" s="90"/>
      <c r="M594" s="91"/>
      <c r="N594" s="92"/>
      <c r="O594" s="93"/>
      <c r="P594" s="93"/>
      <c r="Q594" s="93"/>
      <c r="R594" s="93"/>
      <c r="S594" s="125"/>
      <c r="T594" s="94"/>
      <c r="U594" s="90"/>
      <c r="V594" s="91"/>
      <c r="W594" s="92"/>
      <c r="X594" s="93"/>
      <c r="Y594" s="93"/>
      <c r="Z594" s="93"/>
      <c r="AA594" s="93"/>
    </row>
    <row r="595" spans="1:27" x14ac:dyDescent="0.25">
      <c r="A595" s="88">
        <v>593</v>
      </c>
      <c r="B595" s="94" t="s">
        <v>268</v>
      </c>
      <c r="C595" s="90" t="s">
        <v>16</v>
      </c>
      <c r="D595" s="91" t="s">
        <v>69</v>
      </c>
      <c r="E595" s="92">
        <v>0</v>
      </c>
      <c r="F595" s="93">
        <v>0</v>
      </c>
      <c r="G595" s="93">
        <v>0</v>
      </c>
      <c r="H595" s="93"/>
      <c r="I595" s="93"/>
      <c r="J595" s="88"/>
      <c r="K595" s="94"/>
      <c r="L595" s="90"/>
      <c r="M595" s="91"/>
      <c r="N595" s="92"/>
      <c r="O595" s="93"/>
      <c r="P595" s="93"/>
      <c r="Q595" s="93"/>
      <c r="R595" s="93"/>
      <c r="S595" s="125"/>
      <c r="T595" s="94"/>
      <c r="U595" s="90"/>
      <c r="V595" s="91"/>
      <c r="W595" s="92"/>
      <c r="X595" s="93"/>
      <c r="Y595" s="93"/>
      <c r="Z595" s="93"/>
      <c r="AA595" s="93"/>
    </row>
    <row r="596" spans="1:27" x14ac:dyDescent="0.25">
      <c r="A596" s="88">
        <v>594</v>
      </c>
      <c r="B596" s="95" t="s">
        <v>693</v>
      </c>
      <c r="C596" s="88" t="s">
        <v>6</v>
      </c>
      <c r="D596" s="88" t="s">
        <v>69</v>
      </c>
      <c r="E596" s="92">
        <v>0</v>
      </c>
      <c r="F596" s="93">
        <v>0</v>
      </c>
      <c r="G596" s="93">
        <v>0</v>
      </c>
      <c r="H596" s="93"/>
      <c r="I596" s="93"/>
      <c r="J596" s="88"/>
      <c r="K596" s="94"/>
      <c r="L596" s="90"/>
      <c r="M596" s="91"/>
      <c r="N596" s="92"/>
      <c r="O596" s="93"/>
      <c r="P596" s="93"/>
      <c r="Q596" s="93"/>
      <c r="R596" s="93"/>
      <c r="S596" s="125"/>
      <c r="T596" s="94"/>
      <c r="U596" s="90"/>
      <c r="V596" s="91"/>
      <c r="W596" s="92"/>
      <c r="X596" s="93"/>
      <c r="Y596" s="93"/>
      <c r="Z596" s="93"/>
      <c r="AA596" s="93"/>
    </row>
    <row r="597" spans="1:27" x14ac:dyDescent="0.25">
      <c r="A597" s="88">
        <v>595</v>
      </c>
      <c r="B597" s="89" t="s">
        <v>681</v>
      </c>
      <c r="C597" s="90" t="s">
        <v>6</v>
      </c>
      <c r="D597" s="91" t="s">
        <v>78</v>
      </c>
      <c r="E597" s="92">
        <v>0</v>
      </c>
      <c r="F597" s="93">
        <v>0</v>
      </c>
      <c r="G597" s="93">
        <v>0</v>
      </c>
      <c r="H597" s="93"/>
      <c r="I597" s="93"/>
      <c r="J597" s="88"/>
      <c r="K597" s="94"/>
      <c r="L597" s="90"/>
      <c r="M597" s="91"/>
      <c r="N597" s="92"/>
      <c r="O597" s="93"/>
      <c r="P597" s="93"/>
      <c r="Q597" s="93"/>
      <c r="R597" s="93"/>
      <c r="S597" s="125"/>
      <c r="T597" s="94"/>
      <c r="U597" s="90"/>
      <c r="V597" s="91"/>
      <c r="W597" s="92"/>
      <c r="X597" s="93"/>
      <c r="Y597" s="93"/>
      <c r="Z597" s="93"/>
      <c r="AA597" s="93"/>
    </row>
    <row r="598" spans="1:27" x14ac:dyDescent="0.25">
      <c r="A598" s="88">
        <v>596</v>
      </c>
      <c r="B598" s="89" t="s">
        <v>422</v>
      </c>
      <c r="C598" s="90" t="s">
        <v>6</v>
      </c>
      <c r="D598" s="91" t="s">
        <v>62</v>
      </c>
      <c r="E598" s="92">
        <v>0</v>
      </c>
      <c r="F598" s="93">
        <v>0</v>
      </c>
      <c r="G598" s="93">
        <v>0</v>
      </c>
      <c r="H598" s="93"/>
      <c r="I598" s="93"/>
      <c r="J598" s="88"/>
      <c r="K598" s="94"/>
      <c r="L598" s="90"/>
      <c r="M598" s="91"/>
      <c r="N598" s="92"/>
      <c r="O598" s="93"/>
      <c r="P598" s="93"/>
      <c r="Q598" s="93"/>
      <c r="R598" s="93"/>
      <c r="S598" s="125"/>
      <c r="T598" s="94"/>
      <c r="U598" s="90"/>
      <c r="V598" s="91"/>
      <c r="W598" s="92"/>
      <c r="X598" s="93"/>
      <c r="Y598" s="93"/>
      <c r="Z598" s="93"/>
      <c r="AA598" s="93"/>
    </row>
    <row r="599" spans="1:27" x14ac:dyDescent="0.25">
      <c r="A599" s="88">
        <v>597</v>
      </c>
      <c r="B599" s="89" t="s">
        <v>506</v>
      </c>
      <c r="C599" s="90" t="s">
        <v>6</v>
      </c>
      <c r="D599" s="91" t="s">
        <v>64</v>
      </c>
      <c r="E599" s="92">
        <v>0</v>
      </c>
      <c r="F599" s="93">
        <v>0</v>
      </c>
      <c r="G599" s="93">
        <v>0</v>
      </c>
      <c r="H599" s="93"/>
      <c r="I599" s="93"/>
      <c r="J599" s="88"/>
      <c r="K599" s="94"/>
      <c r="L599" s="90"/>
      <c r="M599" s="91"/>
      <c r="N599" s="92"/>
      <c r="O599" s="93"/>
      <c r="P599" s="93"/>
      <c r="Q599" s="93"/>
      <c r="R599" s="93"/>
      <c r="S599" s="125"/>
      <c r="T599" s="94"/>
      <c r="U599" s="90"/>
      <c r="V599" s="91"/>
      <c r="W599" s="92"/>
      <c r="X599" s="93"/>
      <c r="Y599" s="93"/>
      <c r="Z599" s="93"/>
      <c r="AA599" s="93"/>
    </row>
    <row r="600" spans="1:27" x14ac:dyDescent="0.25">
      <c r="A600" s="88">
        <v>598</v>
      </c>
      <c r="B600" s="89" t="s">
        <v>324</v>
      </c>
      <c r="C600" s="90" t="s">
        <v>6</v>
      </c>
      <c r="D600" s="91" t="s">
        <v>64</v>
      </c>
      <c r="E600" s="92">
        <v>0</v>
      </c>
      <c r="F600" s="93">
        <v>0</v>
      </c>
      <c r="G600" s="93">
        <v>0</v>
      </c>
      <c r="H600" s="93"/>
      <c r="I600" s="93"/>
      <c r="J600" s="88"/>
      <c r="K600" s="94"/>
      <c r="L600" s="90"/>
      <c r="M600" s="91"/>
      <c r="N600" s="92"/>
      <c r="O600" s="93"/>
      <c r="P600" s="93"/>
      <c r="Q600" s="93"/>
      <c r="R600" s="93"/>
      <c r="S600" s="125"/>
      <c r="T600" s="94"/>
      <c r="U600" s="90"/>
      <c r="V600" s="91"/>
      <c r="W600" s="92"/>
      <c r="X600" s="93"/>
      <c r="Y600" s="93"/>
      <c r="Z600" s="93"/>
      <c r="AA600" s="93"/>
    </row>
    <row r="601" spans="1:27" x14ac:dyDescent="0.25">
      <c r="A601" s="88">
        <v>599</v>
      </c>
      <c r="B601" s="89" t="s">
        <v>529</v>
      </c>
      <c r="C601" s="90" t="s">
        <v>6</v>
      </c>
      <c r="D601" s="91" t="s">
        <v>58</v>
      </c>
      <c r="E601" s="92">
        <v>0</v>
      </c>
      <c r="F601" s="93">
        <v>0</v>
      </c>
      <c r="G601" s="93">
        <v>0</v>
      </c>
      <c r="H601" s="93"/>
      <c r="I601" s="93"/>
      <c r="J601" s="88"/>
      <c r="K601" s="94"/>
      <c r="L601" s="90"/>
      <c r="M601" s="91"/>
      <c r="N601" s="92"/>
      <c r="O601" s="93"/>
      <c r="P601" s="93"/>
      <c r="Q601" s="93"/>
      <c r="R601" s="93"/>
      <c r="S601" s="125"/>
      <c r="T601" s="94"/>
      <c r="U601" s="90"/>
      <c r="V601" s="91"/>
      <c r="W601" s="92"/>
      <c r="X601" s="93"/>
      <c r="Y601" s="93"/>
      <c r="Z601" s="93"/>
      <c r="AA601" s="93"/>
    </row>
    <row r="602" spans="1:27" x14ac:dyDescent="0.25">
      <c r="A602" s="88">
        <v>600</v>
      </c>
      <c r="B602" s="89" t="s">
        <v>458</v>
      </c>
      <c r="C602" s="90" t="s">
        <v>6</v>
      </c>
      <c r="D602" s="91" t="s">
        <v>459</v>
      </c>
      <c r="E602" s="92">
        <v>0</v>
      </c>
      <c r="F602" s="93">
        <v>0</v>
      </c>
      <c r="G602" s="93">
        <v>0</v>
      </c>
      <c r="H602" s="93"/>
      <c r="I602" s="93"/>
      <c r="J602" s="88"/>
      <c r="K602" s="94"/>
      <c r="L602" s="90"/>
      <c r="M602" s="91"/>
      <c r="N602" s="92"/>
      <c r="O602" s="93"/>
      <c r="P602" s="93"/>
      <c r="Q602" s="93"/>
      <c r="R602" s="93"/>
      <c r="S602" s="125"/>
      <c r="T602" s="94"/>
      <c r="U602" s="90"/>
      <c r="V602" s="91"/>
      <c r="W602" s="92"/>
      <c r="X602" s="93"/>
      <c r="Y602" s="93"/>
      <c r="Z602" s="93"/>
      <c r="AA602" s="93"/>
    </row>
    <row r="603" spans="1:27" x14ac:dyDescent="0.25">
      <c r="A603" s="88">
        <v>601</v>
      </c>
      <c r="B603" s="94" t="s">
        <v>373</v>
      </c>
      <c r="C603" s="90" t="s">
        <v>6</v>
      </c>
      <c r="D603" s="91" t="s">
        <v>380</v>
      </c>
      <c r="E603" s="92">
        <v>0</v>
      </c>
      <c r="F603" s="93">
        <v>0</v>
      </c>
      <c r="G603" s="93">
        <v>0</v>
      </c>
      <c r="H603" s="93"/>
      <c r="I603" s="93"/>
      <c r="J603" s="88"/>
      <c r="K603" s="94"/>
      <c r="L603" s="90"/>
      <c r="M603" s="91"/>
      <c r="N603" s="92"/>
      <c r="O603" s="93"/>
      <c r="P603" s="93"/>
      <c r="Q603" s="93"/>
      <c r="R603" s="93"/>
      <c r="S603" s="125"/>
      <c r="T603" s="94"/>
      <c r="U603" s="90"/>
      <c r="V603" s="91"/>
      <c r="W603" s="92"/>
      <c r="X603" s="93"/>
      <c r="Y603" s="93"/>
      <c r="Z603" s="93"/>
      <c r="AA603" s="93"/>
    </row>
    <row r="604" spans="1:27" x14ac:dyDescent="0.25">
      <c r="A604" s="88">
        <v>602</v>
      </c>
      <c r="B604" s="94" t="s">
        <v>124</v>
      </c>
      <c r="C604" s="90" t="s">
        <v>6</v>
      </c>
      <c r="D604" s="91" t="s">
        <v>69</v>
      </c>
      <c r="E604" s="92">
        <v>0</v>
      </c>
      <c r="F604" s="93">
        <v>0</v>
      </c>
      <c r="G604" s="93">
        <v>0</v>
      </c>
      <c r="H604" s="93"/>
      <c r="I604" s="93"/>
      <c r="J604" s="88"/>
      <c r="K604" s="94"/>
      <c r="L604" s="90"/>
      <c r="M604" s="91"/>
      <c r="N604" s="92"/>
      <c r="O604" s="93"/>
      <c r="P604" s="93"/>
      <c r="Q604" s="93"/>
      <c r="R604" s="93"/>
      <c r="S604" s="125"/>
      <c r="T604" s="94"/>
      <c r="U604" s="90"/>
      <c r="V604" s="91"/>
      <c r="W604" s="92"/>
      <c r="X604" s="93"/>
      <c r="Y604" s="93"/>
      <c r="Z604" s="93"/>
      <c r="AA604" s="93"/>
    </row>
    <row r="605" spans="1:27" x14ac:dyDescent="0.25">
      <c r="A605" s="88">
        <v>603</v>
      </c>
      <c r="B605" s="94" t="s">
        <v>133</v>
      </c>
      <c r="C605" s="90" t="s">
        <v>6</v>
      </c>
      <c r="D605" s="91" t="s">
        <v>61</v>
      </c>
      <c r="E605" s="92">
        <v>0</v>
      </c>
      <c r="F605" s="93">
        <v>0</v>
      </c>
      <c r="G605" s="93">
        <v>0</v>
      </c>
      <c r="H605" s="93"/>
      <c r="I605" s="93"/>
      <c r="J605" s="88"/>
      <c r="K605" s="94"/>
      <c r="L605" s="90"/>
      <c r="M605" s="91"/>
      <c r="N605" s="92"/>
      <c r="O605" s="93"/>
      <c r="P605" s="93"/>
      <c r="Q605" s="93"/>
      <c r="R605" s="93"/>
      <c r="S605" s="125"/>
      <c r="T605" s="94"/>
      <c r="U605" s="90"/>
      <c r="V605" s="91"/>
      <c r="W605" s="92"/>
      <c r="X605" s="93"/>
      <c r="Y605" s="93"/>
      <c r="Z605" s="93"/>
      <c r="AA605" s="93"/>
    </row>
    <row r="606" spans="1:27" x14ac:dyDescent="0.25">
      <c r="A606" s="88">
        <v>604</v>
      </c>
      <c r="B606" s="94" t="s">
        <v>535</v>
      </c>
      <c r="C606" s="90" t="s">
        <v>16</v>
      </c>
      <c r="D606" s="91" t="s">
        <v>66</v>
      </c>
      <c r="E606" s="92">
        <v>0</v>
      </c>
      <c r="F606" s="93">
        <v>0</v>
      </c>
      <c r="G606" s="93">
        <v>0</v>
      </c>
      <c r="H606" s="93"/>
      <c r="I606" s="93"/>
      <c r="J606" s="88"/>
      <c r="K606" s="94"/>
      <c r="L606" s="90"/>
      <c r="M606" s="91"/>
      <c r="N606" s="92"/>
      <c r="O606" s="93"/>
      <c r="P606" s="93"/>
      <c r="Q606" s="93"/>
      <c r="R606" s="93"/>
      <c r="S606" s="125"/>
      <c r="T606" s="94"/>
      <c r="U606" s="90"/>
      <c r="V606" s="91"/>
      <c r="W606" s="92"/>
      <c r="X606" s="93"/>
      <c r="Y606" s="93"/>
      <c r="Z606" s="93"/>
      <c r="AA606" s="93"/>
    </row>
    <row r="607" spans="1:27" x14ac:dyDescent="0.25">
      <c r="A607" s="88">
        <v>605</v>
      </c>
      <c r="B607" s="89" t="s">
        <v>702</v>
      </c>
      <c r="C607" s="90" t="s">
        <v>6</v>
      </c>
      <c r="D607" s="91" t="s">
        <v>87</v>
      </c>
      <c r="E607" s="92">
        <v>0</v>
      </c>
      <c r="F607" s="93">
        <v>0</v>
      </c>
      <c r="G607" s="93">
        <v>0</v>
      </c>
      <c r="H607" s="93"/>
      <c r="I607" s="93"/>
      <c r="J607" s="88"/>
      <c r="K607" s="94"/>
      <c r="L607" s="90"/>
      <c r="M607" s="91"/>
      <c r="N607" s="92"/>
      <c r="O607" s="93"/>
      <c r="P607" s="93"/>
      <c r="Q607" s="93"/>
      <c r="R607" s="93"/>
      <c r="S607" s="125"/>
      <c r="T607" s="94"/>
      <c r="U607" s="90"/>
      <c r="V607" s="91"/>
      <c r="W607" s="92"/>
      <c r="X607" s="93"/>
      <c r="Y607" s="93"/>
      <c r="Z607" s="93"/>
      <c r="AA607" s="93"/>
    </row>
    <row r="608" spans="1:27" x14ac:dyDescent="0.25">
      <c r="A608" s="88">
        <v>606</v>
      </c>
      <c r="B608" s="94" t="s">
        <v>225</v>
      </c>
      <c r="C608" s="90" t="s">
        <v>6</v>
      </c>
      <c r="D608" s="90" t="s">
        <v>87</v>
      </c>
      <c r="E608" s="92">
        <v>0</v>
      </c>
      <c r="F608" s="93">
        <v>0</v>
      </c>
      <c r="G608" s="93">
        <v>0</v>
      </c>
      <c r="H608" s="93"/>
      <c r="I608" s="93"/>
      <c r="J608" s="88"/>
      <c r="K608" s="94"/>
      <c r="L608" s="90"/>
      <c r="M608" s="91"/>
      <c r="N608" s="92"/>
      <c r="O608" s="93"/>
      <c r="P608" s="93"/>
      <c r="Q608" s="93"/>
      <c r="R608" s="93"/>
      <c r="S608" s="125"/>
      <c r="T608" s="94"/>
      <c r="U608" s="90"/>
      <c r="V608" s="91"/>
      <c r="W608" s="92"/>
      <c r="X608" s="93"/>
      <c r="Y608" s="93"/>
      <c r="Z608" s="93"/>
      <c r="AA608" s="93"/>
    </row>
    <row r="609" spans="1:27" x14ac:dyDescent="0.25">
      <c r="A609" s="88">
        <v>607</v>
      </c>
      <c r="B609" s="94" t="s">
        <v>432</v>
      </c>
      <c r="C609" s="90" t="s">
        <v>16</v>
      </c>
      <c r="D609" s="91" t="s">
        <v>63</v>
      </c>
      <c r="E609" s="92">
        <v>0</v>
      </c>
      <c r="F609" s="93">
        <v>0</v>
      </c>
      <c r="G609" s="93">
        <v>0</v>
      </c>
      <c r="H609" s="93"/>
      <c r="I609" s="93"/>
      <c r="J609" s="88"/>
      <c r="K609" s="94"/>
      <c r="L609" s="90"/>
      <c r="M609" s="91"/>
      <c r="N609" s="92"/>
      <c r="O609" s="93"/>
      <c r="P609" s="93"/>
      <c r="Q609" s="93"/>
      <c r="R609" s="93"/>
      <c r="S609" s="125"/>
      <c r="T609" s="94"/>
      <c r="U609" s="90"/>
      <c r="V609" s="91"/>
      <c r="W609" s="92"/>
      <c r="X609" s="93"/>
      <c r="Y609" s="93"/>
      <c r="Z609" s="93"/>
      <c r="AA609" s="93"/>
    </row>
    <row r="610" spans="1:27" x14ac:dyDescent="0.25">
      <c r="A610" s="88">
        <v>608</v>
      </c>
      <c r="B610" s="94" t="s">
        <v>441</v>
      </c>
      <c r="C610" s="90" t="s">
        <v>6</v>
      </c>
      <c r="D610" s="91" t="s">
        <v>63</v>
      </c>
      <c r="E610" s="92">
        <v>0</v>
      </c>
      <c r="F610" s="93">
        <v>0</v>
      </c>
      <c r="G610" s="93">
        <v>0</v>
      </c>
      <c r="H610" s="93"/>
      <c r="I610" s="93"/>
      <c r="J610" s="88"/>
      <c r="K610" s="94"/>
      <c r="L610" s="90"/>
      <c r="M610" s="91"/>
      <c r="N610" s="92"/>
      <c r="O610" s="93"/>
      <c r="P610" s="93"/>
      <c r="Q610" s="93"/>
      <c r="R610" s="93"/>
      <c r="S610" s="125"/>
      <c r="T610" s="94"/>
      <c r="U610" s="90"/>
      <c r="V610" s="91"/>
      <c r="W610" s="92"/>
      <c r="X610" s="93"/>
      <c r="Y610" s="93"/>
      <c r="Z610" s="93"/>
      <c r="AA610" s="93"/>
    </row>
    <row r="611" spans="1:27" x14ac:dyDescent="0.25">
      <c r="A611" s="88">
        <v>609</v>
      </c>
      <c r="B611" s="94" t="s">
        <v>426</v>
      </c>
      <c r="C611" s="90" t="s">
        <v>16</v>
      </c>
      <c r="D611" s="91" t="s">
        <v>63</v>
      </c>
      <c r="E611" s="92">
        <v>0</v>
      </c>
      <c r="F611" s="93">
        <v>0</v>
      </c>
      <c r="G611" s="93">
        <v>0</v>
      </c>
      <c r="H611" s="93"/>
      <c r="I611" s="93"/>
      <c r="J611" s="88"/>
      <c r="K611" s="94"/>
      <c r="L611" s="90"/>
      <c r="M611" s="91"/>
      <c r="N611" s="92"/>
      <c r="O611" s="93"/>
      <c r="P611" s="93"/>
      <c r="Q611" s="93"/>
      <c r="R611" s="93"/>
      <c r="S611" s="125"/>
      <c r="T611" s="94"/>
      <c r="U611" s="90"/>
      <c r="V611" s="91"/>
      <c r="W611" s="92"/>
      <c r="X611" s="93"/>
      <c r="Y611" s="93"/>
      <c r="Z611" s="93"/>
      <c r="AA611" s="93"/>
    </row>
    <row r="612" spans="1:27" x14ac:dyDescent="0.25">
      <c r="A612" s="88">
        <v>610</v>
      </c>
      <c r="B612" s="89" t="s">
        <v>319</v>
      </c>
      <c r="C612" s="90" t="s">
        <v>6</v>
      </c>
      <c r="D612" s="91" t="s">
        <v>77</v>
      </c>
      <c r="E612" s="92">
        <v>0</v>
      </c>
      <c r="F612" s="93">
        <v>0</v>
      </c>
      <c r="G612" s="93">
        <v>0</v>
      </c>
      <c r="H612" s="93"/>
      <c r="I612" s="93"/>
      <c r="J612" s="88"/>
      <c r="K612" s="94"/>
      <c r="L612" s="90"/>
      <c r="M612" s="91"/>
      <c r="N612" s="92"/>
      <c r="O612" s="93"/>
      <c r="P612" s="93"/>
      <c r="Q612" s="93"/>
      <c r="R612" s="93"/>
      <c r="S612" s="125"/>
      <c r="T612" s="94"/>
      <c r="U612" s="90"/>
      <c r="V612" s="91"/>
      <c r="W612" s="92"/>
      <c r="X612" s="93"/>
      <c r="Y612" s="93"/>
      <c r="Z612" s="93"/>
      <c r="AA612" s="93"/>
    </row>
    <row r="613" spans="1:27" x14ac:dyDescent="0.25">
      <c r="A613" s="88">
        <v>611</v>
      </c>
      <c r="B613" s="94" t="s">
        <v>705</v>
      </c>
      <c r="C613" s="90" t="s">
        <v>6</v>
      </c>
      <c r="D613" s="90" t="s">
        <v>380</v>
      </c>
      <c r="E613" s="92">
        <v>0</v>
      </c>
      <c r="F613" s="93">
        <v>0</v>
      </c>
      <c r="G613" s="93">
        <v>0</v>
      </c>
      <c r="H613" s="93"/>
      <c r="I613" s="93"/>
      <c r="J613" s="88"/>
      <c r="K613" s="94"/>
      <c r="L613" s="90"/>
      <c r="M613" s="91"/>
      <c r="N613" s="92"/>
      <c r="O613" s="93"/>
      <c r="P613" s="93"/>
      <c r="Q613" s="93"/>
      <c r="R613" s="93"/>
      <c r="S613" s="125"/>
      <c r="T613" s="94"/>
      <c r="U613" s="90"/>
      <c r="V613" s="91"/>
      <c r="W613" s="92"/>
      <c r="X613" s="93"/>
      <c r="Y613" s="93"/>
      <c r="Z613" s="93"/>
      <c r="AA613" s="93"/>
    </row>
    <row r="614" spans="1:27" x14ac:dyDescent="0.25">
      <c r="A614" s="88">
        <v>612</v>
      </c>
      <c r="B614" s="94" t="s">
        <v>345</v>
      </c>
      <c r="C614" s="90" t="s">
        <v>6</v>
      </c>
      <c r="D614" s="91" t="s">
        <v>59</v>
      </c>
      <c r="E614" s="92">
        <v>0</v>
      </c>
      <c r="F614" s="93">
        <v>0</v>
      </c>
      <c r="G614" s="93">
        <v>0</v>
      </c>
      <c r="H614" s="93"/>
      <c r="I614" s="93"/>
      <c r="J614" s="88"/>
      <c r="K614" s="94"/>
      <c r="L614" s="90"/>
      <c r="M614" s="91"/>
      <c r="N614" s="92"/>
      <c r="O614" s="93"/>
      <c r="P614" s="93"/>
      <c r="Q614" s="93"/>
      <c r="R614" s="93"/>
      <c r="S614" s="125"/>
      <c r="T614" s="94"/>
      <c r="U614" s="90"/>
      <c r="V614" s="91"/>
      <c r="W614" s="92"/>
      <c r="X614" s="93"/>
      <c r="Y614" s="93"/>
      <c r="Z614" s="93"/>
      <c r="AA614" s="93"/>
    </row>
    <row r="615" spans="1:27" x14ac:dyDescent="0.25">
      <c r="A615" s="88">
        <v>613</v>
      </c>
      <c r="B615" s="94" t="s">
        <v>687</v>
      </c>
      <c r="C615" s="90" t="s">
        <v>6</v>
      </c>
      <c r="D615" s="91" t="s">
        <v>63</v>
      </c>
      <c r="E615" s="92">
        <v>0</v>
      </c>
      <c r="F615" s="93">
        <v>0</v>
      </c>
      <c r="G615" s="93">
        <v>0</v>
      </c>
      <c r="H615" s="93"/>
      <c r="I615" s="93"/>
      <c r="J615" s="88"/>
      <c r="K615" s="94"/>
      <c r="L615" s="90"/>
      <c r="M615" s="91"/>
      <c r="N615" s="92"/>
      <c r="O615" s="93"/>
      <c r="P615" s="93"/>
      <c r="Q615" s="93"/>
      <c r="R615" s="93"/>
      <c r="S615" s="125"/>
      <c r="T615" s="94"/>
      <c r="U615" s="90"/>
      <c r="V615" s="91"/>
      <c r="W615" s="92"/>
      <c r="X615" s="93"/>
      <c r="Y615" s="93"/>
      <c r="Z615" s="93"/>
      <c r="AA615" s="93"/>
    </row>
    <row r="616" spans="1:27" x14ac:dyDescent="0.25">
      <c r="A616" s="88">
        <v>614</v>
      </c>
      <c r="B616" s="89" t="s">
        <v>111</v>
      </c>
      <c r="C616" s="90" t="s">
        <v>16</v>
      </c>
      <c r="D616" s="91" t="s">
        <v>63</v>
      </c>
      <c r="E616" s="92">
        <v>0</v>
      </c>
      <c r="F616" s="93">
        <v>0</v>
      </c>
      <c r="G616" s="93">
        <v>0</v>
      </c>
      <c r="H616" s="93"/>
      <c r="I616" s="93"/>
      <c r="J616" s="88"/>
      <c r="K616" s="94"/>
      <c r="L616" s="90"/>
      <c r="M616" s="91"/>
      <c r="N616" s="92"/>
      <c r="O616" s="93"/>
      <c r="P616" s="93"/>
      <c r="Q616" s="93"/>
      <c r="R616" s="93"/>
      <c r="S616" s="125"/>
      <c r="T616" s="94"/>
      <c r="U616" s="90"/>
      <c r="V616" s="91"/>
      <c r="W616" s="92"/>
      <c r="X616" s="93"/>
      <c r="Y616" s="93"/>
      <c r="Z616" s="93"/>
      <c r="AA616" s="93"/>
    </row>
    <row r="617" spans="1:27" x14ac:dyDescent="0.25">
      <c r="A617" s="88">
        <v>615</v>
      </c>
      <c r="B617" s="94" t="s">
        <v>206</v>
      </c>
      <c r="C617" s="90" t="s">
        <v>6</v>
      </c>
      <c r="D617" s="91" t="s">
        <v>69</v>
      </c>
      <c r="E617" s="92">
        <v>0</v>
      </c>
      <c r="F617" s="93">
        <v>0</v>
      </c>
      <c r="G617" s="93">
        <v>0</v>
      </c>
      <c r="H617" s="93"/>
      <c r="I617" s="93"/>
      <c r="J617" s="88"/>
      <c r="K617" s="94"/>
      <c r="L617" s="90"/>
      <c r="M617" s="91"/>
      <c r="N617" s="92"/>
      <c r="O617" s="93"/>
      <c r="P617" s="93"/>
      <c r="Q617" s="93"/>
      <c r="R617" s="93"/>
      <c r="S617" s="125"/>
      <c r="T617" s="94"/>
      <c r="U617" s="90"/>
      <c r="V617" s="91"/>
      <c r="W617" s="92"/>
      <c r="X617" s="93"/>
      <c r="Y617" s="93"/>
      <c r="Z617" s="93"/>
      <c r="AA617" s="93"/>
    </row>
    <row r="618" spans="1:27" x14ac:dyDescent="0.25">
      <c r="A618" s="88">
        <v>616</v>
      </c>
      <c r="B618" s="89" t="s">
        <v>340</v>
      </c>
      <c r="C618" s="90" t="s">
        <v>6</v>
      </c>
      <c r="D618" s="91" t="s">
        <v>69</v>
      </c>
      <c r="E618" s="92">
        <v>0</v>
      </c>
      <c r="F618" s="93">
        <v>0</v>
      </c>
      <c r="G618" s="93">
        <v>0</v>
      </c>
      <c r="H618" s="93"/>
      <c r="I618" s="93"/>
      <c r="J618" s="88"/>
      <c r="K618" s="94"/>
      <c r="L618" s="90"/>
      <c r="M618" s="91"/>
      <c r="N618" s="92"/>
      <c r="O618" s="93"/>
      <c r="P618" s="93"/>
      <c r="Q618" s="93"/>
      <c r="R618" s="93"/>
      <c r="S618" s="125"/>
      <c r="T618" s="94"/>
      <c r="U618" s="90"/>
      <c r="V618" s="91"/>
      <c r="W618" s="92"/>
      <c r="X618" s="93"/>
      <c r="Y618" s="93"/>
      <c r="Z618" s="93"/>
      <c r="AA618" s="93"/>
    </row>
    <row r="619" spans="1:27" x14ac:dyDescent="0.25">
      <c r="A619" s="88">
        <v>617</v>
      </c>
      <c r="B619" s="94" t="s">
        <v>472</v>
      </c>
      <c r="C619" s="90" t="s">
        <v>6</v>
      </c>
      <c r="D619" s="91" t="s">
        <v>63</v>
      </c>
      <c r="E619" s="92">
        <v>0</v>
      </c>
      <c r="F619" s="93">
        <v>0</v>
      </c>
      <c r="G619" s="93">
        <v>0</v>
      </c>
      <c r="H619" s="93"/>
      <c r="I619" s="93"/>
      <c r="J619" s="88"/>
      <c r="K619" s="94"/>
      <c r="L619" s="90"/>
      <c r="M619" s="91"/>
      <c r="N619" s="92"/>
      <c r="O619" s="93"/>
      <c r="P619" s="93"/>
      <c r="Q619" s="93"/>
      <c r="R619" s="93"/>
      <c r="S619" s="125"/>
      <c r="T619" s="94"/>
      <c r="U619" s="90"/>
      <c r="V619" s="91"/>
      <c r="W619" s="92"/>
      <c r="X619" s="93"/>
      <c r="Y619" s="93"/>
      <c r="Z619" s="93"/>
      <c r="AA619" s="93"/>
    </row>
    <row r="620" spans="1:27" x14ac:dyDescent="0.25">
      <c r="A620" s="88">
        <v>618</v>
      </c>
      <c r="B620" s="94" t="s">
        <v>479</v>
      </c>
      <c r="C620" s="90" t="s">
        <v>6</v>
      </c>
      <c r="D620" s="91" t="s">
        <v>63</v>
      </c>
      <c r="E620" s="92">
        <v>0</v>
      </c>
      <c r="F620" s="93">
        <v>0</v>
      </c>
      <c r="G620" s="93">
        <v>0</v>
      </c>
      <c r="H620" s="93"/>
      <c r="I620" s="93"/>
      <c r="J620" s="88"/>
      <c r="K620" s="94"/>
      <c r="L620" s="90"/>
      <c r="M620" s="91"/>
      <c r="N620" s="92"/>
      <c r="O620" s="93"/>
      <c r="P620" s="93"/>
      <c r="Q620" s="93"/>
      <c r="R620" s="93"/>
      <c r="S620" s="125"/>
      <c r="T620" s="94"/>
      <c r="U620" s="90"/>
      <c r="V620" s="91"/>
      <c r="W620" s="92"/>
      <c r="X620" s="93"/>
      <c r="Y620" s="93"/>
      <c r="Z620" s="93"/>
      <c r="AA620" s="93"/>
    </row>
    <row r="621" spans="1:27" x14ac:dyDescent="0.25">
      <c r="A621" s="88">
        <v>619</v>
      </c>
      <c r="B621" s="94" t="s">
        <v>181</v>
      </c>
      <c r="C621" s="90" t="s">
        <v>6</v>
      </c>
      <c r="D621" s="91" t="s">
        <v>64</v>
      </c>
      <c r="E621" s="92">
        <v>0</v>
      </c>
      <c r="F621" s="93">
        <v>0</v>
      </c>
      <c r="G621" s="93">
        <v>0</v>
      </c>
      <c r="H621" s="93"/>
      <c r="I621" s="93"/>
      <c r="J621" s="88"/>
      <c r="K621" s="94"/>
      <c r="L621" s="90"/>
      <c r="M621" s="91"/>
      <c r="N621" s="92"/>
      <c r="O621" s="93"/>
      <c r="P621" s="93"/>
      <c r="Q621" s="93"/>
      <c r="R621" s="93"/>
      <c r="S621" s="125"/>
      <c r="T621" s="94"/>
      <c r="U621" s="90"/>
      <c r="V621" s="91"/>
      <c r="W621" s="92"/>
      <c r="X621" s="93"/>
      <c r="Y621" s="93"/>
      <c r="Z621" s="93"/>
      <c r="AA621" s="93"/>
    </row>
    <row r="622" spans="1:27" x14ac:dyDescent="0.25">
      <c r="A622" s="88">
        <v>620</v>
      </c>
      <c r="B622" s="94" t="s">
        <v>245</v>
      </c>
      <c r="C622" s="90" t="s">
        <v>6</v>
      </c>
      <c r="D622" s="91" t="s">
        <v>69</v>
      </c>
      <c r="E622" s="92">
        <v>0</v>
      </c>
      <c r="F622" s="93">
        <v>0</v>
      </c>
      <c r="G622" s="93">
        <v>0</v>
      </c>
      <c r="H622" s="93"/>
      <c r="I622" s="93"/>
      <c r="J622" s="88"/>
      <c r="K622" s="94"/>
      <c r="L622" s="90"/>
      <c r="M622" s="91"/>
      <c r="N622" s="92"/>
      <c r="O622" s="93"/>
      <c r="P622" s="93"/>
      <c r="Q622" s="93"/>
      <c r="R622" s="93"/>
      <c r="S622" s="125"/>
      <c r="T622" s="94"/>
      <c r="U622" s="90"/>
      <c r="V622" s="91"/>
      <c r="W622" s="92"/>
      <c r="X622" s="93"/>
      <c r="Y622" s="93"/>
      <c r="Z622" s="93"/>
      <c r="AA622" s="93"/>
    </row>
    <row r="623" spans="1:27" x14ac:dyDescent="0.25">
      <c r="A623" s="88">
        <v>621</v>
      </c>
      <c r="B623" s="89" t="s">
        <v>154</v>
      </c>
      <c r="C623" s="90" t="s">
        <v>6</v>
      </c>
      <c r="D623" s="91" t="s">
        <v>63</v>
      </c>
      <c r="E623" s="92">
        <v>0</v>
      </c>
      <c r="F623" s="93">
        <v>0</v>
      </c>
      <c r="G623" s="93">
        <v>0</v>
      </c>
      <c r="H623" s="93"/>
      <c r="I623" s="93"/>
      <c r="J623" s="88"/>
      <c r="K623" s="94"/>
      <c r="L623" s="90"/>
      <c r="M623" s="91"/>
      <c r="N623" s="92"/>
      <c r="O623" s="93"/>
      <c r="P623" s="93"/>
      <c r="Q623" s="93"/>
      <c r="R623" s="93"/>
      <c r="S623" s="125"/>
      <c r="T623" s="94"/>
      <c r="U623" s="90"/>
      <c r="V623" s="91"/>
      <c r="W623" s="92"/>
      <c r="X623" s="93"/>
      <c r="Y623" s="93"/>
      <c r="Z623" s="93"/>
      <c r="AA623" s="93"/>
    </row>
    <row r="624" spans="1:27" x14ac:dyDescent="0.25">
      <c r="A624" s="88">
        <v>622</v>
      </c>
      <c r="B624" s="94" t="s">
        <v>440</v>
      </c>
      <c r="C624" s="90" t="s">
        <v>6</v>
      </c>
      <c r="D624" s="91" t="s">
        <v>57</v>
      </c>
      <c r="E624" s="92">
        <v>0</v>
      </c>
      <c r="F624" s="93">
        <v>0</v>
      </c>
      <c r="G624" s="93">
        <v>0</v>
      </c>
      <c r="H624" s="93"/>
      <c r="I624" s="93"/>
      <c r="J624" s="88"/>
      <c r="K624" s="94"/>
      <c r="L624" s="90"/>
      <c r="M624" s="91"/>
      <c r="N624" s="92"/>
      <c r="O624" s="93"/>
      <c r="P624" s="93"/>
      <c r="Q624" s="93"/>
      <c r="R624" s="93"/>
      <c r="S624" s="125"/>
      <c r="T624" s="94"/>
      <c r="U624" s="90"/>
      <c r="V624" s="91"/>
      <c r="W624" s="92"/>
      <c r="X624" s="93"/>
      <c r="Y624" s="93"/>
      <c r="Z624" s="93"/>
      <c r="AA624" s="93"/>
    </row>
    <row r="625" spans="1:27" x14ac:dyDescent="0.25">
      <c r="A625" s="88">
        <v>623</v>
      </c>
      <c r="B625" s="94" t="s">
        <v>199</v>
      </c>
      <c r="C625" s="90" t="s">
        <v>6</v>
      </c>
      <c r="D625" s="90" t="s">
        <v>57</v>
      </c>
      <c r="E625" s="92">
        <v>0</v>
      </c>
      <c r="F625" s="93">
        <v>0</v>
      </c>
      <c r="G625" s="93">
        <v>0</v>
      </c>
      <c r="H625" s="93"/>
      <c r="I625" s="93"/>
      <c r="J625" s="88"/>
      <c r="K625" s="94"/>
      <c r="L625" s="90"/>
      <c r="M625" s="91"/>
      <c r="N625" s="92"/>
      <c r="O625" s="93"/>
      <c r="P625" s="93"/>
      <c r="Q625" s="93"/>
      <c r="R625" s="93"/>
      <c r="S625" s="125"/>
      <c r="T625" s="94"/>
      <c r="U625" s="90"/>
      <c r="V625" s="91"/>
      <c r="W625" s="92"/>
      <c r="X625" s="93"/>
      <c r="Y625" s="93"/>
      <c r="Z625" s="93"/>
      <c r="AA625" s="93"/>
    </row>
    <row r="626" spans="1:27" x14ac:dyDescent="0.25">
      <c r="A626" s="88">
        <v>624</v>
      </c>
      <c r="B626" s="89" t="s">
        <v>178</v>
      </c>
      <c r="C626" s="90" t="s">
        <v>16</v>
      </c>
      <c r="D626" s="91" t="s">
        <v>63</v>
      </c>
      <c r="E626" s="92">
        <v>0</v>
      </c>
      <c r="F626" s="93">
        <v>0</v>
      </c>
      <c r="G626" s="93">
        <v>0</v>
      </c>
      <c r="H626" s="93"/>
      <c r="I626" s="93"/>
      <c r="J626" s="88"/>
      <c r="K626" s="94"/>
      <c r="L626" s="90"/>
      <c r="M626" s="91"/>
      <c r="N626" s="92"/>
      <c r="O626" s="93"/>
      <c r="P626" s="93"/>
      <c r="Q626" s="93"/>
      <c r="R626" s="93"/>
      <c r="S626" s="125"/>
      <c r="T626" s="94"/>
      <c r="U626" s="90"/>
      <c r="V626" s="91"/>
      <c r="W626" s="92"/>
      <c r="X626" s="93"/>
      <c r="Y626" s="93"/>
      <c r="Z626" s="93"/>
      <c r="AA626" s="93"/>
    </row>
    <row r="627" spans="1:27" x14ac:dyDescent="0.25">
      <c r="A627" s="88">
        <v>625</v>
      </c>
      <c r="B627" s="95" t="s">
        <v>454</v>
      </c>
      <c r="C627" s="88" t="s">
        <v>6</v>
      </c>
      <c r="D627" s="88" t="s">
        <v>256</v>
      </c>
      <c r="E627" s="92">
        <v>0</v>
      </c>
      <c r="F627" s="93">
        <v>0</v>
      </c>
      <c r="G627" s="93">
        <v>0</v>
      </c>
      <c r="H627" s="93"/>
      <c r="I627" s="93"/>
      <c r="J627" s="88"/>
      <c r="K627" s="94"/>
      <c r="L627" s="90"/>
      <c r="M627" s="91"/>
      <c r="N627" s="92"/>
      <c r="O627" s="93"/>
      <c r="P627" s="93"/>
      <c r="Q627" s="93"/>
      <c r="R627" s="93"/>
      <c r="S627" s="125"/>
      <c r="T627" s="94"/>
      <c r="U627" s="90"/>
      <c r="V627" s="91"/>
      <c r="W627" s="92"/>
      <c r="X627" s="93"/>
      <c r="Y627" s="93"/>
      <c r="Z627" s="93"/>
      <c r="AA627" s="93"/>
    </row>
    <row r="628" spans="1:27" x14ac:dyDescent="0.25">
      <c r="A628" s="88">
        <v>626</v>
      </c>
      <c r="B628" s="94" t="s">
        <v>658</v>
      </c>
      <c r="C628" s="90" t="s">
        <v>6</v>
      </c>
      <c r="D628" s="91" t="s">
        <v>62</v>
      </c>
      <c r="E628" s="92">
        <v>0</v>
      </c>
      <c r="F628" s="93">
        <v>0</v>
      </c>
      <c r="G628" s="93">
        <v>0</v>
      </c>
      <c r="H628" s="93"/>
      <c r="I628" s="93"/>
      <c r="J628" s="88"/>
      <c r="K628" s="94"/>
      <c r="L628" s="90"/>
      <c r="M628" s="91"/>
      <c r="N628" s="92"/>
      <c r="O628" s="93"/>
      <c r="P628" s="93"/>
      <c r="Q628" s="93"/>
      <c r="R628" s="93"/>
      <c r="S628" s="125"/>
      <c r="T628" s="94"/>
      <c r="U628" s="90"/>
      <c r="V628" s="91"/>
      <c r="W628" s="92"/>
      <c r="X628" s="93"/>
      <c r="Y628" s="93"/>
      <c r="Z628" s="93"/>
      <c r="AA628" s="93"/>
    </row>
    <row r="629" spans="1:27" x14ac:dyDescent="0.25">
      <c r="A629" s="88">
        <v>627</v>
      </c>
      <c r="B629" s="94" t="s">
        <v>494</v>
      </c>
      <c r="C629" s="90" t="s">
        <v>16</v>
      </c>
      <c r="D629" s="90" t="s">
        <v>57</v>
      </c>
      <c r="E629" s="92">
        <v>0</v>
      </c>
      <c r="F629" s="93">
        <v>0</v>
      </c>
      <c r="G629" s="93">
        <v>0</v>
      </c>
      <c r="H629" s="93"/>
      <c r="I629" s="93"/>
      <c r="J629" s="88"/>
      <c r="K629" s="94"/>
      <c r="L629" s="90"/>
      <c r="M629" s="91"/>
      <c r="N629" s="92"/>
      <c r="O629" s="93"/>
      <c r="P629" s="93"/>
      <c r="Q629" s="93"/>
      <c r="R629" s="93"/>
      <c r="S629" s="125"/>
      <c r="T629" s="94"/>
      <c r="U629" s="90"/>
      <c r="V629" s="91"/>
      <c r="W629" s="92"/>
      <c r="X629" s="93"/>
      <c r="Y629" s="93"/>
      <c r="Z629" s="93"/>
      <c r="AA629" s="93"/>
    </row>
    <row r="630" spans="1:27" x14ac:dyDescent="0.25">
      <c r="A630" s="88">
        <v>628</v>
      </c>
      <c r="B630" s="95" t="s">
        <v>478</v>
      </c>
      <c r="C630" s="88" t="s">
        <v>6</v>
      </c>
      <c r="D630" s="88" t="s">
        <v>63</v>
      </c>
      <c r="E630" s="92">
        <v>0</v>
      </c>
      <c r="F630" s="93">
        <v>0</v>
      </c>
      <c r="G630" s="93">
        <v>0</v>
      </c>
      <c r="H630" s="93"/>
      <c r="I630" s="93"/>
      <c r="J630" s="88"/>
      <c r="K630" s="94"/>
      <c r="L630" s="90"/>
      <c r="M630" s="91"/>
      <c r="N630" s="92"/>
      <c r="O630" s="93"/>
      <c r="P630" s="93"/>
      <c r="Q630" s="93"/>
      <c r="R630" s="93"/>
      <c r="S630" s="125"/>
      <c r="T630" s="94"/>
      <c r="U630" s="90"/>
      <c r="V630" s="91"/>
      <c r="W630" s="92"/>
      <c r="X630" s="93"/>
      <c r="Y630" s="93"/>
      <c r="Z630" s="93"/>
      <c r="AA630" s="93"/>
    </row>
    <row r="631" spans="1:27" x14ac:dyDescent="0.25">
      <c r="A631" s="88">
        <v>629</v>
      </c>
      <c r="B631" s="94" t="s">
        <v>474</v>
      </c>
      <c r="C631" s="90" t="s">
        <v>6</v>
      </c>
      <c r="D631" s="91" t="s">
        <v>63</v>
      </c>
      <c r="E631" s="92">
        <v>0</v>
      </c>
      <c r="F631" s="93">
        <v>0</v>
      </c>
      <c r="G631" s="93">
        <v>0</v>
      </c>
      <c r="H631" s="93"/>
      <c r="I631" s="93"/>
      <c r="J631" s="88"/>
      <c r="K631" s="94"/>
      <c r="L631" s="90"/>
      <c r="M631" s="91"/>
      <c r="N631" s="92"/>
      <c r="O631" s="93"/>
      <c r="P631" s="93"/>
      <c r="Q631" s="93"/>
      <c r="R631" s="93"/>
      <c r="S631" s="125"/>
      <c r="T631" s="94"/>
      <c r="U631" s="90"/>
      <c r="V631" s="91"/>
      <c r="W631" s="92"/>
      <c r="X631" s="93"/>
      <c r="Y631" s="93"/>
      <c r="Z631" s="93"/>
      <c r="AA631" s="93"/>
    </row>
    <row r="632" spans="1:27" x14ac:dyDescent="0.25">
      <c r="A632" s="88">
        <v>630</v>
      </c>
      <c r="B632" s="89" t="s">
        <v>497</v>
      </c>
      <c r="C632" s="90" t="s">
        <v>6</v>
      </c>
      <c r="D632" s="91" t="s">
        <v>67</v>
      </c>
      <c r="E632" s="92">
        <v>0</v>
      </c>
      <c r="F632" s="93">
        <v>0</v>
      </c>
      <c r="G632" s="93">
        <v>0</v>
      </c>
      <c r="H632" s="93"/>
      <c r="I632" s="93"/>
      <c r="J632" s="88"/>
      <c r="K632" s="94"/>
      <c r="L632" s="90"/>
      <c r="M632" s="91"/>
      <c r="N632" s="92"/>
      <c r="O632" s="93"/>
      <c r="P632" s="93"/>
      <c r="Q632" s="93"/>
      <c r="R632" s="93"/>
      <c r="S632" s="125"/>
      <c r="T632" s="94"/>
      <c r="U632" s="90"/>
      <c r="V632" s="91"/>
      <c r="W632" s="92"/>
      <c r="X632" s="93"/>
      <c r="Y632" s="93"/>
      <c r="Z632" s="93"/>
      <c r="AA632" s="93"/>
    </row>
    <row r="633" spans="1:27" x14ac:dyDescent="0.25">
      <c r="A633" s="88">
        <v>631</v>
      </c>
      <c r="B633" s="89" t="s">
        <v>275</v>
      </c>
      <c r="C633" s="90" t="s">
        <v>6</v>
      </c>
      <c r="D633" s="91" t="s">
        <v>57</v>
      </c>
      <c r="E633" s="92">
        <v>0</v>
      </c>
      <c r="F633" s="93">
        <v>0</v>
      </c>
      <c r="G633" s="93">
        <v>0</v>
      </c>
      <c r="H633" s="93"/>
      <c r="I633" s="93"/>
      <c r="J633" s="88"/>
      <c r="K633" s="94"/>
      <c r="L633" s="90"/>
      <c r="M633" s="91"/>
      <c r="N633" s="92"/>
      <c r="O633" s="93"/>
      <c r="P633" s="93"/>
      <c r="Q633" s="93"/>
      <c r="R633" s="93"/>
      <c r="S633" s="125"/>
      <c r="T633" s="94"/>
      <c r="U633" s="90"/>
      <c r="V633" s="91"/>
      <c r="W633" s="92"/>
      <c r="X633" s="93"/>
      <c r="Y633" s="93"/>
      <c r="Z633" s="93"/>
      <c r="AA633" s="93"/>
    </row>
    <row r="634" spans="1:27" x14ac:dyDescent="0.25">
      <c r="A634" s="88">
        <v>632</v>
      </c>
      <c r="B634" s="89" t="s">
        <v>45</v>
      </c>
      <c r="C634" s="90" t="s">
        <v>6</v>
      </c>
      <c r="D634" s="91" t="s">
        <v>57</v>
      </c>
      <c r="E634" s="92">
        <v>0</v>
      </c>
      <c r="F634" s="93">
        <v>0</v>
      </c>
      <c r="G634" s="93">
        <v>0</v>
      </c>
      <c r="H634" s="93"/>
      <c r="I634" s="93"/>
      <c r="J634" s="88"/>
      <c r="K634" s="94"/>
      <c r="L634" s="90"/>
      <c r="M634" s="91"/>
      <c r="N634" s="92"/>
      <c r="O634" s="93"/>
      <c r="P634" s="93"/>
      <c r="Q634" s="93"/>
      <c r="R634" s="93"/>
      <c r="S634" s="125"/>
      <c r="T634" s="94"/>
      <c r="U634" s="90"/>
      <c r="V634" s="91"/>
      <c r="W634" s="92"/>
      <c r="X634" s="93"/>
      <c r="Y634" s="93"/>
      <c r="Z634" s="93"/>
      <c r="AA634" s="93"/>
    </row>
    <row r="635" spans="1:27" x14ac:dyDescent="0.25">
      <c r="A635" s="88">
        <v>633</v>
      </c>
      <c r="B635" s="94" t="s">
        <v>412</v>
      </c>
      <c r="C635" s="90" t="s">
        <v>6</v>
      </c>
      <c r="D635" s="91" t="s">
        <v>143</v>
      </c>
      <c r="E635" s="92">
        <v>0</v>
      </c>
      <c r="F635" s="93">
        <v>0</v>
      </c>
      <c r="G635" s="93">
        <v>0</v>
      </c>
      <c r="H635" s="93"/>
      <c r="I635" s="93"/>
      <c r="J635" s="88"/>
      <c r="K635" s="94"/>
      <c r="L635" s="90"/>
      <c r="M635" s="91"/>
      <c r="N635" s="92"/>
      <c r="O635" s="93"/>
      <c r="P635" s="93"/>
      <c r="Q635" s="93"/>
      <c r="R635" s="93"/>
      <c r="S635" s="125"/>
      <c r="T635" s="94"/>
      <c r="U635" s="90"/>
      <c r="V635" s="91"/>
      <c r="W635" s="92"/>
      <c r="X635" s="93"/>
      <c r="Y635" s="93"/>
      <c r="Z635" s="93"/>
      <c r="AA635" s="93"/>
    </row>
    <row r="636" spans="1:27" x14ac:dyDescent="0.25">
      <c r="A636" s="88">
        <v>643</v>
      </c>
      <c r="B636" s="94" t="s">
        <v>182</v>
      </c>
      <c r="C636" s="90" t="s">
        <v>16</v>
      </c>
      <c r="D636" s="91" t="s">
        <v>61</v>
      </c>
      <c r="E636" s="92">
        <v>0</v>
      </c>
      <c r="F636" s="93">
        <v>0</v>
      </c>
      <c r="G636" s="93">
        <v>0</v>
      </c>
      <c r="H636" s="93"/>
      <c r="I636" s="93"/>
      <c r="J636" s="88"/>
      <c r="K636" s="94"/>
      <c r="L636" s="90"/>
      <c r="M636" s="91"/>
      <c r="N636" s="92"/>
      <c r="O636" s="93"/>
      <c r="P636" s="93"/>
      <c r="Q636" s="93"/>
      <c r="R636" s="93"/>
      <c r="S636" s="125"/>
      <c r="T636" s="94"/>
      <c r="U636" s="90"/>
      <c r="V636" s="91"/>
      <c r="W636" s="92"/>
      <c r="X636" s="93"/>
      <c r="Y636" s="93"/>
      <c r="Z636" s="93"/>
      <c r="AA636" s="93"/>
    </row>
    <row r="637" spans="1:27" x14ac:dyDescent="0.25">
      <c r="A637" s="88">
        <v>644</v>
      </c>
      <c r="B637" s="94" t="s">
        <v>328</v>
      </c>
      <c r="C637" s="90" t="s">
        <v>16</v>
      </c>
      <c r="D637" s="91"/>
      <c r="E637" s="92">
        <v>0</v>
      </c>
      <c r="F637" s="93">
        <v>0</v>
      </c>
      <c r="G637" s="93">
        <v>0</v>
      </c>
      <c r="H637" s="93"/>
      <c r="I637" s="93"/>
      <c r="J637" s="88"/>
      <c r="K637" s="94"/>
      <c r="L637" s="90"/>
      <c r="M637" s="91"/>
      <c r="N637" s="92"/>
      <c r="O637" s="93"/>
      <c r="P637" s="93"/>
      <c r="Q637" s="93"/>
      <c r="R637" s="93"/>
      <c r="S637" s="125"/>
      <c r="T637" s="94"/>
      <c r="U637" s="90"/>
      <c r="V637" s="91"/>
      <c r="W637" s="92"/>
      <c r="X637" s="93"/>
      <c r="Y637" s="93"/>
      <c r="Z637" s="93"/>
      <c r="AA637" s="93"/>
    </row>
    <row r="638" spans="1:27" x14ac:dyDescent="0.25">
      <c r="A638" s="88">
        <v>645</v>
      </c>
      <c r="B638" s="89" t="s">
        <v>502</v>
      </c>
      <c r="C638" s="90" t="s">
        <v>6</v>
      </c>
      <c r="D638" s="91" t="s">
        <v>62</v>
      </c>
      <c r="E638" s="92">
        <v>0</v>
      </c>
      <c r="F638" s="93">
        <v>0</v>
      </c>
      <c r="G638" s="93">
        <v>0</v>
      </c>
      <c r="H638" s="93"/>
      <c r="I638" s="93"/>
      <c r="J638" s="88"/>
      <c r="K638" s="94"/>
      <c r="L638" s="90"/>
      <c r="M638" s="91"/>
      <c r="N638" s="92"/>
      <c r="O638" s="93"/>
      <c r="P638" s="93"/>
      <c r="Q638" s="93"/>
      <c r="R638" s="93"/>
      <c r="S638" s="125"/>
      <c r="T638" s="94"/>
      <c r="U638" s="90"/>
      <c r="V638" s="91"/>
      <c r="W638" s="92"/>
      <c r="X638" s="93"/>
      <c r="Y638" s="93"/>
      <c r="Z638" s="93"/>
      <c r="AA638" s="93"/>
    </row>
    <row r="639" spans="1:27" x14ac:dyDescent="0.25">
      <c r="A639" s="88">
        <v>646</v>
      </c>
      <c r="B639" s="94" t="s">
        <v>120</v>
      </c>
      <c r="C639" s="90" t="s">
        <v>6</v>
      </c>
      <c r="D639" s="91" t="s">
        <v>79</v>
      </c>
      <c r="E639" s="92">
        <v>0</v>
      </c>
      <c r="F639" s="93">
        <v>0</v>
      </c>
      <c r="G639" s="93">
        <v>0</v>
      </c>
      <c r="H639" s="93"/>
      <c r="I639" s="93"/>
      <c r="J639" s="88"/>
      <c r="K639" s="94"/>
      <c r="L639" s="90"/>
      <c r="M639" s="91"/>
      <c r="N639" s="92"/>
      <c r="O639" s="93"/>
      <c r="P639" s="93"/>
      <c r="Q639" s="93"/>
      <c r="R639" s="93"/>
      <c r="S639" s="125"/>
      <c r="T639" s="94"/>
      <c r="U639" s="90"/>
      <c r="V639" s="91"/>
      <c r="W639" s="92"/>
      <c r="X639" s="93"/>
      <c r="Y639" s="93"/>
      <c r="Z639" s="93"/>
      <c r="AA639" s="93"/>
    </row>
    <row r="640" spans="1:27" x14ac:dyDescent="0.25">
      <c r="A640" s="88">
        <v>647</v>
      </c>
      <c r="B640" s="94" t="s">
        <v>249</v>
      </c>
      <c r="C640" s="90" t="s">
        <v>6</v>
      </c>
      <c r="D640" s="90" t="s">
        <v>57</v>
      </c>
      <c r="E640" s="92">
        <v>0</v>
      </c>
      <c r="F640" s="93">
        <v>0</v>
      </c>
      <c r="G640" s="93">
        <v>0</v>
      </c>
      <c r="H640" s="93"/>
      <c r="I640" s="93"/>
      <c r="J640" s="88"/>
      <c r="K640" s="94"/>
      <c r="L640" s="90"/>
      <c r="M640" s="91"/>
      <c r="N640" s="92"/>
      <c r="O640" s="93"/>
      <c r="P640" s="93"/>
      <c r="Q640" s="93"/>
      <c r="R640" s="93"/>
      <c r="S640" s="125"/>
      <c r="T640" s="94"/>
      <c r="U640" s="90"/>
      <c r="V640" s="91"/>
      <c r="W640" s="92"/>
      <c r="X640" s="93"/>
      <c r="Y640" s="93"/>
      <c r="Z640" s="93"/>
      <c r="AA640" s="93"/>
    </row>
    <row r="641" spans="1:27" x14ac:dyDescent="0.25">
      <c r="A641" s="88">
        <v>648</v>
      </c>
      <c r="B641" s="94" t="s">
        <v>357</v>
      </c>
      <c r="C641" s="90" t="s">
        <v>16</v>
      </c>
      <c r="D641" s="91" t="s">
        <v>63</v>
      </c>
      <c r="E641" s="92">
        <v>0</v>
      </c>
      <c r="F641" s="93">
        <v>0</v>
      </c>
      <c r="G641" s="93">
        <v>0</v>
      </c>
      <c r="H641" s="93"/>
      <c r="I641" s="93"/>
      <c r="J641" s="88"/>
      <c r="K641" s="94"/>
      <c r="L641" s="90"/>
      <c r="M641" s="91"/>
      <c r="N641" s="92"/>
      <c r="O641" s="93"/>
      <c r="P641" s="93"/>
      <c r="Q641" s="93"/>
      <c r="R641" s="93"/>
      <c r="S641" s="125"/>
      <c r="T641" s="94"/>
      <c r="U641" s="90"/>
      <c r="V641" s="91"/>
      <c r="W641" s="92"/>
      <c r="X641" s="93"/>
      <c r="Y641" s="93"/>
      <c r="Z641" s="93"/>
      <c r="AA641" s="93"/>
    </row>
    <row r="642" spans="1:27" x14ac:dyDescent="0.25">
      <c r="A642" s="88">
        <v>649</v>
      </c>
      <c r="B642" s="94" t="s">
        <v>48</v>
      </c>
      <c r="C642" s="90" t="s">
        <v>6</v>
      </c>
      <c r="D642" s="91" t="s">
        <v>62</v>
      </c>
      <c r="E642" s="92">
        <v>0</v>
      </c>
      <c r="F642" s="93">
        <v>0</v>
      </c>
      <c r="G642" s="93">
        <v>0</v>
      </c>
      <c r="H642" s="93"/>
      <c r="I642" s="93"/>
      <c r="J642" s="88"/>
      <c r="K642" s="94"/>
      <c r="L642" s="90"/>
      <c r="M642" s="91"/>
      <c r="N642" s="92"/>
      <c r="O642" s="93"/>
      <c r="P642" s="93"/>
      <c r="Q642" s="93"/>
      <c r="R642" s="93"/>
      <c r="S642" s="125"/>
      <c r="T642" s="94"/>
      <c r="U642" s="90"/>
      <c r="V642" s="91"/>
      <c r="W642" s="92"/>
      <c r="X642" s="93"/>
      <c r="Y642" s="93"/>
      <c r="Z642" s="93"/>
      <c r="AA642" s="93"/>
    </row>
    <row r="643" spans="1:27" x14ac:dyDescent="0.25">
      <c r="A643" s="88">
        <v>650</v>
      </c>
      <c r="B643" s="94" t="s">
        <v>287</v>
      </c>
      <c r="C643" s="90" t="s">
        <v>6</v>
      </c>
      <c r="D643" s="91" t="s">
        <v>69</v>
      </c>
      <c r="E643" s="92">
        <v>0</v>
      </c>
      <c r="F643" s="93">
        <v>0</v>
      </c>
      <c r="G643" s="93">
        <v>0</v>
      </c>
      <c r="H643" s="93"/>
      <c r="I643" s="93"/>
      <c r="J643" s="88"/>
      <c r="K643" s="94"/>
      <c r="L643" s="90"/>
      <c r="M643" s="91"/>
      <c r="N643" s="92"/>
      <c r="O643" s="93"/>
      <c r="P643" s="93"/>
      <c r="Q643" s="93"/>
      <c r="R643" s="93"/>
      <c r="S643" s="125"/>
      <c r="T643" s="94"/>
      <c r="U643" s="90"/>
      <c r="V643" s="91"/>
      <c r="W643" s="92"/>
      <c r="X643" s="93"/>
      <c r="Y643" s="93"/>
      <c r="Z643" s="93"/>
      <c r="AA643" s="93"/>
    </row>
    <row r="644" spans="1:27" x14ac:dyDescent="0.25">
      <c r="A644" s="88">
        <v>651</v>
      </c>
      <c r="B644" s="94" t="s">
        <v>409</v>
      </c>
      <c r="C644" s="90" t="s">
        <v>6</v>
      </c>
      <c r="D644" s="91" t="s">
        <v>122</v>
      </c>
      <c r="E644" s="92">
        <v>0</v>
      </c>
      <c r="F644" s="93">
        <v>0</v>
      </c>
      <c r="G644" s="93">
        <v>0</v>
      </c>
      <c r="H644" s="93"/>
      <c r="I644" s="93"/>
      <c r="J644" s="88"/>
      <c r="K644" s="94"/>
      <c r="L644" s="90"/>
      <c r="M644" s="91"/>
      <c r="N644" s="92"/>
      <c r="O644" s="93"/>
      <c r="P644" s="93"/>
      <c r="Q644" s="93"/>
      <c r="R644" s="93"/>
      <c r="S644" s="125"/>
      <c r="T644" s="94"/>
      <c r="U644" s="90"/>
      <c r="V644" s="91"/>
      <c r="W644" s="92"/>
      <c r="X644" s="93"/>
      <c r="Y644" s="93"/>
      <c r="Z644" s="93"/>
      <c r="AA644" s="93"/>
    </row>
    <row r="645" spans="1:27" x14ac:dyDescent="0.25">
      <c r="A645" s="88">
        <v>652</v>
      </c>
      <c r="B645" s="94" t="s">
        <v>247</v>
      </c>
      <c r="C645" s="90" t="s">
        <v>6</v>
      </c>
      <c r="D645" s="91" t="s">
        <v>69</v>
      </c>
      <c r="E645" s="92">
        <v>0</v>
      </c>
      <c r="F645" s="93">
        <v>0</v>
      </c>
      <c r="G645" s="93">
        <v>0</v>
      </c>
      <c r="H645" s="93"/>
      <c r="I645" s="93"/>
      <c r="J645" s="88"/>
      <c r="K645" s="94"/>
      <c r="L645" s="90"/>
      <c r="M645" s="91"/>
      <c r="N645" s="92"/>
      <c r="O645" s="93"/>
      <c r="P645" s="93"/>
      <c r="Q645" s="93"/>
      <c r="R645" s="93"/>
      <c r="S645" s="125"/>
      <c r="T645" s="94"/>
      <c r="U645" s="90"/>
      <c r="V645" s="91"/>
      <c r="W645" s="92"/>
      <c r="X645" s="93"/>
      <c r="Y645" s="93"/>
      <c r="Z645" s="93"/>
      <c r="AA645" s="93"/>
    </row>
    <row r="646" spans="1:27" x14ac:dyDescent="0.25">
      <c r="A646" s="88">
        <v>653</v>
      </c>
      <c r="B646" s="89" t="s">
        <v>446</v>
      </c>
      <c r="C646" s="90" t="s">
        <v>6</v>
      </c>
      <c r="D646" s="91" t="s">
        <v>66</v>
      </c>
      <c r="E646" s="92">
        <v>0</v>
      </c>
      <c r="F646" s="93">
        <v>0</v>
      </c>
      <c r="G646" s="93">
        <v>0</v>
      </c>
      <c r="H646" s="93"/>
      <c r="I646" s="93"/>
      <c r="J646" s="88"/>
      <c r="K646" s="94"/>
      <c r="L646" s="90"/>
      <c r="M646" s="91"/>
      <c r="N646" s="92"/>
      <c r="O646" s="93"/>
      <c r="P646" s="93"/>
      <c r="Q646" s="93"/>
      <c r="R646" s="93"/>
      <c r="S646" s="125"/>
      <c r="T646" s="94"/>
      <c r="U646" s="90"/>
      <c r="V646" s="91"/>
      <c r="W646" s="92"/>
      <c r="X646" s="93"/>
      <c r="Y646" s="93"/>
      <c r="Z646" s="93"/>
      <c r="AA646" s="93"/>
    </row>
    <row r="647" spans="1:27" x14ac:dyDescent="0.25">
      <c r="A647" s="88">
        <v>654</v>
      </c>
      <c r="B647" s="89" t="s">
        <v>355</v>
      </c>
      <c r="C647" s="90" t="s">
        <v>16</v>
      </c>
      <c r="D647" s="91" t="s">
        <v>63</v>
      </c>
      <c r="E647" s="92">
        <v>0</v>
      </c>
      <c r="F647" s="93">
        <v>0</v>
      </c>
      <c r="G647" s="93">
        <v>0</v>
      </c>
      <c r="H647" s="93"/>
      <c r="I647" s="93"/>
      <c r="J647" s="88"/>
      <c r="K647" s="94"/>
      <c r="L647" s="90"/>
      <c r="M647" s="91"/>
      <c r="N647" s="92"/>
      <c r="O647" s="93"/>
      <c r="P647" s="93"/>
      <c r="Q647" s="93"/>
      <c r="R647" s="93"/>
      <c r="S647" s="125"/>
      <c r="T647" s="94"/>
      <c r="U647" s="90"/>
      <c r="V647" s="91"/>
      <c r="W647" s="92"/>
      <c r="X647" s="93"/>
      <c r="Y647" s="93"/>
      <c r="Z647" s="93"/>
      <c r="AA647" s="93"/>
    </row>
    <row r="648" spans="1:27" x14ac:dyDescent="0.25">
      <c r="A648" s="88">
        <v>655</v>
      </c>
      <c r="B648" s="94" t="s">
        <v>514</v>
      </c>
      <c r="C648" s="90" t="s">
        <v>6</v>
      </c>
      <c r="D648" s="91" t="s">
        <v>89</v>
      </c>
      <c r="E648" s="92">
        <v>0</v>
      </c>
      <c r="F648" s="93">
        <v>0</v>
      </c>
      <c r="G648" s="93">
        <v>0</v>
      </c>
      <c r="H648" s="93"/>
      <c r="I648" s="93"/>
      <c r="J648" s="88"/>
      <c r="K648" s="94"/>
      <c r="L648" s="90"/>
      <c r="M648" s="91"/>
      <c r="N648" s="92"/>
      <c r="O648" s="93"/>
      <c r="P648" s="93"/>
      <c r="Q648" s="93"/>
      <c r="R648" s="93"/>
      <c r="S648" s="125"/>
      <c r="T648" s="94"/>
      <c r="U648" s="90"/>
      <c r="V648" s="91"/>
      <c r="W648" s="92"/>
      <c r="X648" s="93"/>
      <c r="Y648" s="93"/>
      <c r="Z648" s="93"/>
      <c r="AA648" s="93"/>
    </row>
    <row r="649" spans="1:27" x14ac:dyDescent="0.25">
      <c r="A649" s="88">
        <v>656</v>
      </c>
      <c r="B649" s="94" t="s">
        <v>514</v>
      </c>
      <c r="C649" s="90" t="s">
        <v>6</v>
      </c>
      <c r="D649" s="91" t="s">
        <v>89</v>
      </c>
      <c r="E649" s="92">
        <v>0</v>
      </c>
      <c r="F649" s="93">
        <v>0</v>
      </c>
      <c r="G649" s="93">
        <v>0</v>
      </c>
      <c r="H649" s="93"/>
      <c r="I649" s="93"/>
      <c r="J649" s="88"/>
      <c r="K649" s="94"/>
      <c r="L649" s="90"/>
      <c r="M649" s="91"/>
      <c r="N649" s="92"/>
      <c r="O649" s="93"/>
      <c r="P649" s="93"/>
      <c r="Q649" s="93"/>
      <c r="R649" s="93"/>
      <c r="S649" s="125"/>
      <c r="T649" s="94"/>
      <c r="U649" s="90"/>
      <c r="V649" s="91"/>
      <c r="W649" s="92"/>
      <c r="X649" s="93"/>
      <c r="Y649" s="93"/>
      <c r="Z649" s="93"/>
      <c r="AA649" s="93"/>
    </row>
    <row r="650" spans="1:27" x14ac:dyDescent="0.25">
      <c r="A650" s="88">
        <v>657</v>
      </c>
      <c r="B650" s="89" t="s">
        <v>392</v>
      </c>
      <c r="C650" s="90" t="s">
        <v>16</v>
      </c>
      <c r="D650" s="91" t="s">
        <v>58</v>
      </c>
      <c r="E650" s="92">
        <v>0</v>
      </c>
      <c r="F650" s="93">
        <v>0</v>
      </c>
      <c r="G650" s="93">
        <v>0</v>
      </c>
      <c r="H650" s="93"/>
      <c r="I650" s="93"/>
      <c r="J650" s="88"/>
      <c r="K650" s="94"/>
      <c r="L650" s="90"/>
      <c r="M650" s="91"/>
      <c r="N650" s="92"/>
      <c r="O650" s="93"/>
      <c r="P650" s="93"/>
      <c r="Q650" s="93"/>
      <c r="R650" s="93"/>
      <c r="S650" s="125"/>
      <c r="T650" s="94"/>
      <c r="U650" s="90"/>
      <c r="V650" s="91"/>
      <c r="W650" s="92"/>
      <c r="X650" s="93"/>
      <c r="Y650" s="93"/>
      <c r="Z650" s="93"/>
      <c r="AA650" s="93"/>
    </row>
    <row r="651" spans="1:27" x14ac:dyDescent="0.25">
      <c r="A651" s="88">
        <v>658</v>
      </c>
      <c r="B651" s="89" t="s">
        <v>420</v>
      </c>
      <c r="C651" s="90" t="s">
        <v>16</v>
      </c>
      <c r="D651" s="91" t="s">
        <v>65</v>
      </c>
      <c r="E651" s="92">
        <v>0</v>
      </c>
      <c r="F651" s="93">
        <v>0</v>
      </c>
      <c r="G651" s="93">
        <v>0</v>
      </c>
      <c r="H651" s="93"/>
      <c r="I651" s="93"/>
      <c r="J651" s="88"/>
      <c r="K651" s="94"/>
      <c r="L651" s="90"/>
      <c r="M651" s="91"/>
      <c r="N651" s="92"/>
      <c r="O651" s="93"/>
      <c r="P651" s="93"/>
      <c r="Q651" s="93"/>
      <c r="R651" s="93"/>
      <c r="S651" s="125"/>
      <c r="T651" s="94"/>
      <c r="U651" s="90"/>
      <c r="V651" s="91"/>
      <c r="W651" s="92"/>
      <c r="X651" s="93"/>
      <c r="Y651" s="93"/>
      <c r="Z651" s="93"/>
      <c r="AA651" s="93"/>
    </row>
    <row r="652" spans="1:27" x14ac:dyDescent="0.25">
      <c r="A652" s="88">
        <v>659</v>
      </c>
      <c r="B652" s="94" t="s">
        <v>475</v>
      </c>
      <c r="C652" s="90" t="s">
        <v>6</v>
      </c>
      <c r="D652" s="91" t="s">
        <v>63</v>
      </c>
      <c r="E652" s="92">
        <v>0</v>
      </c>
      <c r="F652" s="93">
        <v>0</v>
      </c>
      <c r="G652" s="93">
        <v>0</v>
      </c>
      <c r="H652" s="93"/>
      <c r="I652" s="93"/>
      <c r="J652" s="88"/>
      <c r="K652" s="94"/>
      <c r="L652" s="90"/>
      <c r="M652" s="91"/>
      <c r="N652" s="92"/>
      <c r="O652" s="93"/>
      <c r="P652" s="93"/>
      <c r="Q652" s="93"/>
      <c r="R652" s="93"/>
      <c r="S652" s="125"/>
      <c r="T652" s="94"/>
      <c r="U652" s="90"/>
      <c r="V652" s="91"/>
      <c r="W652" s="92"/>
      <c r="X652" s="93"/>
      <c r="Y652" s="93"/>
      <c r="Z652" s="93"/>
      <c r="AA652" s="93"/>
    </row>
    <row r="653" spans="1:27" x14ac:dyDescent="0.25">
      <c r="A653" s="88">
        <v>660</v>
      </c>
      <c r="B653" s="89" t="s">
        <v>486</v>
      </c>
      <c r="C653" s="90" t="s">
        <v>16</v>
      </c>
      <c r="D653" s="91" t="s">
        <v>61</v>
      </c>
      <c r="E653" s="92">
        <v>0</v>
      </c>
      <c r="F653" s="93">
        <v>0</v>
      </c>
      <c r="G653" s="93">
        <v>0</v>
      </c>
      <c r="H653" s="93"/>
      <c r="I653" s="93"/>
      <c r="J653" s="88"/>
      <c r="K653" s="94"/>
      <c r="L653" s="90"/>
      <c r="M653" s="91"/>
      <c r="N653" s="92"/>
      <c r="O653" s="93"/>
      <c r="P653" s="93"/>
      <c r="Q653" s="93"/>
      <c r="R653" s="93"/>
      <c r="S653" s="125"/>
      <c r="T653" s="94"/>
      <c r="U653" s="90"/>
      <c r="V653" s="91"/>
      <c r="W653" s="92"/>
      <c r="X653" s="93"/>
      <c r="Y653" s="93"/>
      <c r="Z653" s="93"/>
      <c r="AA653" s="93"/>
    </row>
    <row r="654" spans="1:27" x14ac:dyDescent="0.25">
      <c r="A654" s="88">
        <v>661</v>
      </c>
      <c r="B654" s="94" t="s">
        <v>136</v>
      </c>
      <c r="C654" s="90" t="s">
        <v>16</v>
      </c>
      <c r="D654" s="91" t="s">
        <v>64</v>
      </c>
      <c r="E654" s="92">
        <v>0</v>
      </c>
      <c r="F654" s="93">
        <v>0</v>
      </c>
      <c r="G654" s="93">
        <v>0</v>
      </c>
      <c r="H654" s="93"/>
      <c r="I654" s="93"/>
      <c r="J654" s="88"/>
      <c r="K654" s="94"/>
      <c r="L654" s="90"/>
      <c r="M654" s="91"/>
      <c r="N654" s="92"/>
      <c r="O654" s="93"/>
      <c r="P654" s="93"/>
      <c r="Q654" s="93"/>
      <c r="R654" s="93"/>
      <c r="S654" s="125"/>
      <c r="T654" s="94"/>
      <c r="U654" s="90"/>
      <c r="V654" s="91"/>
      <c r="W654" s="92"/>
      <c r="X654" s="93"/>
      <c r="Y654" s="93"/>
      <c r="Z654" s="93"/>
      <c r="AA654" s="93"/>
    </row>
    <row r="655" spans="1:27" x14ac:dyDescent="0.25">
      <c r="A655" s="88">
        <v>662</v>
      </c>
      <c r="B655" s="94" t="s">
        <v>297</v>
      </c>
      <c r="C655" s="90" t="s">
        <v>6</v>
      </c>
      <c r="D655" s="91" t="s">
        <v>66</v>
      </c>
      <c r="E655" s="92">
        <v>0</v>
      </c>
      <c r="F655" s="93">
        <v>0</v>
      </c>
      <c r="G655" s="93">
        <v>0</v>
      </c>
      <c r="H655" s="93"/>
      <c r="I655" s="93"/>
      <c r="J655" s="88"/>
      <c r="K655" s="94"/>
      <c r="L655" s="90"/>
      <c r="M655" s="91"/>
      <c r="N655" s="92"/>
      <c r="O655" s="93"/>
      <c r="P655" s="93"/>
      <c r="Q655" s="93"/>
      <c r="R655" s="93"/>
      <c r="S655" s="125"/>
      <c r="T655" s="94"/>
      <c r="U655" s="90"/>
      <c r="V655" s="91"/>
      <c r="W655" s="92"/>
      <c r="X655" s="93"/>
      <c r="Y655" s="93"/>
      <c r="Z655" s="93"/>
      <c r="AA655" s="93"/>
    </row>
    <row r="656" spans="1:27" x14ac:dyDescent="0.25">
      <c r="A656" s="88">
        <v>663</v>
      </c>
      <c r="B656" s="89" t="s">
        <v>185</v>
      </c>
      <c r="C656" s="90" t="s">
        <v>6</v>
      </c>
      <c r="D656" s="91" t="s">
        <v>62</v>
      </c>
      <c r="E656" s="92">
        <v>0</v>
      </c>
      <c r="F656" s="93">
        <v>0</v>
      </c>
      <c r="G656" s="93">
        <v>0</v>
      </c>
      <c r="H656" s="93"/>
      <c r="I656" s="93"/>
      <c r="J656" s="88"/>
      <c r="K656" s="94"/>
      <c r="L656" s="90"/>
      <c r="M656" s="91"/>
      <c r="N656" s="92"/>
      <c r="O656" s="93"/>
      <c r="P656" s="93"/>
      <c r="Q656" s="93"/>
      <c r="R656" s="93"/>
      <c r="S656" s="125"/>
      <c r="T656" s="94"/>
      <c r="U656" s="90"/>
      <c r="V656" s="91"/>
      <c r="W656" s="92"/>
      <c r="X656" s="93"/>
      <c r="Y656" s="93"/>
      <c r="Z656" s="93"/>
      <c r="AA656" s="93"/>
    </row>
    <row r="657" spans="1:27" x14ac:dyDescent="0.25">
      <c r="A657" s="88">
        <v>664</v>
      </c>
      <c r="B657" s="89" t="s">
        <v>215</v>
      </c>
      <c r="C657" s="90" t="s">
        <v>6</v>
      </c>
      <c r="D657" s="91" t="s">
        <v>62</v>
      </c>
      <c r="E657" s="92">
        <v>0</v>
      </c>
      <c r="F657" s="93">
        <v>0</v>
      </c>
      <c r="G657" s="93">
        <v>0</v>
      </c>
      <c r="H657" s="93"/>
      <c r="I657" s="93"/>
      <c r="J657" s="88"/>
      <c r="K657" s="94"/>
      <c r="L657" s="90"/>
      <c r="M657" s="91"/>
      <c r="N657" s="92"/>
      <c r="O657" s="93"/>
      <c r="P657" s="93"/>
      <c r="Q657" s="93"/>
      <c r="R657" s="93"/>
      <c r="S657" s="125"/>
      <c r="T657" s="94"/>
      <c r="U657" s="90"/>
      <c r="V657" s="91"/>
      <c r="W657" s="92"/>
      <c r="X657" s="93"/>
      <c r="Y657" s="93"/>
      <c r="Z657" s="93"/>
      <c r="AA657" s="93"/>
    </row>
    <row r="658" spans="1:27" x14ac:dyDescent="0.25">
      <c r="A658" s="88">
        <v>665</v>
      </c>
      <c r="B658" s="89" t="s">
        <v>166</v>
      </c>
      <c r="C658" s="90" t="s">
        <v>6</v>
      </c>
      <c r="D658" s="91" t="s">
        <v>66</v>
      </c>
      <c r="E658" s="92">
        <v>0</v>
      </c>
      <c r="F658" s="93">
        <v>0</v>
      </c>
      <c r="G658" s="93">
        <v>0</v>
      </c>
      <c r="H658" s="93"/>
      <c r="I658" s="93"/>
      <c r="J658" s="88"/>
      <c r="K658" s="94"/>
      <c r="L658" s="90"/>
      <c r="M658" s="91"/>
      <c r="N658" s="92"/>
      <c r="O658" s="93"/>
      <c r="P658" s="93"/>
      <c r="Q658" s="93"/>
      <c r="R658" s="93"/>
      <c r="S658" s="125"/>
      <c r="T658" s="94"/>
      <c r="U658" s="90"/>
      <c r="V658" s="91"/>
      <c r="W658" s="92"/>
      <c r="X658" s="93"/>
      <c r="Y658" s="93"/>
      <c r="Z658" s="93"/>
      <c r="AA658" s="93"/>
    </row>
    <row r="659" spans="1:27" x14ac:dyDescent="0.25">
      <c r="A659" s="88">
        <v>666</v>
      </c>
      <c r="B659" s="89" t="s">
        <v>346</v>
      </c>
      <c r="C659" s="90" t="s">
        <v>6</v>
      </c>
      <c r="D659" s="91" t="s">
        <v>88</v>
      </c>
      <c r="E659" s="92">
        <v>0</v>
      </c>
      <c r="F659" s="93">
        <v>0</v>
      </c>
      <c r="G659" s="93">
        <v>0</v>
      </c>
      <c r="H659" s="93"/>
      <c r="I659" s="93"/>
      <c r="J659" s="88"/>
      <c r="K659" s="94"/>
      <c r="L659" s="90"/>
      <c r="M659" s="91"/>
      <c r="N659" s="92"/>
      <c r="O659" s="93"/>
      <c r="P659" s="93"/>
      <c r="Q659" s="93"/>
      <c r="R659" s="93"/>
      <c r="S659" s="125"/>
      <c r="T659" s="94"/>
      <c r="U659" s="90"/>
      <c r="V659" s="91"/>
      <c r="W659" s="92"/>
      <c r="X659" s="93"/>
      <c r="Y659" s="93"/>
      <c r="Z659" s="93"/>
      <c r="AA659" s="93"/>
    </row>
    <row r="660" spans="1:27" x14ac:dyDescent="0.25">
      <c r="A660" s="88">
        <v>667</v>
      </c>
      <c r="B660" s="89" t="s">
        <v>238</v>
      </c>
      <c r="C660" s="90" t="s">
        <v>16</v>
      </c>
      <c r="D660" s="91" t="s">
        <v>57</v>
      </c>
      <c r="E660" s="92">
        <v>0</v>
      </c>
      <c r="F660" s="93">
        <v>0</v>
      </c>
      <c r="G660" s="93">
        <v>0</v>
      </c>
      <c r="H660" s="93"/>
      <c r="I660" s="93"/>
      <c r="J660" s="88"/>
      <c r="K660" s="94"/>
      <c r="L660" s="90"/>
      <c r="M660" s="91"/>
      <c r="N660" s="92"/>
      <c r="O660" s="93"/>
      <c r="P660" s="93"/>
      <c r="Q660" s="93"/>
      <c r="R660" s="93"/>
      <c r="S660" s="125"/>
      <c r="T660" s="94"/>
      <c r="U660" s="90"/>
      <c r="V660" s="91"/>
      <c r="W660" s="92"/>
      <c r="X660" s="93"/>
      <c r="Y660" s="93"/>
      <c r="Z660" s="93"/>
      <c r="AA660" s="93"/>
    </row>
    <row r="661" spans="1:27" x14ac:dyDescent="0.25">
      <c r="A661" s="88">
        <v>668</v>
      </c>
      <c r="B661" s="89" t="s">
        <v>358</v>
      </c>
      <c r="C661" s="90" t="s">
        <v>16</v>
      </c>
      <c r="D661" s="91" t="s">
        <v>63</v>
      </c>
      <c r="E661" s="92">
        <v>0</v>
      </c>
      <c r="F661" s="93">
        <v>0</v>
      </c>
      <c r="G661" s="93">
        <v>0</v>
      </c>
      <c r="H661" s="93"/>
      <c r="I661" s="93"/>
      <c r="J661" s="88"/>
      <c r="K661" s="94"/>
      <c r="L661" s="90"/>
      <c r="M661" s="91"/>
      <c r="N661" s="92"/>
      <c r="O661" s="93"/>
      <c r="P661" s="93"/>
      <c r="Q661" s="93"/>
      <c r="R661" s="93"/>
      <c r="S661" s="125"/>
      <c r="T661" s="94"/>
      <c r="U661" s="90"/>
      <c r="V661" s="91"/>
      <c r="W661" s="92"/>
      <c r="X661" s="93"/>
      <c r="Y661" s="93"/>
      <c r="Z661" s="93"/>
      <c r="AA661" s="93"/>
    </row>
    <row r="662" spans="1:27" x14ac:dyDescent="0.25">
      <c r="A662" s="88">
        <v>669</v>
      </c>
      <c r="B662" s="89" t="s">
        <v>235</v>
      </c>
      <c r="C662" s="90" t="s">
        <v>6</v>
      </c>
      <c r="D662" s="91" t="s">
        <v>77</v>
      </c>
      <c r="E662" s="92">
        <v>0</v>
      </c>
      <c r="F662" s="93">
        <v>0</v>
      </c>
      <c r="G662" s="93">
        <v>0</v>
      </c>
      <c r="H662" s="93"/>
      <c r="I662" s="93"/>
      <c r="J662" s="88"/>
      <c r="K662" s="94"/>
      <c r="L662" s="90"/>
      <c r="M662" s="91"/>
      <c r="N662" s="92"/>
      <c r="O662" s="93"/>
      <c r="P662" s="93"/>
      <c r="Q662" s="93"/>
      <c r="R662" s="93"/>
      <c r="S662" s="125"/>
      <c r="T662" s="94"/>
      <c r="U662" s="90"/>
      <c r="V662" s="91"/>
      <c r="W662" s="92"/>
      <c r="X662" s="93"/>
      <c r="Y662" s="93"/>
      <c r="Z662" s="93"/>
      <c r="AA662" s="93"/>
    </row>
    <row r="663" spans="1:27" x14ac:dyDescent="0.25">
      <c r="A663" s="88">
        <v>670</v>
      </c>
      <c r="B663" s="89" t="s">
        <v>126</v>
      </c>
      <c r="C663" s="90" t="s">
        <v>6</v>
      </c>
      <c r="D663" s="91" t="s">
        <v>63</v>
      </c>
      <c r="E663" s="92">
        <v>0</v>
      </c>
      <c r="F663" s="93">
        <v>0</v>
      </c>
      <c r="G663" s="93">
        <v>0</v>
      </c>
      <c r="H663" s="93"/>
      <c r="I663" s="93"/>
      <c r="J663" s="88"/>
      <c r="K663" s="94"/>
      <c r="L663" s="90"/>
      <c r="M663" s="91"/>
      <c r="N663" s="92"/>
      <c r="O663" s="93"/>
      <c r="P663" s="93"/>
      <c r="Q663" s="93"/>
      <c r="R663" s="93"/>
      <c r="S663" s="125"/>
      <c r="T663" s="94"/>
      <c r="U663" s="90"/>
      <c r="V663" s="91"/>
      <c r="W663" s="92"/>
      <c r="X663" s="93"/>
      <c r="Y663" s="93"/>
      <c r="Z663" s="93"/>
      <c r="AA663" s="93"/>
    </row>
    <row r="664" spans="1:27" x14ac:dyDescent="0.25">
      <c r="A664" s="88">
        <v>671</v>
      </c>
      <c r="B664" s="89" t="s">
        <v>300</v>
      </c>
      <c r="C664" s="90" t="s">
        <v>6</v>
      </c>
      <c r="D664" s="91" t="s">
        <v>59</v>
      </c>
      <c r="E664" s="92">
        <v>0</v>
      </c>
      <c r="F664" s="93">
        <v>0</v>
      </c>
      <c r="G664" s="93">
        <v>0</v>
      </c>
      <c r="H664" s="93"/>
      <c r="I664" s="93"/>
      <c r="J664" s="88"/>
      <c r="K664" s="94"/>
      <c r="L664" s="90"/>
      <c r="M664" s="91"/>
      <c r="N664" s="92"/>
      <c r="O664" s="93"/>
      <c r="P664" s="93"/>
      <c r="Q664" s="93"/>
      <c r="R664" s="93"/>
      <c r="S664" s="125"/>
      <c r="T664" s="94"/>
      <c r="U664" s="90"/>
      <c r="V664" s="91"/>
      <c r="W664" s="92"/>
      <c r="X664" s="93"/>
      <c r="Y664" s="93"/>
      <c r="Z664" s="93"/>
      <c r="AA664" s="93"/>
    </row>
    <row r="665" spans="1:27" x14ac:dyDescent="0.25">
      <c r="A665" s="88">
        <v>672</v>
      </c>
      <c r="B665" s="89" t="s">
        <v>418</v>
      </c>
      <c r="C665" s="90" t="s">
        <v>6</v>
      </c>
      <c r="D665" s="91" t="s">
        <v>76</v>
      </c>
      <c r="E665" s="92">
        <v>0</v>
      </c>
      <c r="F665" s="93">
        <v>0</v>
      </c>
      <c r="G665" s="93">
        <v>0</v>
      </c>
      <c r="H665" s="93"/>
      <c r="I665" s="93"/>
      <c r="J665" s="88"/>
      <c r="K665" s="94"/>
      <c r="L665" s="90"/>
      <c r="M665" s="91"/>
      <c r="N665" s="92"/>
      <c r="O665" s="93"/>
      <c r="P665" s="93"/>
      <c r="Q665" s="93"/>
      <c r="R665" s="93"/>
      <c r="S665" s="125"/>
      <c r="T665" s="94"/>
      <c r="U665" s="90"/>
      <c r="V665" s="91"/>
      <c r="W665" s="92"/>
      <c r="X665" s="93"/>
      <c r="Y665" s="93"/>
      <c r="Z665" s="93"/>
      <c r="AA665" s="93"/>
    </row>
    <row r="666" spans="1:27" x14ac:dyDescent="0.25">
      <c r="A666" s="88">
        <v>673</v>
      </c>
      <c r="B666" s="89" t="s">
        <v>471</v>
      </c>
      <c r="C666" s="90" t="s">
        <v>6</v>
      </c>
      <c r="D666" s="91" t="s">
        <v>63</v>
      </c>
      <c r="E666" s="92">
        <v>0</v>
      </c>
      <c r="F666" s="93">
        <v>0</v>
      </c>
      <c r="G666" s="93">
        <v>0</v>
      </c>
      <c r="H666" s="93"/>
      <c r="I666" s="93"/>
      <c r="J666" s="88"/>
      <c r="K666" s="94"/>
      <c r="L666" s="90"/>
      <c r="M666" s="91"/>
      <c r="N666" s="92"/>
      <c r="O666" s="93"/>
      <c r="P666" s="93"/>
      <c r="Q666" s="93"/>
      <c r="R666" s="93"/>
      <c r="S666" s="125"/>
      <c r="T666" s="94"/>
      <c r="U666" s="90"/>
      <c r="V666" s="91"/>
      <c r="W666" s="92"/>
      <c r="X666" s="93"/>
      <c r="Y666" s="93"/>
      <c r="Z666" s="93"/>
      <c r="AA666" s="93"/>
    </row>
    <row r="667" spans="1:27" x14ac:dyDescent="0.25">
      <c r="A667" s="88">
        <v>674</v>
      </c>
      <c r="B667" s="89" t="s">
        <v>261</v>
      </c>
      <c r="C667" s="90" t="s">
        <v>16</v>
      </c>
      <c r="D667" s="91" t="s">
        <v>66</v>
      </c>
      <c r="E667" s="92">
        <v>0</v>
      </c>
      <c r="F667" s="93">
        <v>0</v>
      </c>
      <c r="G667" s="93">
        <v>0</v>
      </c>
      <c r="H667" s="93"/>
      <c r="I667" s="93"/>
      <c r="J667" s="88"/>
      <c r="K667" s="94"/>
      <c r="L667" s="90"/>
      <c r="M667" s="91"/>
      <c r="N667" s="92"/>
      <c r="O667" s="93"/>
      <c r="P667" s="93"/>
      <c r="Q667" s="93"/>
      <c r="R667" s="93"/>
      <c r="S667" s="125"/>
      <c r="T667" s="94"/>
      <c r="U667" s="90"/>
      <c r="V667" s="91"/>
      <c r="W667" s="92"/>
      <c r="X667" s="93"/>
      <c r="Y667" s="93"/>
      <c r="Z667" s="93"/>
      <c r="AA667" s="93"/>
    </row>
    <row r="668" spans="1:27" x14ac:dyDescent="0.25">
      <c r="A668" s="88">
        <v>675</v>
      </c>
      <c r="B668" s="89" t="s">
        <v>174</v>
      </c>
      <c r="C668" s="90" t="s">
        <v>16</v>
      </c>
      <c r="D668" s="91" t="s">
        <v>66</v>
      </c>
      <c r="E668" s="92">
        <v>0</v>
      </c>
      <c r="F668" s="93">
        <v>0</v>
      </c>
      <c r="G668" s="93">
        <v>0</v>
      </c>
      <c r="H668" s="93"/>
      <c r="I668" s="93"/>
      <c r="J668" s="88"/>
      <c r="K668" s="94"/>
      <c r="L668" s="90"/>
      <c r="M668" s="91"/>
      <c r="N668" s="92"/>
      <c r="O668" s="93"/>
      <c r="P668" s="93"/>
      <c r="Q668" s="93"/>
      <c r="R668" s="93"/>
      <c r="S668" s="125"/>
      <c r="T668" s="94"/>
      <c r="U668" s="90"/>
      <c r="V668" s="91"/>
      <c r="W668" s="92"/>
      <c r="X668" s="93"/>
      <c r="Y668" s="93"/>
      <c r="Z668" s="93"/>
      <c r="AA668" s="93"/>
    </row>
    <row r="669" spans="1:27" x14ac:dyDescent="0.25">
      <c r="A669" s="88">
        <v>676</v>
      </c>
      <c r="B669" s="89" t="s">
        <v>534</v>
      </c>
      <c r="C669" s="90" t="s">
        <v>16</v>
      </c>
      <c r="D669" s="91" t="s">
        <v>75</v>
      </c>
      <c r="E669" s="92">
        <v>0</v>
      </c>
      <c r="F669" s="93">
        <v>0</v>
      </c>
      <c r="G669" s="93">
        <v>0</v>
      </c>
      <c r="H669" s="93"/>
      <c r="I669" s="93"/>
      <c r="J669" s="88"/>
      <c r="K669" s="94"/>
      <c r="L669" s="90"/>
      <c r="M669" s="91"/>
      <c r="N669" s="92"/>
      <c r="O669" s="93"/>
      <c r="P669" s="93"/>
      <c r="Q669" s="93"/>
      <c r="R669" s="93"/>
      <c r="S669" s="125"/>
      <c r="T669" s="94"/>
      <c r="U669" s="90"/>
      <c r="V669" s="91"/>
      <c r="W669" s="92"/>
      <c r="X669" s="93"/>
      <c r="Y669" s="93"/>
      <c r="Z669" s="93"/>
      <c r="AA669" s="93"/>
    </row>
    <row r="670" spans="1:27" x14ac:dyDescent="0.25">
      <c r="A670" s="88">
        <v>677</v>
      </c>
      <c r="B670" s="89" t="s">
        <v>410</v>
      </c>
      <c r="C670" s="90" t="s">
        <v>6</v>
      </c>
      <c r="D670" s="91" t="s">
        <v>78</v>
      </c>
      <c r="E670" s="92">
        <v>0</v>
      </c>
      <c r="F670" s="93">
        <v>0</v>
      </c>
      <c r="G670" s="93">
        <v>0</v>
      </c>
      <c r="H670" s="93"/>
      <c r="I670" s="93"/>
      <c r="J670" s="88"/>
      <c r="K670" s="94"/>
      <c r="L670" s="90"/>
      <c r="M670" s="91"/>
      <c r="N670" s="92"/>
      <c r="O670" s="93"/>
      <c r="P670" s="93"/>
      <c r="Q670" s="93"/>
      <c r="R670" s="93"/>
      <c r="S670" s="125"/>
      <c r="T670" s="94"/>
      <c r="U670" s="90"/>
      <c r="V670" s="91"/>
      <c r="W670" s="92"/>
      <c r="X670" s="93"/>
      <c r="Y670" s="93"/>
      <c r="Z670" s="93"/>
      <c r="AA670" s="93"/>
    </row>
    <row r="671" spans="1:27" x14ac:dyDescent="0.25">
      <c r="A671" s="88">
        <v>678</v>
      </c>
      <c r="B671" s="89" t="s">
        <v>688</v>
      </c>
      <c r="C671" s="90" t="s">
        <v>6</v>
      </c>
      <c r="D671" s="91"/>
      <c r="E671" s="92">
        <v>0</v>
      </c>
      <c r="F671" s="93">
        <v>0</v>
      </c>
      <c r="G671" s="93">
        <v>0</v>
      </c>
      <c r="H671" s="93"/>
      <c r="I671" s="93"/>
      <c r="J671" s="88"/>
      <c r="K671" s="94"/>
      <c r="L671" s="90"/>
      <c r="M671" s="91"/>
      <c r="N671" s="92"/>
      <c r="O671" s="93"/>
      <c r="P671" s="93"/>
      <c r="Q671" s="93"/>
      <c r="R671" s="93"/>
      <c r="S671" s="125"/>
      <c r="T671" s="94"/>
      <c r="U671" s="90"/>
      <c r="V671" s="91"/>
      <c r="W671" s="92"/>
      <c r="X671" s="93"/>
      <c r="Y671" s="93"/>
      <c r="Z671" s="93"/>
      <c r="AA671" s="93"/>
    </row>
    <row r="672" spans="1:27" x14ac:dyDescent="0.25">
      <c r="A672" s="88">
        <v>679</v>
      </c>
      <c r="B672" s="89" t="s">
        <v>503</v>
      </c>
      <c r="C672" s="90" t="s">
        <v>6</v>
      </c>
      <c r="D672" s="91" t="s">
        <v>57</v>
      </c>
      <c r="E672" s="92">
        <v>0</v>
      </c>
      <c r="F672" s="93">
        <v>0</v>
      </c>
      <c r="G672" s="93">
        <v>0</v>
      </c>
      <c r="H672" s="93"/>
      <c r="I672" s="93"/>
      <c r="J672" s="88"/>
      <c r="K672" s="94"/>
      <c r="L672" s="90"/>
      <c r="M672" s="91"/>
      <c r="N672" s="92"/>
      <c r="O672" s="93"/>
      <c r="P672" s="93"/>
      <c r="Q672" s="93"/>
      <c r="R672" s="93"/>
      <c r="S672" s="125"/>
      <c r="T672" s="94"/>
      <c r="U672" s="90"/>
      <c r="V672" s="91"/>
      <c r="W672" s="92"/>
      <c r="X672" s="93"/>
      <c r="Y672" s="93"/>
      <c r="Z672" s="93"/>
      <c r="AA672" s="93"/>
    </row>
    <row r="673" spans="1:27" x14ac:dyDescent="0.25">
      <c r="A673" s="88">
        <v>680</v>
      </c>
      <c r="B673" s="89" t="s">
        <v>179</v>
      </c>
      <c r="C673" s="90" t="s">
        <v>16</v>
      </c>
      <c r="D673" s="91" t="s">
        <v>61</v>
      </c>
      <c r="E673" s="92">
        <v>0</v>
      </c>
      <c r="F673" s="93">
        <v>0</v>
      </c>
      <c r="G673" s="93">
        <v>0</v>
      </c>
      <c r="H673" s="93"/>
      <c r="I673" s="93"/>
      <c r="J673" s="88"/>
      <c r="K673" s="94"/>
      <c r="L673" s="90"/>
      <c r="M673" s="91"/>
      <c r="N673" s="92"/>
      <c r="O673" s="93"/>
      <c r="P673" s="93"/>
      <c r="Q673" s="93"/>
      <c r="R673" s="93"/>
      <c r="S673" s="125"/>
      <c r="T673" s="94"/>
      <c r="U673" s="90"/>
      <c r="V673" s="91"/>
      <c r="W673" s="92"/>
      <c r="X673" s="93"/>
      <c r="Y673" s="93"/>
      <c r="Z673" s="93"/>
      <c r="AA673" s="93"/>
    </row>
    <row r="674" spans="1:27" x14ac:dyDescent="0.25">
      <c r="A674" s="88">
        <v>681</v>
      </c>
      <c r="B674" s="89" t="s">
        <v>469</v>
      </c>
      <c r="C674" s="90" t="s">
        <v>6</v>
      </c>
      <c r="D674" s="91" t="s">
        <v>62</v>
      </c>
      <c r="E674" s="92">
        <v>0</v>
      </c>
      <c r="F674" s="93">
        <v>0</v>
      </c>
      <c r="G674" s="93">
        <v>0</v>
      </c>
      <c r="H674" s="93"/>
      <c r="I674" s="93"/>
      <c r="J674" s="88"/>
      <c r="K674" s="94"/>
      <c r="L674" s="90"/>
      <c r="M674" s="91"/>
      <c r="N674" s="92"/>
      <c r="O674" s="93"/>
      <c r="P674" s="93"/>
      <c r="Q674" s="93"/>
      <c r="R674" s="93"/>
      <c r="S674" s="125"/>
      <c r="T674" s="94"/>
      <c r="U674" s="90"/>
      <c r="V674" s="91"/>
      <c r="W674" s="92"/>
      <c r="X674" s="93"/>
      <c r="Y674" s="93"/>
      <c r="Z674" s="93"/>
      <c r="AA674" s="93"/>
    </row>
    <row r="675" spans="1:27" x14ac:dyDescent="0.25">
      <c r="A675" s="88">
        <v>682</v>
      </c>
      <c r="B675" s="89" t="s">
        <v>457</v>
      </c>
      <c r="C675" s="90" t="s">
        <v>6</v>
      </c>
      <c r="D675" s="91" t="s">
        <v>58</v>
      </c>
      <c r="E675" s="92">
        <v>0</v>
      </c>
      <c r="F675" s="93">
        <v>0</v>
      </c>
      <c r="G675" s="93">
        <v>0</v>
      </c>
      <c r="H675" s="93"/>
      <c r="I675" s="93"/>
      <c r="J675" s="88"/>
      <c r="K675" s="94"/>
      <c r="L675" s="90"/>
      <c r="M675" s="91"/>
      <c r="N675" s="92"/>
      <c r="O675" s="93"/>
      <c r="P675" s="93"/>
      <c r="Q675" s="93"/>
      <c r="R675" s="93"/>
      <c r="S675" s="125"/>
      <c r="T675" s="94"/>
      <c r="U675" s="90"/>
      <c r="V675" s="91"/>
      <c r="W675" s="92"/>
      <c r="X675" s="93"/>
      <c r="Y675" s="93"/>
      <c r="Z675" s="93"/>
      <c r="AA675" s="93"/>
    </row>
    <row r="676" spans="1:27" x14ac:dyDescent="0.25">
      <c r="A676" s="88"/>
      <c r="B676" s="89" t="s">
        <v>381</v>
      </c>
      <c r="C676" s="90" t="s">
        <v>16</v>
      </c>
      <c r="D676" s="91" t="s">
        <v>58</v>
      </c>
      <c r="E676" s="92">
        <v>0</v>
      </c>
      <c r="F676" s="93">
        <v>0</v>
      </c>
      <c r="G676" s="93">
        <v>0</v>
      </c>
      <c r="H676" s="93"/>
      <c r="I676" s="93"/>
      <c r="J676" s="88"/>
      <c r="K676" s="94"/>
      <c r="L676" s="90"/>
      <c r="M676" s="91"/>
      <c r="N676" s="92"/>
      <c r="O676" s="93"/>
      <c r="P676" s="93"/>
      <c r="Q676" s="93"/>
      <c r="R676" s="93"/>
      <c r="S676" s="125"/>
      <c r="T676" s="94"/>
      <c r="U676" s="90"/>
      <c r="V676" s="91"/>
      <c r="W676" s="92"/>
      <c r="X676" s="93"/>
      <c r="Y676" s="93"/>
      <c r="Z676" s="93"/>
      <c r="AA676" s="93"/>
    </row>
    <row r="677" spans="1:27" x14ac:dyDescent="0.25">
      <c r="A677" s="88"/>
      <c r="B677" s="89" t="s">
        <v>419</v>
      </c>
      <c r="C677" s="90" t="s">
        <v>16</v>
      </c>
      <c r="D677" s="91" t="s">
        <v>57</v>
      </c>
      <c r="E677" s="92">
        <v>0</v>
      </c>
      <c r="F677" s="93">
        <v>0</v>
      </c>
      <c r="G677" s="93">
        <v>0</v>
      </c>
      <c r="H677" s="93"/>
      <c r="I677" s="93"/>
      <c r="J677" s="88"/>
      <c r="K677" s="94"/>
      <c r="L677" s="90"/>
      <c r="M677" s="91"/>
      <c r="N677" s="92"/>
      <c r="O677" s="93"/>
      <c r="P677" s="93"/>
      <c r="Q677" s="93"/>
      <c r="R677" s="93"/>
      <c r="S677" s="125"/>
      <c r="T677" s="94"/>
      <c r="U677" s="90"/>
      <c r="V677" s="91"/>
      <c r="W677" s="92"/>
      <c r="X677" s="93"/>
      <c r="Y677" s="93"/>
      <c r="Z677" s="93"/>
      <c r="AA677" s="93"/>
    </row>
    <row r="678" spans="1:27" x14ac:dyDescent="0.25">
      <c r="A678" s="88"/>
      <c r="B678" s="89" t="s">
        <v>146</v>
      </c>
      <c r="C678" s="90" t="s">
        <v>6</v>
      </c>
      <c r="D678" s="91" t="s">
        <v>57</v>
      </c>
      <c r="E678" s="92">
        <v>0</v>
      </c>
      <c r="F678" s="93">
        <v>0</v>
      </c>
      <c r="G678" s="93">
        <v>0</v>
      </c>
      <c r="H678" s="93"/>
      <c r="I678" s="93"/>
      <c r="J678" s="88"/>
      <c r="K678" s="94"/>
      <c r="L678" s="90"/>
      <c r="M678" s="91"/>
      <c r="N678" s="92"/>
      <c r="O678" s="93"/>
      <c r="P678" s="93"/>
      <c r="Q678" s="93"/>
      <c r="R678" s="93"/>
      <c r="S678" s="125"/>
      <c r="T678" s="94"/>
      <c r="U678" s="90"/>
      <c r="V678" s="91"/>
      <c r="W678" s="92"/>
      <c r="X678" s="93"/>
      <c r="Y678" s="93"/>
      <c r="Z678" s="93"/>
      <c r="AA678" s="93"/>
    </row>
    <row r="679" spans="1:27" x14ac:dyDescent="0.25">
      <c r="A679" s="88"/>
      <c r="B679" s="89" t="s">
        <v>15</v>
      </c>
      <c r="C679" s="90" t="s">
        <v>6</v>
      </c>
      <c r="D679" s="91" t="s">
        <v>58</v>
      </c>
      <c r="E679" s="92">
        <v>0</v>
      </c>
      <c r="F679" s="93">
        <v>0</v>
      </c>
      <c r="G679" s="93">
        <v>0</v>
      </c>
      <c r="H679" s="93"/>
      <c r="I679" s="93"/>
      <c r="J679" s="88"/>
      <c r="K679" s="94"/>
      <c r="L679" s="90"/>
      <c r="M679" s="91"/>
      <c r="N679" s="92"/>
      <c r="O679" s="93"/>
      <c r="P679" s="93"/>
      <c r="Q679" s="93"/>
      <c r="R679" s="93"/>
      <c r="S679" s="125"/>
      <c r="T679" s="94"/>
      <c r="U679" s="90"/>
      <c r="V679" s="91"/>
      <c r="W679" s="92"/>
      <c r="X679" s="93"/>
      <c r="Y679" s="93"/>
      <c r="Z679" s="93"/>
      <c r="AA679" s="93"/>
    </row>
    <row r="680" spans="1:27" x14ac:dyDescent="0.25">
      <c r="A680" s="88"/>
      <c r="B680" s="89" t="s">
        <v>417</v>
      </c>
      <c r="C680" s="90" t="s">
        <v>6</v>
      </c>
      <c r="D680" s="91" t="s">
        <v>159</v>
      </c>
      <c r="E680" s="92">
        <v>0</v>
      </c>
      <c r="F680" s="93">
        <v>0</v>
      </c>
      <c r="G680" s="93">
        <v>0</v>
      </c>
      <c r="H680" s="93"/>
      <c r="I680" s="93"/>
      <c r="J680" s="88"/>
      <c r="K680" s="94"/>
      <c r="L680" s="90"/>
      <c r="M680" s="91"/>
      <c r="N680" s="92"/>
      <c r="O680" s="93"/>
      <c r="P680" s="93"/>
      <c r="Q680" s="93"/>
      <c r="R680" s="93"/>
      <c r="S680" s="125"/>
      <c r="T680" s="94"/>
      <c r="U680" s="90"/>
      <c r="V680" s="91"/>
      <c r="W680" s="92"/>
      <c r="X680" s="93"/>
      <c r="Y680" s="93"/>
      <c r="Z680" s="93"/>
      <c r="AA680" s="93"/>
    </row>
    <row r="681" spans="1:27" x14ac:dyDescent="0.25">
      <c r="A681" s="88"/>
      <c r="B681" s="89" t="s">
        <v>147</v>
      </c>
      <c r="C681" s="90" t="s">
        <v>6</v>
      </c>
      <c r="D681" s="91" t="s">
        <v>57</v>
      </c>
      <c r="E681" s="92">
        <v>0</v>
      </c>
      <c r="F681" s="93">
        <v>0</v>
      </c>
      <c r="G681" s="93">
        <v>0</v>
      </c>
      <c r="H681" s="93"/>
      <c r="I681" s="93"/>
      <c r="J681" s="88"/>
      <c r="K681" s="94"/>
      <c r="L681" s="90"/>
      <c r="M681" s="91"/>
      <c r="N681" s="92"/>
      <c r="O681" s="93"/>
      <c r="P681" s="93"/>
      <c r="Q681" s="93"/>
      <c r="R681" s="93"/>
      <c r="S681" s="125"/>
      <c r="T681" s="94"/>
      <c r="U681" s="90"/>
      <c r="V681" s="91"/>
      <c r="W681" s="92"/>
      <c r="X681" s="93"/>
      <c r="Y681" s="93"/>
      <c r="Z681" s="93"/>
      <c r="AA681" s="93"/>
    </row>
    <row r="682" spans="1:27" x14ac:dyDescent="0.25">
      <c r="A682" s="88"/>
      <c r="B682" s="89" t="s">
        <v>52</v>
      </c>
      <c r="C682" s="90" t="s">
        <v>6</v>
      </c>
      <c r="D682" s="91" t="s">
        <v>62</v>
      </c>
      <c r="E682" s="92">
        <v>0</v>
      </c>
      <c r="F682" s="93">
        <v>0</v>
      </c>
      <c r="G682" s="93">
        <v>0</v>
      </c>
      <c r="H682" s="93"/>
      <c r="I682" s="93"/>
      <c r="J682" s="88"/>
      <c r="K682" s="94"/>
      <c r="L682" s="90"/>
      <c r="M682" s="91"/>
      <c r="N682" s="92"/>
      <c r="O682" s="93"/>
      <c r="P682" s="93"/>
      <c r="Q682" s="93"/>
      <c r="R682" s="93"/>
      <c r="S682" s="125"/>
      <c r="T682" s="94"/>
      <c r="U682" s="90"/>
      <c r="V682" s="91"/>
      <c r="W682" s="92"/>
      <c r="X682" s="93"/>
      <c r="Y682" s="93"/>
      <c r="Z682" s="93"/>
      <c r="AA682" s="93"/>
    </row>
    <row r="683" spans="1:27" x14ac:dyDescent="0.25">
      <c r="A683" s="88"/>
      <c r="B683" s="89" t="s">
        <v>386</v>
      </c>
      <c r="C683" s="90" t="s">
        <v>16</v>
      </c>
      <c r="D683" s="91" t="s">
        <v>62</v>
      </c>
      <c r="E683" s="92">
        <v>0</v>
      </c>
      <c r="F683" s="93">
        <v>0</v>
      </c>
      <c r="G683" s="93">
        <v>0</v>
      </c>
      <c r="H683" s="93"/>
      <c r="I683" s="93"/>
      <c r="J683" s="88"/>
      <c r="K683" s="94"/>
      <c r="L683" s="90"/>
      <c r="M683" s="91"/>
      <c r="N683" s="92"/>
      <c r="O683" s="93"/>
      <c r="P683" s="93"/>
      <c r="Q683" s="93"/>
      <c r="R683" s="93"/>
      <c r="S683" s="125"/>
      <c r="T683" s="94"/>
      <c r="U683" s="90"/>
      <c r="V683" s="91"/>
      <c r="W683" s="92"/>
      <c r="X683" s="93"/>
      <c r="Y683" s="93"/>
      <c r="Z683" s="93"/>
      <c r="AA683" s="93"/>
    </row>
    <row r="684" spans="1:27" x14ac:dyDescent="0.25">
      <c r="A684" s="88"/>
      <c r="B684" s="89" t="s">
        <v>524</v>
      </c>
      <c r="C684" s="90" t="s">
        <v>6</v>
      </c>
      <c r="D684" s="91" t="s">
        <v>67</v>
      </c>
      <c r="E684" s="92">
        <v>0</v>
      </c>
      <c r="F684" s="93">
        <v>0</v>
      </c>
      <c r="G684" s="93">
        <v>0</v>
      </c>
      <c r="H684" s="93"/>
      <c r="I684" s="93"/>
      <c r="J684" s="88"/>
      <c r="K684" s="94"/>
      <c r="L684" s="90"/>
      <c r="M684" s="91"/>
      <c r="N684" s="92"/>
      <c r="O684" s="93"/>
      <c r="P684" s="93"/>
      <c r="Q684" s="93"/>
      <c r="R684" s="93"/>
      <c r="S684" s="125"/>
      <c r="T684" s="94"/>
      <c r="U684" s="90"/>
      <c r="V684" s="91"/>
      <c r="W684" s="92"/>
      <c r="X684" s="93"/>
      <c r="Y684" s="93"/>
      <c r="Z684" s="93"/>
      <c r="AA684" s="93"/>
    </row>
    <row r="685" spans="1:27" x14ac:dyDescent="0.25">
      <c r="A685" s="88"/>
      <c r="B685" s="89" t="s">
        <v>367</v>
      </c>
      <c r="C685" s="90" t="s">
        <v>16</v>
      </c>
      <c r="D685" s="91" t="s">
        <v>63</v>
      </c>
      <c r="E685" s="92">
        <v>0</v>
      </c>
      <c r="F685" s="93">
        <v>0</v>
      </c>
      <c r="G685" s="93">
        <v>0</v>
      </c>
      <c r="H685" s="93"/>
      <c r="I685" s="93"/>
      <c r="J685" s="88"/>
      <c r="K685" s="94"/>
      <c r="L685" s="90"/>
      <c r="M685" s="91"/>
      <c r="N685" s="92"/>
      <c r="O685" s="93"/>
      <c r="P685" s="93"/>
      <c r="Q685" s="93"/>
      <c r="R685" s="93"/>
      <c r="S685" s="125"/>
      <c r="T685" s="94"/>
      <c r="U685" s="90"/>
      <c r="V685" s="91"/>
      <c r="W685" s="92"/>
      <c r="X685" s="93"/>
      <c r="Y685" s="93"/>
      <c r="Z685" s="93"/>
      <c r="AA685" s="93"/>
    </row>
    <row r="686" spans="1:27" x14ac:dyDescent="0.25">
      <c r="A686" s="88"/>
      <c r="B686" s="89" t="s">
        <v>130</v>
      </c>
      <c r="C686" s="90" t="s">
        <v>6</v>
      </c>
      <c r="D686" s="91" t="s">
        <v>76</v>
      </c>
      <c r="E686" s="92">
        <v>0</v>
      </c>
      <c r="F686" s="93">
        <v>0</v>
      </c>
      <c r="G686" s="93">
        <v>0</v>
      </c>
      <c r="H686" s="93"/>
      <c r="I686" s="93"/>
      <c r="J686" s="88"/>
      <c r="K686" s="94"/>
      <c r="L686" s="90"/>
      <c r="M686" s="91"/>
      <c r="N686" s="92"/>
      <c r="O686" s="93"/>
      <c r="P686" s="93"/>
      <c r="Q686" s="93"/>
      <c r="R686" s="93"/>
      <c r="S686" s="125"/>
      <c r="T686" s="94"/>
      <c r="U686" s="90"/>
      <c r="V686" s="91"/>
      <c r="W686" s="92"/>
      <c r="X686" s="93"/>
      <c r="Y686" s="93"/>
      <c r="Z686" s="93"/>
      <c r="AA686" s="93"/>
    </row>
    <row r="687" spans="1:27" x14ac:dyDescent="0.25">
      <c r="A687" s="88"/>
      <c r="B687" s="89" t="s">
        <v>463</v>
      </c>
      <c r="C687" s="90" t="s">
        <v>16</v>
      </c>
      <c r="D687" s="91" t="s">
        <v>459</v>
      </c>
      <c r="E687" s="92">
        <v>0</v>
      </c>
      <c r="F687" s="93">
        <v>0</v>
      </c>
      <c r="G687" s="93">
        <v>0</v>
      </c>
      <c r="H687" s="93"/>
      <c r="I687" s="93"/>
      <c r="J687" s="88"/>
      <c r="K687" s="94"/>
      <c r="L687" s="90"/>
      <c r="M687" s="91"/>
      <c r="N687" s="92"/>
      <c r="O687" s="93"/>
      <c r="P687" s="93"/>
      <c r="Q687" s="93"/>
      <c r="R687" s="93"/>
      <c r="S687" s="125"/>
      <c r="T687" s="94"/>
      <c r="U687" s="90"/>
      <c r="V687" s="91"/>
      <c r="W687" s="92"/>
      <c r="X687" s="93"/>
      <c r="Y687" s="93"/>
      <c r="Z687" s="93"/>
      <c r="AA687" s="93"/>
    </row>
    <row r="688" spans="1:27" x14ac:dyDescent="0.25">
      <c r="A688" s="88"/>
      <c r="B688" s="89" t="s">
        <v>17</v>
      </c>
      <c r="C688" s="90" t="s">
        <v>6</v>
      </c>
      <c r="D688" s="91" t="s">
        <v>58</v>
      </c>
      <c r="E688" s="92">
        <v>0</v>
      </c>
      <c r="F688" s="93">
        <v>0</v>
      </c>
      <c r="G688" s="93">
        <v>0</v>
      </c>
      <c r="H688" s="93"/>
      <c r="I688" s="93"/>
      <c r="J688" s="88"/>
      <c r="K688" s="94"/>
      <c r="L688" s="90"/>
      <c r="M688" s="91"/>
      <c r="N688" s="92"/>
      <c r="O688" s="93"/>
      <c r="P688" s="93"/>
      <c r="Q688" s="93"/>
      <c r="R688" s="93"/>
      <c r="S688" s="125"/>
      <c r="T688" s="94"/>
      <c r="U688" s="90"/>
      <c r="V688" s="91"/>
      <c r="W688" s="92"/>
      <c r="X688" s="93"/>
      <c r="Y688" s="93"/>
      <c r="Z688" s="93"/>
      <c r="AA688" s="93"/>
    </row>
    <row r="689" spans="1:27" x14ac:dyDescent="0.25">
      <c r="A689" s="88"/>
      <c r="B689" s="89" t="s">
        <v>376</v>
      </c>
      <c r="C689" s="90" t="s">
        <v>6</v>
      </c>
      <c r="D689" s="91" t="s">
        <v>380</v>
      </c>
      <c r="E689" s="92">
        <v>0</v>
      </c>
      <c r="F689" s="93">
        <v>0</v>
      </c>
      <c r="G689" s="93">
        <v>0</v>
      </c>
      <c r="H689" s="93"/>
      <c r="I689" s="93"/>
      <c r="J689" s="88"/>
      <c r="K689" s="94"/>
      <c r="L689" s="90"/>
      <c r="M689" s="91"/>
      <c r="N689" s="92"/>
      <c r="O689" s="93"/>
      <c r="P689" s="93"/>
      <c r="Q689" s="93"/>
      <c r="R689" s="93"/>
      <c r="S689" s="125"/>
      <c r="T689" s="94"/>
      <c r="U689" s="90"/>
      <c r="V689" s="91"/>
      <c r="W689" s="92"/>
      <c r="X689" s="93"/>
      <c r="Y689" s="93"/>
      <c r="Z689" s="93"/>
      <c r="AA689" s="93"/>
    </row>
    <row r="690" spans="1:27" x14ac:dyDescent="0.25">
      <c r="A690" s="88"/>
      <c r="B690" s="89" t="s">
        <v>682</v>
      </c>
      <c r="C690" s="90" t="s">
        <v>6</v>
      </c>
      <c r="D690" s="91" t="s">
        <v>96</v>
      </c>
      <c r="E690" s="92">
        <v>0</v>
      </c>
      <c r="F690" s="93">
        <v>0</v>
      </c>
      <c r="G690" s="93">
        <v>0</v>
      </c>
      <c r="H690" s="93"/>
      <c r="I690" s="93"/>
      <c r="J690" s="88"/>
      <c r="K690" s="94"/>
      <c r="L690" s="90"/>
      <c r="M690" s="91"/>
      <c r="N690" s="92"/>
      <c r="O690" s="93"/>
      <c r="P690" s="93"/>
      <c r="Q690" s="93"/>
      <c r="R690" s="93"/>
      <c r="S690" s="125"/>
      <c r="T690" s="94"/>
      <c r="U690" s="90"/>
      <c r="V690" s="91"/>
      <c r="W690" s="92"/>
      <c r="X690" s="93"/>
      <c r="Y690" s="93"/>
      <c r="Z690" s="93"/>
      <c r="AA690" s="93"/>
    </row>
    <row r="691" spans="1:27" x14ac:dyDescent="0.25">
      <c r="A691" s="88"/>
      <c r="B691" s="89" t="s">
        <v>500</v>
      </c>
      <c r="C691" s="90" t="s">
        <v>6</v>
      </c>
      <c r="D691" s="91" t="s">
        <v>62</v>
      </c>
      <c r="E691" s="92">
        <v>0</v>
      </c>
      <c r="F691" s="93">
        <v>0</v>
      </c>
      <c r="G691" s="93">
        <v>0</v>
      </c>
      <c r="H691" s="93"/>
      <c r="I691" s="93"/>
      <c r="J691" s="88"/>
      <c r="K691" s="94"/>
      <c r="L691" s="90"/>
      <c r="M691" s="91"/>
      <c r="N691" s="92"/>
      <c r="O691" s="93"/>
      <c r="P691" s="93"/>
      <c r="Q691" s="93"/>
      <c r="R691" s="93"/>
      <c r="S691" s="125"/>
      <c r="T691" s="94"/>
      <c r="U691" s="90"/>
      <c r="V691" s="91"/>
      <c r="W691" s="92"/>
      <c r="X691" s="93"/>
      <c r="Y691" s="93"/>
      <c r="Z691" s="93"/>
      <c r="AA691" s="93"/>
    </row>
    <row r="692" spans="1:27" x14ac:dyDescent="0.25">
      <c r="A692" s="88"/>
      <c r="B692" s="89" t="s">
        <v>372</v>
      </c>
      <c r="C692" s="90" t="s">
        <v>6</v>
      </c>
      <c r="D692" s="91" t="s">
        <v>380</v>
      </c>
      <c r="E692" s="92">
        <v>0</v>
      </c>
      <c r="F692" s="93">
        <v>0</v>
      </c>
      <c r="G692" s="93">
        <v>0</v>
      </c>
      <c r="H692" s="93"/>
      <c r="I692" s="93"/>
      <c r="J692" s="88"/>
      <c r="K692" s="94"/>
      <c r="L692" s="90"/>
      <c r="M692" s="91"/>
      <c r="N692" s="92"/>
      <c r="O692" s="93"/>
      <c r="P692" s="93"/>
      <c r="Q692" s="93"/>
      <c r="R692" s="93"/>
      <c r="S692" s="125"/>
      <c r="T692" s="94"/>
      <c r="U692" s="90"/>
      <c r="V692" s="91"/>
      <c r="W692" s="92"/>
      <c r="X692" s="93"/>
      <c r="Y692" s="93"/>
      <c r="Z692" s="93"/>
      <c r="AA692" s="93"/>
    </row>
    <row r="693" spans="1:27" x14ac:dyDescent="0.25">
      <c r="A693" s="88"/>
      <c r="B693" s="89" t="s">
        <v>157</v>
      </c>
      <c r="C693" s="90" t="s">
        <v>6</v>
      </c>
      <c r="D693" s="91" t="s">
        <v>67</v>
      </c>
      <c r="E693" s="92">
        <v>0</v>
      </c>
      <c r="F693" s="93">
        <v>0</v>
      </c>
      <c r="G693" s="93">
        <v>0</v>
      </c>
      <c r="H693" s="93"/>
      <c r="I693" s="93"/>
      <c r="J693" s="88"/>
      <c r="K693" s="94"/>
      <c r="L693" s="90"/>
      <c r="M693" s="91"/>
      <c r="N693" s="92"/>
      <c r="O693" s="93"/>
      <c r="P693" s="93"/>
      <c r="Q693" s="93"/>
      <c r="R693" s="93"/>
      <c r="S693" s="125"/>
      <c r="T693" s="94"/>
      <c r="U693" s="90"/>
      <c r="V693" s="91"/>
      <c r="W693" s="92"/>
      <c r="X693" s="93"/>
      <c r="Y693" s="93"/>
      <c r="Z693" s="93"/>
      <c r="AA693" s="93"/>
    </row>
    <row r="694" spans="1:27" x14ac:dyDescent="0.25">
      <c r="A694" s="88"/>
      <c r="B694" s="89" t="s">
        <v>219</v>
      </c>
      <c r="C694" s="90" t="s">
        <v>6</v>
      </c>
      <c r="D694" s="91" t="s">
        <v>62</v>
      </c>
      <c r="E694" s="92">
        <v>0</v>
      </c>
      <c r="F694" s="93">
        <v>0</v>
      </c>
      <c r="G694" s="93">
        <v>0</v>
      </c>
      <c r="H694" s="93"/>
      <c r="I694" s="93"/>
      <c r="J694" s="88"/>
      <c r="K694" s="94"/>
      <c r="L694" s="90"/>
      <c r="M694" s="91"/>
      <c r="N694" s="92"/>
      <c r="O694" s="93"/>
      <c r="P694" s="93"/>
      <c r="Q694" s="93"/>
      <c r="R694" s="93"/>
      <c r="S694" s="125"/>
      <c r="T694" s="94"/>
      <c r="U694" s="90"/>
      <c r="V694" s="91"/>
      <c r="W694" s="92"/>
      <c r="X694" s="93"/>
      <c r="Y694" s="93"/>
      <c r="Z694" s="93"/>
      <c r="AA694" s="93"/>
    </row>
    <row r="695" spans="1:27" x14ac:dyDescent="0.25">
      <c r="A695" s="88"/>
      <c r="B695" s="89" t="s">
        <v>313</v>
      </c>
      <c r="C695" s="90" t="s">
        <v>6</v>
      </c>
      <c r="D695" s="91" t="s">
        <v>78</v>
      </c>
      <c r="E695" s="92">
        <v>0</v>
      </c>
      <c r="F695" s="93">
        <v>0</v>
      </c>
      <c r="G695" s="93">
        <v>0</v>
      </c>
      <c r="H695" s="93"/>
      <c r="I695" s="93"/>
      <c r="J695" s="88"/>
      <c r="K695" s="94"/>
      <c r="L695" s="90"/>
      <c r="M695" s="91"/>
      <c r="N695" s="92"/>
      <c r="O695" s="93"/>
      <c r="P695" s="93"/>
      <c r="Q695" s="93"/>
      <c r="R695" s="93"/>
      <c r="S695" s="125"/>
      <c r="T695" s="94"/>
      <c r="U695" s="90"/>
      <c r="V695" s="91"/>
      <c r="W695" s="92"/>
      <c r="X695" s="93"/>
      <c r="Y695" s="93"/>
      <c r="Z695" s="93"/>
      <c r="AA695" s="93"/>
    </row>
    <row r="696" spans="1:27" x14ac:dyDescent="0.25">
      <c r="A696" s="88"/>
      <c r="B696" s="89" t="s">
        <v>293</v>
      </c>
      <c r="C696" s="90" t="s">
        <v>16</v>
      </c>
      <c r="D696" s="91" t="s">
        <v>57</v>
      </c>
      <c r="E696" s="92">
        <v>0</v>
      </c>
      <c r="F696" s="93">
        <v>0</v>
      </c>
      <c r="G696" s="93">
        <v>0</v>
      </c>
      <c r="H696" s="93"/>
      <c r="I696" s="93"/>
      <c r="J696" s="88"/>
      <c r="K696" s="94"/>
      <c r="L696" s="90"/>
      <c r="M696" s="91"/>
      <c r="N696" s="92"/>
      <c r="O696" s="93"/>
      <c r="P696" s="93"/>
      <c r="Q696" s="93"/>
      <c r="R696" s="93"/>
      <c r="S696" s="125"/>
      <c r="T696" s="94"/>
      <c r="U696" s="90"/>
      <c r="V696" s="91"/>
      <c r="W696" s="92"/>
      <c r="X696" s="93"/>
      <c r="Y696" s="93"/>
      <c r="Z696" s="93"/>
      <c r="AA696" s="93"/>
    </row>
    <row r="697" spans="1:27" x14ac:dyDescent="0.25">
      <c r="A697" s="88"/>
      <c r="B697" s="89" t="s">
        <v>536</v>
      </c>
      <c r="C697" s="90" t="s">
        <v>6</v>
      </c>
      <c r="D697" s="91"/>
      <c r="E697" s="92">
        <v>0</v>
      </c>
      <c r="F697" s="93">
        <v>0</v>
      </c>
      <c r="G697" s="93">
        <v>0</v>
      </c>
      <c r="H697" s="93"/>
      <c r="I697" s="93"/>
      <c r="J697" s="88"/>
      <c r="K697" s="94"/>
      <c r="L697" s="90"/>
      <c r="M697" s="91"/>
      <c r="N697" s="92"/>
      <c r="O697" s="93"/>
      <c r="P697" s="93"/>
      <c r="Q697" s="93"/>
      <c r="R697" s="93"/>
      <c r="S697" s="125"/>
      <c r="T697" s="94"/>
      <c r="U697" s="90"/>
      <c r="V697" s="91"/>
      <c r="W697" s="92"/>
      <c r="X697" s="93"/>
      <c r="Y697" s="93"/>
      <c r="Z697" s="93"/>
      <c r="AA697" s="93"/>
    </row>
    <row r="698" spans="1:27" x14ac:dyDescent="0.25">
      <c r="A698" s="88"/>
      <c r="B698" s="89" t="s">
        <v>537</v>
      </c>
      <c r="C698" s="90" t="s">
        <v>6</v>
      </c>
      <c r="D698" s="91" t="s">
        <v>69</v>
      </c>
      <c r="E698" s="92">
        <v>0</v>
      </c>
      <c r="F698" s="93">
        <v>0</v>
      </c>
      <c r="G698" s="93">
        <v>0</v>
      </c>
      <c r="H698" s="93"/>
      <c r="I698" s="93"/>
      <c r="J698" s="88"/>
      <c r="K698" s="94"/>
      <c r="L698" s="90"/>
      <c r="M698" s="91"/>
      <c r="N698" s="92"/>
      <c r="O698" s="93"/>
      <c r="P698" s="93"/>
      <c r="Q698" s="93"/>
      <c r="R698" s="93"/>
      <c r="S698" s="125"/>
      <c r="T698" s="94"/>
      <c r="U698" s="90"/>
      <c r="V698" s="91"/>
      <c r="W698" s="92"/>
      <c r="X698" s="93"/>
      <c r="Y698" s="93"/>
      <c r="Z698" s="93"/>
      <c r="AA698" s="93"/>
    </row>
    <row r="699" spans="1:27" x14ac:dyDescent="0.25">
      <c r="A699" s="88"/>
      <c r="B699" s="89" t="s">
        <v>306</v>
      </c>
      <c r="C699" s="90" t="s">
        <v>6</v>
      </c>
      <c r="D699" s="91" t="s">
        <v>75</v>
      </c>
      <c r="E699" s="92">
        <v>0</v>
      </c>
      <c r="F699" s="93">
        <v>0</v>
      </c>
      <c r="G699" s="93">
        <v>0</v>
      </c>
      <c r="H699" s="93"/>
      <c r="I699" s="93"/>
      <c r="J699" s="88"/>
      <c r="K699" s="94"/>
      <c r="L699" s="90"/>
      <c r="M699" s="91"/>
      <c r="N699" s="92"/>
      <c r="O699" s="93"/>
      <c r="P699" s="93"/>
      <c r="Q699" s="93"/>
      <c r="R699" s="93"/>
      <c r="S699" s="125"/>
      <c r="T699" s="94"/>
      <c r="U699" s="90"/>
      <c r="V699" s="91"/>
      <c r="W699" s="92"/>
      <c r="X699" s="93"/>
      <c r="Y699" s="93"/>
      <c r="Z699" s="93"/>
      <c r="AA699" s="93"/>
    </row>
    <row r="700" spans="1:27" x14ac:dyDescent="0.25">
      <c r="A700" s="88"/>
      <c r="B700" s="89" t="s">
        <v>659</v>
      </c>
      <c r="C700" s="90" t="s">
        <v>6</v>
      </c>
      <c r="D700" s="91" t="s">
        <v>62</v>
      </c>
      <c r="E700" s="92">
        <v>0</v>
      </c>
      <c r="F700" s="93">
        <v>0</v>
      </c>
      <c r="G700" s="93">
        <v>0</v>
      </c>
      <c r="H700" s="93"/>
      <c r="I700" s="93"/>
      <c r="J700" s="88"/>
      <c r="K700" s="94"/>
      <c r="L700" s="90"/>
      <c r="M700" s="91"/>
      <c r="N700" s="92"/>
      <c r="O700" s="93"/>
      <c r="P700" s="93"/>
      <c r="Q700" s="93"/>
      <c r="R700" s="93"/>
      <c r="S700" s="125"/>
      <c r="T700" s="94"/>
      <c r="U700" s="90"/>
      <c r="V700" s="91"/>
      <c r="W700" s="92"/>
      <c r="X700" s="93"/>
      <c r="Y700" s="93"/>
      <c r="Z700" s="93"/>
      <c r="AA700" s="93"/>
    </row>
    <row r="701" spans="1:27" x14ac:dyDescent="0.25">
      <c r="A701" s="88"/>
      <c r="B701" s="89" t="s">
        <v>391</v>
      </c>
      <c r="C701" s="90" t="s">
        <v>16</v>
      </c>
      <c r="D701" s="91" t="s">
        <v>61</v>
      </c>
      <c r="E701" s="92">
        <v>0</v>
      </c>
      <c r="F701" s="93">
        <v>0</v>
      </c>
      <c r="G701" s="93">
        <v>0</v>
      </c>
      <c r="H701" s="93"/>
      <c r="I701" s="93"/>
      <c r="J701" s="88"/>
      <c r="K701" s="94"/>
      <c r="L701" s="90"/>
      <c r="M701" s="91"/>
      <c r="N701" s="92"/>
      <c r="O701" s="93"/>
      <c r="P701" s="93"/>
      <c r="Q701" s="93"/>
      <c r="R701" s="93"/>
      <c r="S701" s="125"/>
      <c r="T701" s="94"/>
      <c r="U701" s="90"/>
      <c r="V701" s="91"/>
      <c r="W701" s="92"/>
      <c r="X701" s="93"/>
      <c r="Y701" s="93"/>
      <c r="Z701" s="93"/>
      <c r="AA701" s="93"/>
    </row>
    <row r="702" spans="1:27" x14ac:dyDescent="0.25">
      <c r="A702" s="88"/>
      <c r="B702" s="89" t="s">
        <v>378</v>
      </c>
      <c r="C702" s="90" t="s">
        <v>16</v>
      </c>
      <c r="D702" s="91" t="s">
        <v>58</v>
      </c>
      <c r="E702" s="92">
        <v>0</v>
      </c>
      <c r="F702" s="93">
        <v>0</v>
      </c>
      <c r="G702" s="93">
        <v>0</v>
      </c>
      <c r="H702" s="93"/>
      <c r="I702" s="93"/>
      <c r="J702" s="88"/>
      <c r="K702" s="94"/>
      <c r="L702" s="90"/>
      <c r="M702" s="91"/>
      <c r="N702" s="92"/>
      <c r="O702" s="93"/>
      <c r="P702" s="93"/>
      <c r="Q702" s="93"/>
      <c r="R702" s="93"/>
      <c r="S702" s="125"/>
      <c r="T702" s="94"/>
      <c r="U702" s="90"/>
      <c r="V702" s="91"/>
      <c r="W702" s="92"/>
      <c r="X702" s="93"/>
      <c r="Y702" s="93"/>
      <c r="Z702" s="93"/>
      <c r="AA702" s="93"/>
    </row>
    <row r="703" spans="1:27" x14ac:dyDescent="0.25">
      <c r="A703" s="88"/>
      <c r="B703" s="89" t="s">
        <v>285</v>
      </c>
      <c r="C703" s="90" t="s">
        <v>6</v>
      </c>
      <c r="D703" s="91" t="s">
        <v>69</v>
      </c>
      <c r="E703" s="92">
        <v>0</v>
      </c>
      <c r="F703" s="93">
        <v>0</v>
      </c>
      <c r="G703" s="93">
        <v>0</v>
      </c>
      <c r="H703" s="93"/>
      <c r="I703" s="93"/>
      <c r="J703" s="88"/>
      <c r="K703" s="94"/>
      <c r="L703" s="90"/>
      <c r="M703" s="91"/>
      <c r="N703" s="92"/>
      <c r="O703" s="93"/>
      <c r="P703" s="93"/>
      <c r="Q703" s="93"/>
      <c r="R703" s="93"/>
      <c r="S703" s="125"/>
      <c r="T703" s="94"/>
      <c r="U703" s="90"/>
      <c r="V703" s="91"/>
      <c r="W703" s="92"/>
      <c r="X703" s="93"/>
      <c r="Y703" s="93"/>
      <c r="Z703" s="93"/>
      <c r="AA703" s="93"/>
    </row>
    <row r="704" spans="1:27" x14ac:dyDescent="0.25">
      <c r="A704" s="88"/>
      <c r="B704" s="89" t="s">
        <v>673</v>
      </c>
      <c r="C704" s="90" t="s">
        <v>6</v>
      </c>
      <c r="D704" s="91" t="s">
        <v>69</v>
      </c>
      <c r="E704" s="92">
        <v>0</v>
      </c>
      <c r="F704" s="93">
        <v>0</v>
      </c>
      <c r="G704" s="93">
        <v>0</v>
      </c>
      <c r="H704" s="93"/>
      <c r="I704" s="93"/>
      <c r="J704" s="88"/>
      <c r="K704" s="94"/>
      <c r="L704" s="90"/>
      <c r="M704" s="91"/>
      <c r="N704" s="92"/>
      <c r="O704" s="93"/>
      <c r="P704" s="93"/>
      <c r="Q704" s="93"/>
      <c r="R704" s="93"/>
      <c r="S704" s="125"/>
      <c r="T704" s="94"/>
      <c r="U704" s="90"/>
      <c r="V704" s="91"/>
      <c r="W704" s="92"/>
      <c r="X704" s="93"/>
      <c r="Y704" s="93"/>
      <c r="Z704" s="93"/>
      <c r="AA704" s="93"/>
    </row>
    <row r="705" spans="1:27" x14ac:dyDescent="0.25">
      <c r="A705" s="88"/>
      <c r="B705" s="89" t="s">
        <v>368</v>
      </c>
      <c r="C705" s="90" t="s">
        <v>6</v>
      </c>
      <c r="D705" s="91" t="s">
        <v>63</v>
      </c>
      <c r="E705" s="92">
        <v>0</v>
      </c>
      <c r="F705" s="93">
        <v>0</v>
      </c>
      <c r="G705" s="93">
        <v>0</v>
      </c>
      <c r="H705" s="93"/>
      <c r="I705" s="93"/>
      <c r="J705" s="88"/>
      <c r="K705" s="94"/>
      <c r="L705" s="90"/>
      <c r="M705" s="91"/>
      <c r="N705" s="92"/>
      <c r="O705" s="93"/>
      <c r="P705" s="93"/>
      <c r="Q705" s="93"/>
      <c r="R705" s="93"/>
      <c r="S705" s="125"/>
      <c r="T705" s="94"/>
      <c r="U705" s="90"/>
      <c r="V705" s="91"/>
      <c r="W705" s="92"/>
      <c r="X705" s="93"/>
      <c r="Y705" s="93"/>
      <c r="Z705" s="93"/>
      <c r="AA705" s="93"/>
    </row>
    <row r="706" spans="1:27" x14ac:dyDescent="0.25">
      <c r="A706" s="88"/>
      <c r="B706" s="89" t="s">
        <v>342</v>
      </c>
      <c r="C706" s="90" t="s">
        <v>6</v>
      </c>
      <c r="D706" s="91" t="s">
        <v>57</v>
      </c>
      <c r="E706" s="92">
        <v>0</v>
      </c>
      <c r="F706" s="93">
        <v>0</v>
      </c>
      <c r="G706" s="93">
        <v>0</v>
      </c>
      <c r="H706" s="93"/>
      <c r="I706" s="93"/>
      <c r="J706" s="88"/>
      <c r="K706" s="94"/>
      <c r="L706" s="90"/>
      <c r="M706" s="91"/>
      <c r="N706" s="92"/>
      <c r="O706" s="93"/>
      <c r="P706" s="93"/>
      <c r="Q706" s="93"/>
      <c r="R706" s="93"/>
      <c r="S706" s="125"/>
      <c r="T706" s="94"/>
      <c r="U706" s="90"/>
      <c r="V706" s="91"/>
      <c r="W706" s="92"/>
      <c r="X706" s="93"/>
      <c r="Y706" s="93"/>
      <c r="Z706" s="93"/>
      <c r="AA706" s="93"/>
    </row>
    <row r="707" spans="1:27" x14ac:dyDescent="0.25">
      <c r="A707" s="88"/>
      <c r="B707" s="89" t="s">
        <v>408</v>
      </c>
      <c r="C707" s="90" t="s">
        <v>6</v>
      </c>
      <c r="D707" s="91" t="s">
        <v>77</v>
      </c>
      <c r="E707" s="92">
        <v>0</v>
      </c>
      <c r="F707" s="93">
        <v>0</v>
      </c>
      <c r="G707" s="93">
        <v>0</v>
      </c>
      <c r="H707" s="93"/>
      <c r="I707" s="93"/>
      <c r="J707" s="88"/>
      <c r="K707" s="94"/>
      <c r="L707" s="90"/>
      <c r="M707" s="91"/>
      <c r="N707" s="92"/>
      <c r="O707" s="93"/>
      <c r="P707" s="93"/>
      <c r="Q707" s="93"/>
      <c r="R707" s="93"/>
      <c r="S707" s="125"/>
      <c r="T707" s="94"/>
      <c r="U707" s="90"/>
      <c r="V707" s="91"/>
      <c r="W707" s="92"/>
      <c r="X707" s="93"/>
      <c r="Y707" s="93"/>
      <c r="Z707" s="93"/>
      <c r="AA707" s="93"/>
    </row>
    <row r="708" spans="1:27" x14ac:dyDescent="0.25">
      <c r="A708" s="88"/>
      <c r="B708" s="89" t="s">
        <v>508</v>
      </c>
      <c r="C708" s="90" t="s">
        <v>6</v>
      </c>
      <c r="D708" s="91" t="s">
        <v>151</v>
      </c>
      <c r="E708" s="92">
        <v>0</v>
      </c>
      <c r="F708" s="93">
        <v>0</v>
      </c>
      <c r="G708" s="93">
        <v>0</v>
      </c>
      <c r="H708" s="93"/>
      <c r="I708" s="93"/>
      <c r="J708" s="88"/>
      <c r="K708" s="94"/>
      <c r="L708" s="90"/>
      <c r="M708" s="91"/>
      <c r="N708" s="92"/>
      <c r="O708" s="93"/>
      <c r="P708" s="93"/>
      <c r="Q708" s="93"/>
      <c r="R708" s="93"/>
      <c r="S708" s="125"/>
      <c r="T708" s="94"/>
      <c r="U708" s="90"/>
      <c r="V708" s="91"/>
      <c r="W708" s="92"/>
      <c r="X708" s="93"/>
      <c r="Y708" s="93"/>
      <c r="Z708" s="93"/>
      <c r="AA708" s="93"/>
    </row>
    <row r="709" spans="1:27" x14ac:dyDescent="0.25">
      <c r="A709" s="88"/>
      <c r="B709" s="89" t="s">
        <v>666</v>
      </c>
      <c r="C709" s="90" t="s">
        <v>6</v>
      </c>
      <c r="D709" s="91" t="s">
        <v>62</v>
      </c>
      <c r="E709" s="92">
        <v>0</v>
      </c>
      <c r="F709" s="93">
        <v>0</v>
      </c>
      <c r="G709" s="93">
        <v>0</v>
      </c>
      <c r="H709" s="93"/>
      <c r="I709" s="93"/>
      <c r="J709" s="88"/>
      <c r="K709" s="94"/>
      <c r="L709" s="90"/>
      <c r="M709" s="91"/>
      <c r="N709" s="92"/>
      <c r="O709" s="93"/>
      <c r="P709" s="93"/>
      <c r="Q709" s="93"/>
      <c r="R709" s="93"/>
      <c r="S709" s="125"/>
      <c r="T709" s="94"/>
      <c r="U709" s="90"/>
      <c r="V709" s="91"/>
      <c r="W709" s="92"/>
      <c r="X709" s="93"/>
      <c r="Y709" s="93"/>
      <c r="Z709" s="93"/>
      <c r="AA709" s="93"/>
    </row>
    <row r="710" spans="1:27" x14ac:dyDescent="0.25">
      <c r="A710" s="88"/>
      <c r="B710" s="89" t="s">
        <v>195</v>
      </c>
      <c r="C710" s="90" t="s">
        <v>6</v>
      </c>
      <c r="D710" s="91" t="s">
        <v>59</v>
      </c>
      <c r="E710" s="92">
        <v>0</v>
      </c>
      <c r="F710" s="93">
        <v>0</v>
      </c>
      <c r="G710" s="93">
        <v>0</v>
      </c>
      <c r="H710" s="93"/>
      <c r="I710" s="93"/>
      <c r="J710" s="88"/>
      <c r="K710" s="94"/>
      <c r="L710" s="90"/>
      <c r="M710" s="91"/>
      <c r="N710" s="92"/>
      <c r="O710" s="93"/>
      <c r="P710" s="93"/>
      <c r="Q710" s="93"/>
      <c r="R710" s="93"/>
      <c r="S710" s="125"/>
      <c r="T710" s="94"/>
      <c r="U710" s="90"/>
      <c r="V710" s="91"/>
      <c r="W710" s="92"/>
      <c r="X710" s="93"/>
      <c r="Y710" s="93"/>
      <c r="Z710" s="93"/>
      <c r="AA710" s="93"/>
    </row>
    <row r="711" spans="1:27" x14ac:dyDescent="0.25">
      <c r="A711" s="88"/>
      <c r="B711" s="89" t="s">
        <v>135</v>
      </c>
      <c r="C711" s="90" t="s">
        <v>6</v>
      </c>
      <c r="D711" s="91" t="s">
        <v>64</v>
      </c>
      <c r="E711" s="92">
        <v>0</v>
      </c>
      <c r="F711" s="93">
        <v>0</v>
      </c>
      <c r="G711" s="93">
        <v>0</v>
      </c>
      <c r="H711" s="93"/>
      <c r="I711" s="93"/>
      <c r="J711" s="88"/>
      <c r="K711" s="94"/>
      <c r="L711" s="90"/>
      <c r="M711" s="91"/>
      <c r="N711" s="92"/>
      <c r="O711" s="93"/>
      <c r="P711" s="93"/>
      <c r="Q711" s="93"/>
      <c r="R711" s="93"/>
      <c r="S711" s="125"/>
      <c r="T711" s="94"/>
      <c r="U711" s="90"/>
      <c r="V711" s="91"/>
      <c r="W711" s="92"/>
      <c r="X711" s="93"/>
      <c r="Y711" s="93"/>
      <c r="Z711" s="93"/>
      <c r="AA711" s="93"/>
    </row>
    <row r="712" spans="1:27" x14ac:dyDescent="0.25">
      <c r="A712" s="88"/>
      <c r="B712" s="89" t="s">
        <v>336</v>
      </c>
      <c r="C712" s="90" t="s">
        <v>16</v>
      </c>
      <c r="D712" s="91" t="s">
        <v>62</v>
      </c>
      <c r="E712" s="92">
        <v>0</v>
      </c>
      <c r="F712" s="93">
        <v>0</v>
      </c>
      <c r="G712" s="93">
        <v>0</v>
      </c>
      <c r="H712" s="93"/>
      <c r="I712" s="93"/>
      <c r="J712" s="88"/>
      <c r="K712" s="94"/>
      <c r="L712" s="90"/>
      <c r="M712" s="91"/>
      <c r="N712" s="92"/>
      <c r="O712" s="93"/>
      <c r="P712" s="93"/>
      <c r="Q712" s="93"/>
      <c r="R712" s="93"/>
      <c r="S712" s="125"/>
      <c r="T712" s="94"/>
      <c r="U712" s="90"/>
      <c r="V712" s="91"/>
      <c r="W712" s="92"/>
      <c r="X712" s="93"/>
      <c r="Y712" s="93"/>
      <c r="Z712" s="93"/>
      <c r="AA712" s="93"/>
    </row>
    <row r="713" spans="1:27" x14ac:dyDescent="0.25">
      <c r="A713" s="88"/>
      <c r="B713" s="89" t="s">
        <v>334</v>
      </c>
      <c r="C713" s="90" t="s">
        <v>16</v>
      </c>
      <c r="D713" s="91" t="s">
        <v>62</v>
      </c>
      <c r="E713" s="92">
        <v>0</v>
      </c>
      <c r="F713" s="93">
        <v>0</v>
      </c>
      <c r="G713" s="93">
        <v>0</v>
      </c>
      <c r="H713" s="93"/>
      <c r="I713" s="93"/>
      <c r="J713" s="88"/>
      <c r="K713" s="94"/>
      <c r="L713" s="90"/>
      <c r="M713" s="91"/>
      <c r="N713" s="92"/>
      <c r="O713" s="93"/>
      <c r="P713" s="93"/>
      <c r="Q713" s="93"/>
      <c r="R713" s="93"/>
      <c r="S713" s="125"/>
      <c r="T713" s="94"/>
      <c r="U713" s="90"/>
      <c r="V713" s="91"/>
      <c r="W713" s="92"/>
      <c r="X713" s="93"/>
      <c r="Y713" s="93"/>
      <c r="Z713" s="93"/>
      <c r="AA713" s="93"/>
    </row>
    <row r="714" spans="1:27" x14ac:dyDescent="0.25">
      <c r="A714" s="88"/>
      <c r="B714" s="89" t="s">
        <v>180</v>
      </c>
      <c r="C714" s="90" t="s">
        <v>16</v>
      </c>
      <c r="D714" s="91" t="s">
        <v>69</v>
      </c>
      <c r="E714" s="92">
        <v>0</v>
      </c>
      <c r="F714" s="93">
        <v>0</v>
      </c>
      <c r="G714" s="93">
        <v>0</v>
      </c>
      <c r="H714" s="93"/>
      <c r="I714" s="93"/>
      <c r="J714" s="88"/>
      <c r="K714" s="94"/>
      <c r="L714" s="90"/>
      <c r="M714" s="91"/>
      <c r="N714" s="92"/>
      <c r="O714" s="93"/>
      <c r="P714" s="93"/>
      <c r="Q714" s="93"/>
      <c r="R714" s="93"/>
      <c r="S714" s="125"/>
      <c r="T714" s="94"/>
      <c r="U714" s="90"/>
      <c r="V714" s="91"/>
      <c r="W714" s="92"/>
      <c r="X714" s="93"/>
      <c r="Y714" s="93"/>
      <c r="Z714" s="93"/>
      <c r="AA714" s="93"/>
    </row>
    <row r="715" spans="1:27" x14ac:dyDescent="0.25">
      <c r="A715" s="88"/>
      <c r="B715" s="89" t="s">
        <v>686</v>
      </c>
      <c r="C715" s="90" t="s">
        <v>6</v>
      </c>
      <c r="D715" s="91" t="s">
        <v>459</v>
      </c>
      <c r="E715" s="92">
        <v>0</v>
      </c>
      <c r="F715" s="93">
        <v>0</v>
      </c>
      <c r="G715" s="93">
        <v>0</v>
      </c>
      <c r="H715" s="93"/>
      <c r="I715" s="93"/>
      <c r="J715" s="88"/>
      <c r="K715" s="94"/>
      <c r="L715" s="90"/>
      <c r="M715" s="91"/>
      <c r="N715" s="92"/>
      <c r="O715" s="93"/>
      <c r="P715" s="93"/>
      <c r="Q715" s="93"/>
      <c r="R715" s="93"/>
      <c r="S715" s="125"/>
      <c r="T715" s="94"/>
      <c r="U715" s="90"/>
      <c r="V715" s="91"/>
      <c r="W715" s="92"/>
      <c r="X715" s="93"/>
      <c r="Y715" s="93"/>
      <c r="Z715" s="93"/>
      <c r="AA715" s="93"/>
    </row>
    <row r="716" spans="1:27" x14ac:dyDescent="0.25">
      <c r="A716" s="88"/>
      <c r="B716" s="89" t="s">
        <v>335</v>
      </c>
      <c r="C716" s="90" t="s">
        <v>16</v>
      </c>
      <c r="D716" s="91" t="s">
        <v>62</v>
      </c>
      <c r="E716" s="92">
        <v>0</v>
      </c>
      <c r="F716" s="93">
        <v>0</v>
      </c>
      <c r="G716" s="93">
        <v>0</v>
      </c>
      <c r="H716" s="93"/>
      <c r="I716" s="93"/>
      <c r="J716" s="88"/>
      <c r="K716" s="94"/>
      <c r="L716" s="90"/>
      <c r="M716" s="91"/>
      <c r="N716" s="92"/>
      <c r="O716" s="93"/>
      <c r="P716" s="93"/>
      <c r="Q716" s="93"/>
      <c r="R716" s="93"/>
      <c r="S716" s="125"/>
      <c r="T716" s="94"/>
      <c r="U716" s="90"/>
      <c r="V716" s="91"/>
      <c r="W716" s="92"/>
      <c r="X716" s="93"/>
      <c r="Y716" s="93"/>
      <c r="Z716" s="93"/>
      <c r="AA716" s="93"/>
    </row>
    <row r="717" spans="1:27" x14ac:dyDescent="0.25">
      <c r="A717" s="88"/>
      <c r="B717" s="89" t="s">
        <v>47</v>
      </c>
      <c r="C717" s="90" t="s">
        <v>6</v>
      </c>
      <c r="D717" s="91" t="s">
        <v>77</v>
      </c>
      <c r="E717" s="92">
        <v>0</v>
      </c>
      <c r="F717" s="93">
        <v>0</v>
      </c>
      <c r="G717" s="93">
        <v>0</v>
      </c>
      <c r="H717" s="93"/>
      <c r="I717" s="93"/>
      <c r="J717" s="88"/>
      <c r="K717" s="94"/>
      <c r="L717" s="90"/>
      <c r="M717" s="91"/>
      <c r="N717" s="92"/>
      <c r="O717" s="93"/>
      <c r="P717" s="93"/>
      <c r="Q717" s="93"/>
      <c r="R717" s="93"/>
      <c r="S717" s="125"/>
      <c r="T717" s="94"/>
      <c r="U717" s="90"/>
      <c r="V717" s="91"/>
      <c r="W717" s="92"/>
      <c r="X717" s="93"/>
      <c r="Y717" s="93"/>
      <c r="Z717" s="93"/>
      <c r="AA717" s="93"/>
    </row>
    <row r="718" spans="1:27" x14ac:dyDescent="0.25">
      <c r="A718" s="88"/>
      <c r="B718" s="89" t="s">
        <v>265</v>
      </c>
      <c r="C718" s="90" t="s">
        <v>16</v>
      </c>
      <c r="D718" s="91" t="s">
        <v>58</v>
      </c>
      <c r="E718" s="92">
        <v>0</v>
      </c>
      <c r="F718" s="93">
        <v>0</v>
      </c>
      <c r="G718" s="93">
        <v>0</v>
      </c>
      <c r="H718" s="93"/>
      <c r="I718" s="93"/>
      <c r="J718" s="88"/>
      <c r="K718" s="94"/>
      <c r="L718" s="90"/>
      <c r="M718" s="91"/>
      <c r="N718" s="92"/>
      <c r="O718" s="93"/>
      <c r="P718" s="93"/>
      <c r="Q718" s="93"/>
      <c r="R718" s="93"/>
      <c r="S718" s="125"/>
      <c r="T718" s="94"/>
      <c r="U718" s="90"/>
      <c r="V718" s="91"/>
      <c r="W718" s="92"/>
      <c r="X718" s="93"/>
      <c r="Y718" s="93"/>
      <c r="Z718" s="93"/>
      <c r="AA718" s="93"/>
    </row>
    <row r="719" spans="1:27" x14ac:dyDescent="0.25">
      <c r="A719" s="88"/>
      <c r="B719" s="89" t="s">
        <v>691</v>
      </c>
      <c r="C719" s="90" t="s">
        <v>6</v>
      </c>
      <c r="D719" s="91" t="s">
        <v>62</v>
      </c>
      <c r="E719" s="92">
        <v>0</v>
      </c>
      <c r="F719" s="93">
        <v>0</v>
      </c>
      <c r="G719" s="93">
        <v>0</v>
      </c>
      <c r="H719" s="93"/>
      <c r="I719" s="93"/>
      <c r="J719" s="88"/>
      <c r="K719" s="94"/>
      <c r="L719" s="90"/>
      <c r="M719" s="91"/>
      <c r="N719" s="92"/>
      <c r="O719" s="93"/>
      <c r="P719" s="93"/>
      <c r="Q719" s="93"/>
      <c r="R719" s="93"/>
      <c r="S719" s="125"/>
      <c r="T719" s="94"/>
      <c r="U719" s="90"/>
      <c r="V719" s="91"/>
      <c r="W719" s="92"/>
      <c r="X719" s="93"/>
      <c r="Y719" s="93"/>
      <c r="Z719" s="93"/>
      <c r="AA719" s="93"/>
    </row>
    <row r="720" spans="1:27" x14ac:dyDescent="0.25">
      <c r="A720" s="88"/>
      <c r="B720" s="89" t="s">
        <v>236</v>
      </c>
      <c r="C720" s="90" t="s">
        <v>6</v>
      </c>
      <c r="D720" s="91" t="s">
        <v>57</v>
      </c>
      <c r="E720" s="92">
        <v>0</v>
      </c>
      <c r="F720" s="93">
        <v>0</v>
      </c>
      <c r="G720" s="93">
        <v>0</v>
      </c>
      <c r="H720" s="93"/>
      <c r="I720" s="93"/>
      <c r="J720" s="88"/>
      <c r="K720" s="94"/>
      <c r="L720" s="90"/>
      <c r="M720" s="91"/>
      <c r="N720" s="92"/>
      <c r="O720" s="93"/>
      <c r="P720" s="93"/>
      <c r="Q720" s="93"/>
      <c r="R720" s="93"/>
      <c r="S720" s="125"/>
      <c r="T720" s="94"/>
      <c r="U720" s="90"/>
      <c r="V720" s="91"/>
      <c r="W720" s="92"/>
      <c r="X720" s="93"/>
      <c r="Y720" s="93"/>
      <c r="Z720" s="93"/>
      <c r="AA720" s="93"/>
    </row>
    <row r="721" spans="1:27" x14ac:dyDescent="0.25">
      <c r="A721" s="88"/>
      <c r="B721" s="89" t="s">
        <v>216</v>
      </c>
      <c r="C721" s="90" t="s">
        <v>6</v>
      </c>
      <c r="D721" s="91" t="s">
        <v>62</v>
      </c>
      <c r="E721" s="92">
        <v>0</v>
      </c>
      <c r="F721" s="93">
        <v>0</v>
      </c>
      <c r="G721" s="93">
        <v>0</v>
      </c>
      <c r="H721" s="93"/>
      <c r="I721" s="93"/>
      <c r="J721" s="88"/>
      <c r="K721" s="94"/>
      <c r="L721" s="90"/>
      <c r="M721" s="91"/>
      <c r="N721" s="92"/>
      <c r="O721" s="93"/>
      <c r="P721" s="93"/>
      <c r="Q721" s="93"/>
      <c r="R721" s="93"/>
      <c r="S721" s="125"/>
      <c r="T721" s="94"/>
      <c r="U721" s="90"/>
      <c r="V721" s="91"/>
      <c r="W721" s="92"/>
      <c r="X721" s="93"/>
      <c r="Y721" s="93"/>
      <c r="Z721" s="93"/>
      <c r="AA721" s="93"/>
    </row>
    <row r="722" spans="1:27" x14ac:dyDescent="0.25">
      <c r="A722" s="88"/>
      <c r="B722" s="89" t="s">
        <v>232</v>
      </c>
      <c r="C722" s="90" t="s">
        <v>16</v>
      </c>
      <c r="D722" s="91" t="s">
        <v>96</v>
      </c>
      <c r="E722" s="92">
        <v>0</v>
      </c>
      <c r="F722" s="93">
        <v>0</v>
      </c>
      <c r="G722" s="93">
        <v>0</v>
      </c>
      <c r="H722" s="93"/>
      <c r="I722" s="93"/>
      <c r="J722" s="88"/>
      <c r="K722" s="94"/>
      <c r="L722" s="90"/>
      <c r="M722" s="91"/>
      <c r="N722" s="92"/>
      <c r="O722" s="93"/>
      <c r="P722" s="93"/>
      <c r="Q722" s="93"/>
      <c r="R722" s="93"/>
      <c r="S722" s="125"/>
      <c r="T722" s="94"/>
      <c r="U722" s="90"/>
      <c r="V722" s="91"/>
      <c r="W722" s="92"/>
      <c r="X722" s="93"/>
      <c r="Y722" s="93"/>
      <c r="Z722" s="93"/>
      <c r="AA722" s="93"/>
    </row>
    <row r="723" spans="1:27" x14ac:dyDescent="0.25">
      <c r="A723" s="88"/>
      <c r="B723" s="89" t="s">
        <v>202</v>
      </c>
      <c r="C723" s="90" t="s">
        <v>6</v>
      </c>
      <c r="D723" s="91" t="s">
        <v>62</v>
      </c>
      <c r="E723" s="92">
        <v>0</v>
      </c>
      <c r="F723" s="93">
        <v>0</v>
      </c>
      <c r="G723" s="93">
        <v>0</v>
      </c>
      <c r="H723" s="93"/>
      <c r="I723" s="93"/>
      <c r="J723" s="88"/>
      <c r="K723" s="94"/>
      <c r="L723" s="90"/>
      <c r="M723" s="91"/>
      <c r="N723" s="92"/>
      <c r="O723" s="93"/>
      <c r="P723" s="93"/>
      <c r="Q723" s="93"/>
      <c r="R723" s="93"/>
      <c r="S723" s="125"/>
      <c r="T723" s="94"/>
      <c r="U723" s="90"/>
      <c r="V723" s="91"/>
      <c r="W723" s="92"/>
      <c r="X723" s="93"/>
      <c r="Y723" s="93"/>
      <c r="Z723" s="93"/>
      <c r="AA723" s="93"/>
    </row>
    <row r="724" spans="1:27" x14ac:dyDescent="0.25">
      <c r="A724" s="88"/>
      <c r="B724" s="89" t="s">
        <v>369</v>
      </c>
      <c r="C724" s="90" t="s">
        <v>6</v>
      </c>
      <c r="D724" s="91" t="s">
        <v>63</v>
      </c>
      <c r="E724" s="92">
        <v>0</v>
      </c>
      <c r="F724" s="93">
        <v>0</v>
      </c>
      <c r="G724" s="93">
        <v>0</v>
      </c>
      <c r="H724" s="93"/>
      <c r="I724" s="93"/>
      <c r="J724" s="88"/>
      <c r="K724" s="94"/>
      <c r="L724" s="90"/>
      <c r="M724" s="91"/>
      <c r="N724" s="92"/>
      <c r="O724" s="93"/>
      <c r="P724" s="93"/>
      <c r="Q724" s="93"/>
      <c r="R724" s="93"/>
      <c r="S724" s="125"/>
      <c r="T724" s="94"/>
      <c r="U724" s="90"/>
      <c r="V724" s="91"/>
      <c r="W724" s="92"/>
      <c r="X724" s="93"/>
      <c r="Y724" s="93"/>
      <c r="Z724" s="93"/>
      <c r="AA724" s="93"/>
    </row>
    <row r="725" spans="1:27" x14ac:dyDescent="0.25">
      <c r="A725" s="88"/>
      <c r="B725" s="89" t="s">
        <v>214</v>
      </c>
      <c r="C725" s="90" t="s">
        <v>6</v>
      </c>
      <c r="D725" s="91" t="s">
        <v>62</v>
      </c>
      <c r="E725" s="92">
        <v>0</v>
      </c>
      <c r="F725" s="93">
        <v>0</v>
      </c>
      <c r="G725" s="93">
        <v>0</v>
      </c>
      <c r="H725" s="93"/>
      <c r="I725" s="93"/>
      <c r="J725" s="88"/>
      <c r="K725" s="94"/>
      <c r="L725" s="90"/>
      <c r="M725" s="91"/>
      <c r="N725" s="92"/>
      <c r="O725" s="93"/>
      <c r="P725" s="93"/>
      <c r="Q725" s="93"/>
      <c r="R725" s="93"/>
      <c r="S725" s="125"/>
      <c r="T725" s="94"/>
      <c r="U725" s="90"/>
      <c r="V725" s="91"/>
      <c r="W725" s="92"/>
      <c r="X725" s="93"/>
      <c r="Y725" s="93"/>
      <c r="Z725" s="93"/>
      <c r="AA725" s="93"/>
    </row>
    <row r="726" spans="1:27" x14ac:dyDescent="0.25">
      <c r="A726" s="88"/>
      <c r="B726" s="89" t="s">
        <v>414</v>
      </c>
      <c r="C726" s="90" t="s">
        <v>6</v>
      </c>
      <c r="D726" s="91" t="s">
        <v>78</v>
      </c>
      <c r="E726" s="92">
        <v>0</v>
      </c>
      <c r="F726" s="93">
        <v>0</v>
      </c>
      <c r="G726" s="93">
        <v>0</v>
      </c>
      <c r="H726" s="93"/>
      <c r="I726" s="93"/>
      <c r="J726" s="88"/>
      <c r="K726" s="94"/>
      <c r="L726" s="90"/>
      <c r="M726" s="91"/>
      <c r="N726" s="92"/>
      <c r="O726" s="93"/>
      <c r="P726" s="93"/>
      <c r="Q726" s="93"/>
      <c r="R726" s="93"/>
      <c r="S726" s="125"/>
      <c r="T726" s="94"/>
      <c r="U726" s="90"/>
      <c r="V726" s="91"/>
      <c r="W726" s="92"/>
      <c r="X726" s="93"/>
      <c r="Y726" s="93"/>
      <c r="Z726" s="93"/>
      <c r="AA726" s="93"/>
    </row>
    <row r="727" spans="1:27" x14ac:dyDescent="0.25">
      <c r="A727" s="88"/>
      <c r="B727" s="89" t="s">
        <v>683</v>
      </c>
      <c r="C727" s="90" t="s">
        <v>6</v>
      </c>
      <c r="D727" s="91" t="s">
        <v>80</v>
      </c>
      <c r="E727" s="92">
        <v>0</v>
      </c>
      <c r="F727" s="93">
        <v>0</v>
      </c>
      <c r="G727" s="93">
        <v>0</v>
      </c>
      <c r="H727" s="93"/>
      <c r="I727" s="93"/>
      <c r="J727" s="88"/>
      <c r="K727" s="94"/>
      <c r="L727" s="90"/>
      <c r="M727" s="91"/>
      <c r="N727" s="92"/>
      <c r="O727" s="93"/>
      <c r="P727" s="93"/>
      <c r="Q727" s="93"/>
      <c r="R727" s="93"/>
      <c r="S727" s="125"/>
      <c r="T727" s="94"/>
      <c r="U727" s="90"/>
      <c r="V727" s="91"/>
      <c r="W727" s="92"/>
      <c r="X727" s="93"/>
      <c r="Y727" s="93"/>
      <c r="Z727" s="93"/>
      <c r="AA727" s="93"/>
    </row>
    <row r="728" spans="1:27" x14ac:dyDescent="0.25">
      <c r="A728" s="88"/>
      <c r="B728" s="89" t="s">
        <v>489</v>
      </c>
      <c r="C728" s="90" t="s">
        <v>6</v>
      </c>
      <c r="D728" s="91" t="s">
        <v>62</v>
      </c>
      <c r="E728" s="92">
        <v>0</v>
      </c>
      <c r="F728" s="93">
        <v>0</v>
      </c>
      <c r="G728" s="93">
        <v>0</v>
      </c>
      <c r="H728" s="93"/>
      <c r="I728" s="93"/>
      <c r="J728" s="88"/>
      <c r="K728" s="94"/>
      <c r="L728" s="90"/>
      <c r="M728" s="91"/>
      <c r="N728" s="92"/>
      <c r="O728" s="93"/>
      <c r="P728" s="93"/>
      <c r="Q728" s="93"/>
      <c r="R728" s="93"/>
      <c r="S728" s="125"/>
      <c r="T728" s="94"/>
      <c r="U728" s="90"/>
      <c r="V728" s="91"/>
      <c r="W728" s="92"/>
      <c r="X728" s="93"/>
      <c r="Y728" s="93"/>
      <c r="Z728" s="93"/>
      <c r="AA728" s="93"/>
    </row>
    <row r="729" spans="1:27" x14ac:dyDescent="0.25">
      <c r="A729" s="88"/>
      <c r="B729" s="89" t="s">
        <v>349</v>
      </c>
      <c r="C729" s="90" t="s">
        <v>16</v>
      </c>
      <c r="D729" s="91" t="s">
        <v>63</v>
      </c>
      <c r="E729" s="92">
        <v>0</v>
      </c>
      <c r="F729" s="93">
        <v>0</v>
      </c>
      <c r="G729" s="93">
        <v>0</v>
      </c>
      <c r="H729" s="93"/>
      <c r="I729" s="93"/>
      <c r="J729" s="88"/>
      <c r="K729" s="94"/>
      <c r="L729" s="90"/>
      <c r="M729" s="91"/>
      <c r="N729" s="92"/>
      <c r="O729" s="93"/>
      <c r="P729" s="93"/>
      <c r="Q729" s="93"/>
      <c r="R729" s="93"/>
      <c r="S729" s="125"/>
      <c r="T729" s="94"/>
      <c r="U729" s="90"/>
      <c r="V729" s="91"/>
      <c r="W729" s="92"/>
      <c r="X729" s="93"/>
      <c r="Y729" s="93"/>
      <c r="Z729" s="93"/>
      <c r="AA729" s="93"/>
    </row>
    <row r="730" spans="1:27" x14ac:dyDescent="0.25">
      <c r="A730" s="88"/>
      <c r="B730" s="89" t="s">
        <v>100</v>
      </c>
      <c r="C730" s="90" t="s">
        <v>6</v>
      </c>
      <c r="D730" s="91" t="s">
        <v>69</v>
      </c>
      <c r="E730" s="92">
        <v>0</v>
      </c>
      <c r="F730" s="93">
        <v>0</v>
      </c>
      <c r="G730" s="93">
        <v>0</v>
      </c>
      <c r="H730" s="93"/>
      <c r="I730" s="93"/>
      <c r="J730" s="88"/>
      <c r="K730" s="94"/>
      <c r="L730" s="90"/>
      <c r="M730" s="91"/>
      <c r="N730" s="92"/>
      <c r="O730" s="93"/>
      <c r="P730" s="93"/>
      <c r="Q730" s="93"/>
      <c r="R730" s="93"/>
      <c r="S730" s="125"/>
      <c r="T730" s="94"/>
      <c r="U730" s="90"/>
      <c r="V730" s="91"/>
      <c r="W730" s="92"/>
      <c r="X730" s="93"/>
      <c r="Y730" s="93"/>
      <c r="Z730" s="93"/>
      <c r="AA730" s="93"/>
    </row>
    <row r="731" spans="1:27" x14ac:dyDescent="0.25">
      <c r="A731" s="88"/>
      <c r="B731" s="89" t="s">
        <v>137</v>
      </c>
      <c r="C731" s="90" t="s">
        <v>16</v>
      </c>
      <c r="D731" s="91" t="s">
        <v>58</v>
      </c>
      <c r="E731" s="92">
        <v>0</v>
      </c>
      <c r="F731" s="93">
        <v>0</v>
      </c>
      <c r="G731" s="93">
        <v>0</v>
      </c>
      <c r="H731" s="93"/>
      <c r="I731" s="93"/>
      <c r="J731" s="88"/>
      <c r="K731" s="94"/>
      <c r="L731" s="90"/>
      <c r="M731" s="91"/>
      <c r="N731" s="92"/>
      <c r="O731" s="93"/>
      <c r="P731" s="93"/>
      <c r="Q731" s="93"/>
      <c r="R731" s="93"/>
      <c r="S731" s="125"/>
      <c r="T731" s="94"/>
      <c r="U731" s="90"/>
      <c r="V731" s="91"/>
      <c r="W731" s="92"/>
      <c r="X731" s="93"/>
      <c r="Y731" s="93"/>
      <c r="Z731" s="93"/>
      <c r="AA731" s="93"/>
    </row>
    <row r="732" spans="1:27" x14ac:dyDescent="0.25">
      <c r="A732" s="88"/>
      <c r="B732" s="89" t="s">
        <v>117</v>
      </c>
      <c r="C732" s="90" t="s">
        <v>6</v>
      </c>
      <c r="D732" s="91" t="s">
        <v>59</v>
      </c>
      <c r="E732" s="92">
        <v>0</v>
      </c>
      <c r="F732" s="93">
        <v>0</v>
      </c>
      <c r="G732" s="93">
        <v>0</v>
      </c>
      <c r="H732" s="93"/>
      <c r="I732" s="93"/>
      <c r="J732" s="88"/>
      <c r="K732" s="94"/>
      <c r="L732" s="90"/>
      <c r="M732" s="91"/>
      <c r="N732" s="92"/>
      <c r="O732" s="93"/>
      <c r="P732" s="93"/>
      <c r="Q732" s="93"/>
      <c r="R732" s="93"/>
      <c r="S732" s="125"/>
      <c r="T732" s="94"/>
      <c r="U732" s="90"/>
      <c r="V732" s="91"/>
      <c r="W732" s="92"/>
      <c r="X732" s="93"/>
      <c r="Y732" s="93"/>
      <c r="Z732" s="93"/>
      <c r="AA732" s="93"/>
    </row>
    <row r="733" spans="1:27" x14ac:dyDescent="0.25">
      <c r="A733" s="88"/>
      <c r="B733" s="89" t="s">
        <v>262</v>
      </c>
      <c r="C733" s="90" t="s">
        <v>16</v>
      </c>
      <c r="D733" s="91" t="s">
        <v>62</v>
      </c>
      <c r="E733" s="92">
        <v>0</v>
      </c>
      <c r="F733" s="93">
        <v>0</v>
      </c>
      <c r="G733" s="93">
        <v>0</v>
      </c>
      <c r="H733" s="93"/>
      <c r="I733" s="93"/>
      <c r="J733" s="88"/>
      <c r="K733" s="94"/>
      <c r="L733" s="90"/>
      <c r="M733" s="91"/>
      <c r="N733" s="92"/>
      <c r="O733" s="93"/>
      <c r="P733" s="93"/>
      <c r="Q733" s="93"/>
      <c r="R733" s="93"/>
      <c r="S733" s="125"/>
      <c r="T733" s="94"/>
      <c r="U733" s="90"/>
      <c r="V733" s="91"/>
      <c r="W733" s="92"/>
      <c r="X733" s="93"/>
      <c r="Y733" s="93"/>
      <c r="Z733" s="93"/>
      <c r="AA733" s="93"/>
    </row>
    <row r="734" spans="1:27" x14ac:dyDescent="0.25">
      <c r="A734" s="88"/>
      <c r="B734" s="89" t="s">
        <v>218</v>
      </c>
      <c r="C734" s="90" t="s">
        <v>6</v>
      </c>
      <c r="D734" s="91" t="s">
        <v>62</v>
      </c>
      <c r="E734" s="92">
        <v>0</v>
      </c>
      <c r="F734" s="93">
        <v>0</v>
      </c>
      <c r="G734" s="93">
        <v>0</v>
      </c>
      <c r="H734" s="93"/>
      <c r="I734" s="93"/>
      <c r="J734" s="88"/>
      <c r="K734" s="94"/>
      <c r="L734" s="90"/>
      <c r="M734" s="91"/>
      <c r="N734" s="92"/>
      <c r="O734" s="93"/>
      <c r="P734" s="93"/>
      <c r="Q734" s="93"/>
      <c r="R734" s="93"/>
      <c r="S734" s="125"/>
      <c r="T734" s="94"/>
      <c r="U734" s="90"/>
      <c r="V734" s="91"/>
      <c r="W734" s="92"/>
      <c r="X734" s="93"/>
      <c r="Y734" s="93"/>
      <c r="Z734" s="93"/>
      <c r="AA734" s="93"/>
    </row>
    <row r="735" spans="1:27" x14ac:dyDescent="0.25">
      <c r="A735" s="88"/>
      <c r="B735" s="89" t="s">
        <v>142</v>
      </c>
      <c r="C735" s="90" t="s">
        <v>6</v>
      </c>
      <c r="D735" s="91" t="s">
        <v>57</v>
      </c>
      <c r="E735" s="92">
        <v>0</v>
      </c>
      <c r="F735" s="93">
        <v>0</v>
      </c>
      <c r="G735" s="93">
        <v>0</v>
      </c>
      <c r="H735" s="93"/>
      <c r="I735" s="93"/>
      <c r="J735" s="88"/>
      <c r="K735" s="94"/>
      <c r="L735" s="90"/>
      <c r="M735" s="91"/>
      <c r="N735" s="92"/>
      <c r="O735" s="93"/>
      <c r="P735" s="93"/>
      <c r="Q735" s="93"/>
      <c r="R735" s="93"/>
      <c r="S735" s="125"/>
      <c r="T735" s="94"/>
      <c r="U735" s="90"/>
      <c r="V735" s="91"/>
      <c r="W735" s="92"/>
      <c r="X735" s="93"/>
      <c r="Y735" s="93"/>
      <c r="Z735" s="93"/>
      <c r="AA735" s="93"/>
    </row>
    <row r="736" spans="1:27" x14ac:dyDescent="0.25">
      <c r="A736" s="88"/>
      <c r="B736" s="89" t="s">
        <v>298</v>
      </c>
      <c r="C736" s="90" t="s">
        <v>6</v>
      </c>
      <c r="D736" s="91" t="s">
        <v>59</v>
      </c>
      <c r="E736" s="92">
        <v>0</v>
      </c>
      <c r="F736" s="93">
        <v>0</v>
      </c>
      <c r="G736" s="93">
        <v>0</v>
      </c>
      <c r="H736" s="93"/>
      <c r="I736" s="93"/>
      <c r="J736" s="88"/>
      <c r="K736" s="94"/>
      <c r="L736" s="90"/>
      <c r="M736" s="91"/>
      <c r="N736" s="92"/>
      <c r="O736" s="93"/>
      <c r="P736" s="93"/>
      <c r="Q736" s="93"/>
      <c r="R736" s="93"/>
      <c r="S736" s="125"/>
      <c r="T736" s="94"/>
      <c r="U736" s="90"/>
      <c r="V736" s="91"/>
      <c r="W736" s="92"/>
      <c r="X736" s="93"/>
      <c r="Y736" s="93"/>
      <c r="Z736" s="93"/>
      <c r="AA736" s="93"/>
    </row>
    <row r="737" spans="1:27" x14ac:dyDescent="0.25">
      <c r="A737" s="88"/>
      <c r="B737" s="89" t="s">
        <v>316</v>
      </c>
      <c r="C737" s="90" t="s">
        <v>6</v>
      </c>
      <c r="D737" s="91" t="s">
        <v>78</v>
      </c>
      <c r="E737" s="92">
        <v>0</v>
      </c>
      <c r="F737" s="93">
        <v>0</v>
      </c>
      <c r="G737" s="93">
        <v>0</v>
      </c>
      <c r="H737" s="93"/>
      <c r="I737" s="93"/>
      <c r="J737" s="88"/>
      <c r="K737" s="94"/>
      <c r="L737" s="90"/>
      <c r="M737" s="91"/>
      <c r="N737" s="92"/>
      <c r="O737" s="93"/>
      <c r="P737" s="93"/>
      <c r="Q737" s="93"/>
      <c r="R737" s="93"/>
      <c r="S737" s="125"/>
      <c r="T737" s="94"/>
      <c r="U737" s="90"/>
      <c r="V737" s="91"/>
      <c r="W737" s="92"/>
      <c r="X737" s="93"/>
      <c r="Y737" s="93"/>
      <c r="Z737" s="93"/>
      <c r="AA737" s="93"/>
    </row>
    <row r="738" spans="1:27" x14ac:dyDescent="0.25">
      <c r="A738" s="88"/>
      <c r="B738" s="89" t="s">
        <v>496</v>
      </c>
      <c r="C738" s="90" t="s">
        <v>6</v>
      </c>
      <c r="D738" s="91" t="s">
        <v>63</v>
      </c>
      <c r="E738" s="92">
        <v>0</v>
      </c>
      <c r="F738" s="93">
        <v>0</v>
      </c>
      <c r="G738" s="93">
        <v>0</v>
      </c>
      <c r="H738" s="93"/>
      <c r="I738" s="93"/>
      <c r="J738" s="88"/>
      <c r="K738" s="94"/>
      <c r="L738" s="90"/>
      <c r="M738" s="91"/>
      <c r="N738" s="92"/>
      <c r="O738" s="93"/>
      <c r="P738" s="93"/>
      <c r="Q738" s="93"/>
      <c r="R738" s="93"/>
      <c r="S738" s="125"/>
      <c r="T738" s="94"/>
      <c r="U738" s="90"/>
      <c r="V738" s="91"/>
      <c r="W738" s="92"/>
      <c r="X738" s="93"/>
      <c r="Y738" s="93"/>
      <c r="Z738" s="93"/>
      <c r="AA738" s="93"/>
    </row>
    <row r="739" spans="1:27" x14ac:dyDescent="0.25">
      <c r="A739" s="88"/>
      <c r="B739" s="89" t="s">
        <v>669</v>
      </c>
      <c r="C739" s="90" t="s">
        <v>6</v>
      </c>
      <c r="D739" s="91" t="s">
        <v>57</v>
      </c>
      <c r="E739" s="92">
        <v>0</v>
      </c>
      <c r="F739" s="93">
        <v>0</v>
      </c>
      <c r="G739" s="93">
        <v>0</v>
      </c>
      <c r="H739" s="93"/>
      <c r="I739" s="93"/>
      <c r="J739" s="88"/>
      <c r="K739" s="94"/>
      <c r="L739" s="90"/>
      <c r="M739" s="91"/>
      <c r="N739" s="92"/>
      <c r="O739" s="93"/>
      <c r="P739" s="93"/>
      <c r="Q739" s="93"/>
      <c r="R739" s="93"/>
      <c r="S739" s="125"/>
      <c r="T739" s="94"/>
      <c r="U739" s="90"/>
      <c r="V739" s="91"/>
      <c r="W739" s="92"/>
      <c r="X739" s="93"/>
      <c r="Y739" s="93"/>
      <c r="Z739" s="93"/>
      <c r="AA739" s="93"/>
    </row>
    <row r="740" spans="1:27" x14ac:dyDescent="0.25">
      <c r="A740" s="88"/>
      <c r="B740" s="89" t="s">
        <v>343</v>
      </c>
      <c r="C740" s="90" t="s">
        <v>16</v>
      </c>
      <c r="D740" s="91" t="s">
        <v>57</v>
      </c>
      <c r="E740" s="92">
        <v>0</v>
      </c>
      <c r="F740" s="93">
        <v>0</v>
      </c>
      <c r="G740" s="93">
        <v>0</v>
      </c>
      <c r="H740" s="93"/>
      <c r="I740" s="93"/>
      <c r="J740" s="88"/>
      <c r="K740" s="94"/>
      <c r="L740" s="90"/>
      <c r="M740" s="91"/>
      <c r="N740" s="92"/>
      <c r="O740" s="93"/>
      <c r="P740" s="93"/>
      <c r="Q740" s="93"/>
      <c r="R740" s="93"/>
      <c r="S740" s="125"/>
      <c r="T740" s="94"/>
      <c r="U740" s="90"/>
      <c r="V740" s="91"/>
      <c r="W740" s="92"/>
      <c r="X740" s="93"/>
      <c r="Y740" s="93"/>
      <c r="Z740" s="93"/>
      <c r="AA740" s="93"/>
    </row>
    <row r="741" spans="1:27" x14ac:dyDescent="0.25">
      <c r="A741" s="88"/>
      <c r="B741" s="89" t="s">
        <v>353</v>
      </c>
      <c r="C741" s="90" t="s">
        <v>16</v>
      </c>
      <c r="D741" s="91" t="s">
        <v>63</v>
      </c>
      <c r="E741" s="92">
        <v>0</v>
      </c>
      <c r="F741" s="93">
        <v>0</v>
      </c>
      <c r="G741" s="93">
        <v>0</v>
      </c>
      <c r="H741" s="93"/>
      <c r="I741" s="93"/>
      <c r="J741" s="88"/>
      <c r="K741" s="94"/>
      <c r="L741" s="90"/>
      <c r="M741" s="91"/>
      <c r="N741" s="92"/>
      <c r="O741" s="93"/>
      <c r="P741" s="93"/>
      <c r="Q741" s="93"/>
      <c r="R741" s="93"/>
      <c r="S741" s="125"/>
      <c r="T741" s="94"/>
      <c r="U741" s="90"/>
      <c r="V741" s="91"/>
      <c r="W741" s="92"/>
      <c r="X741" s="93"/>
      <c r="Y741" s="93"/>
      <c r="Z741" s="93"/>
      <c r="AA741" s="93"/>
    </row>
    <row r="742" spans="1:27" x14ac:dyDescent="0.25">
      <c r="A742" s="88"/>
      <c r="B742" s="89" t="s">
        <v>263</v>
      </c>
      <c r="C742" s="90" t="s">
        <v>6</v>
      </c>
      <c r="D742" s="91" t="s">
        <v>64</v>
      </c>
      <c r="E742" s="92">
        <v>0</v>
      </c>
      <c r="F742" s="93">
        <v>0</v>
      </c>
      <c r="G742" s="93">
        <v>0</v>
      </c>
      <c r="H742" s="93"/>
      <c r="I742" s="93"/>
      <c r="J742" s="88"/>
      <c r="K742" s="94"/>
      <c r="L742" s="90"/>
      <c r="M742" s="91"/>
      <c r="N742" s="92"/>
      <c r="O742" s="93"/>
      <c r="P742" s="93"/>
      <c r="Q742" s="93"/>
      <c r="R742" s="93"/>
      <c r="S742" s="125"/>
      <c r="T742" s="94"/>
      <c r="U742" s="90"/>
      <c r="V742" s="91"/>
      <c r="W742" s="92"/>
      <c r="X742" s="93"/>
      <c r="Y742" s="93"/>
      <c r="Z742" s="93"/>
      <c r="AA742" s="93"/>
    </row>
    <row r="743" spans="1:27" x14ac:dyDescent="0.25">
      <c r="A743" s="88"/>
      <c r="B743" s="89" t="s">
        <v>657</v>
      </c>
      <c r="C743" s="90" t="s">
        <v>6</v>
      </c>
      <c r="D743" s="91" t="s">
        <v>59</v>
      </c>
      <c r="E743" s="92">
        <v>0</v>
      </c>
      <c r="F743" s="93">
        <v>0</v>
      </c>
      <c r="G743" s="93">
        <v>0</v>
      </c>
      <c r="H743" s="93"/>
      <c r="I743" s="93"/>
      <c r="J743" s="88"/>
      <c r="K743" s="94"/>
      <c r="L743" s="90"/>
      <c r="M743" s="91"/>
      <c r="N743" s="92"/>
      <c r="O743" s="93"/>
      <c r="P743" s="93"/>
      <c r="Q743" s="93"/>
      <c r="R743" s="93"/>
      <c r="S743" s="125"/>
      <c r="T743" s="94"/>
      <c r="U743" s="90"/>
      <c r="V743" s="91"/>
      <c r="W743" s="92"/>
      <c r="X743" s="93"/>
      <c r="Y743" s="93"/>
      <c r="Z743" s="93"/>
      <c r="AA743" s="93"/>
    </row>
    <row r="744" spans="1:27" x14ac:dyDescent="0.25">
      <c r="A744" s="88"/>
      <c r="B744" s="89" t="s">
        <v>295</v>
      </c>
      <c r="C744" s="90" t="s">
        <v>6</v>
      </c>
      <c r="D744" s="91" t="s">
        <v>61</v>
      </c>
      <c r="E744" s="92">
        <v>0</v>
      </c>
      <c r="F744" s="93">
        <v>0</v>
      </c>
      <c r="G744" s="93">
        <v>0</v>
      </c>
      <c r="H744" s="93"/>
      <c r="I744" s="93"/>
      <c r="J744" s="88"/>
      <c r="K744" s="94"/>
      <c r="L744" s="90"/>
      <c r="M744" s="91"/>
      <c r="N744" s="92"/>
      <c r="O744" s="93"/>
      <c r="P744" s="93"/>
      <c r="Q744" s="93"/>
      <c r="R744" s="93"/>
      <c r="S744" s="125"/>
      <c r="T744" s="94"/>
      <c r="U744" s="90"/>
      <c r="V744" s="91"/>
      <c r="W744" s="92"/>
      <c r="X744" s="93"/>
      <c r="Y744" s="93"/>
      <c r="Z744" s="93"/>
      <c r="AA744" s="93"/>
    </row>
    <row r="745" spans="1:27" x14ac:dyDescent="0.25">
      <c r="A745" s="88"/>
      <c r="B745" s="89" t="s">
        <v>168</v>
      </c>
      <c r="C745" s="90" t="s">
        <v>6</v>
      </c>
      <c r="D745" s="91" t="s">
        <v>67</v>
      </c>
      <c r="E745" s="92">
        <v>0</v>
      </c>
      <c r="F745" s="93">
        <v>0</v>
      </c>
      <c r="G745" s="93">
        <v>0</v>
      </c>
      <c r="H745" s="93"/>
      <c r="I745" s="93"/>
      <c r="J745" s="88"/>
      <c r="K745" s="94"/>
      <c r="L745" s="90"/>
      <c r="M745" s="91"/>
      <c r="N745" s="92"/>
      <c r="O745" s="93"/>
      <c r="P745" s="93"/>
      <c r="Q745" s="93"/>
      <c r="R745" s="93"/>
      <c r="S745" s="125"/>
      <c r="T745" s="94"/>
      <c r="U745" s="90"/>
      <c r="V745" s="91"/>
      <c r="W745" s="92"/>
      <c r="X745" s="93"/>
      <c r="Y745" s="93"/>
      <c r="Z745" s="93"/>
      <c r="AA745" s="93"/>
    </row>
    <row r="746" spans="1:27" x14ac:dyDescent="0.25">
      <c r="A746" s="88"/>
      <c r="B746" s="89" t="s">
        <v>141</v>
      </c>
      <c r="C746" s="90" t="s">
        <v>6</v>
      </c>
      <c r="D746" s="91" t="s">
        <v>143</v>
      </c>
      <c r="E746" s="92">
        <v>0</v>
      </c>
      <c r="F746" s="93">
        <v>0</v>
      </c>
      <c r="G746" s="93">
        <v>0</v>
      </c>
      <c r="H746" s="93"/>
      <c r="I746" s="93"/>
      <c r="J746" s="88"/>
      <c r="K746" s="94"/>
      <c r="L746" s="90"/>
      <c r="M746" s="91"/>
      <c r="N746" s="92"/>
      <c r="O746" s="93"/>
      <c r="P746" s="93"/>
      <c r="Q746" s="93"/>
      <c r="R746" s="93"/>
      <c r="S746" s="125"/>
      <c r="T746" s="94"/>
      <c r="U746" s="90"/>
      <c r="V746" s="91"/>
      <c r="W746" s="92"/>
      <c r="X746" s="93"/>
      <c r="Y746" s="93"/>
      <c r="Z746" s="93"/>
      <c r="AA746" s="93"/>
    </row>
    <row r="747" spans="1:27" x14ac:dyDescent="0.25">
      <c r="A747" s="88"/>
      <c r="B747" s="89" t="s">
        <v>270</v>
      </c>
      <c r="C747" s="90" t="s">
        <v>6</v>
      </c>
      <c r="D747" s="91" t="s">
        <v>69</v>
      </c>
      <c r="E747" s="92">
        <v>0</v>
      </c>
      <c r="F747" s="93">
        <v>0</v>
      </c>
      <c r="G747" s="93">
        <v>0</v>
      </c>
      <c r="H747" s="93"/>
      <c r="I747" s="93"/>
      <c r="J747" s="88"/>
      <c r="K747" s="94"/>
      <c r="L747" s="90"/>
      <c r="M747" s="91"/>
      <c r="N747" s="92"/>
      <c r="O747" s="93"/>
      <c r="P747" s="93"/>
      <c r="Q747" s="93"/>
      <c r="R747" s="93"/>
      <c r="S747" s="125"/>
      <c r="T747" s="94"/>
      <c r="U747" s="90"/>
      <c r="V747" s="91"/>
      <c r="W747" s="92"/>
      <c r="X747" s="93"/>
      <c r="Y747" s="93"/>
      <c r="Z747" s="93"/>
      <c r="AA747" s="93"/>
    </row>
    <row r="748" spans="1:27" x14ac:dyDescent="0.25">
      <c r="A748" s="88"/>
      <c r="B748" s="89" t="s">
        <v>254</v>
      </c>
      <c r="C748" s="90" t="s">
        <v>6</v>
      </c>
      <c r="D748" s="91" t="s">
        <v>122</v>
      </c>
      <c r="E748" s="92">
        <v>0</v>
      </c>
      <c r="F748" s="93">
        <v>0</v>
      </c>
      <c r="G748" s="93">
        <v>0</v>
      </c>
      <c r="H748" s="93"/>
      <c r="I748" s="93"/>
      <c r="J748" s="88"/>
      <c r="K748" s="94"/>
      <c r="L748" s="90"/>
      <c r="M748" s="91"/>
      <c r="N748" s="92"/>
      <c r="O748" s="93"/>
      <c r="P748" s="93"/>
      <c r="Q748" s="93"/>
      <c r="R748" s="93"/>
      <c r="S748" s="125"/>
      <c r="T748" s="94"/>
      <c r="U748" s="90"/>
      <c r="V748" s="91"/>
      <c r="W748" s="92"/>
      <c r="X748" s="93"/>
      <c r="Y748" s="93"/>
      <c r="Z748" s="93"/>
      <c r="AA748" s="93"/>
    </row>
    <row r="749" spans="1:27" x14ac:dyDescent="0.25">
      <c r="A749" s="88"/>
      <c r="B749" s="89" t="s">
        <v>72</v>
      </c>
      <c r="C749" s="90" t="s">
        <v>6</v>
      </c>
      <c r="D749" s="91" t="s">
        <v>57</v>
      </c>
      <c r="E749" s="92">
        <v>0</v>
      </c>
      <c r="F749" s="93">
        <v>0</v>
      </c>
      <c r="G749" s="93">
        <v>0</v>
      </c>
      <c r="H749" s="93"/>
      <c r="I749" s="93"/>
      <c r="J749" s="88"/>
      <c r="K749" s="94"/>
      <c r="L749" s="90"/>
      <c r="M749" s="91"/>
      <c r="N749" s="92"/>
      <c r="O749" s="93"/>
      <c r="P749" s="93"/>
      <c r="Q749" s="93"/>
      <c r="R749" s="93"/>
      <c r="S749" s="125"/>
      <c r="T749" s="94"/>
      <c r="U749" s="90"/>
      <c r="V749" s="91"/>
      <c r="W749" s="92"/>
      <c r="X749" s="93"/>
      <c r="Y749" s="93"/>
      <c r="Z749" s="93"/>
      <c r="AA749" s="93"/>
    </row>
    <row r="750" spans="1:27" x14ac:dyDescent="0.25">
      <c r="A750" s="88"/>
      <c r="B750" s="89" t="s">
        <v>404</v>
      </c>
      <c r="C750" s="90" t="s">
        <v>6</v>
      </c>
      <c r="D750" s="91" t="s">
        <v>96</v>
      </c>
      <c r="E750" s="92">
        <v>0</v>
      </c>
      <c r="F750" s="93">
        <v>0</v>
      </c>
      <c r="G750" s="93">
        <v>0</v>
      </c>
      <c r="H750" s="93"/>
      <c r="I750" s="93"/>
      <c r="J750" s="88"/>
      <c r="K750" s="94"/>
      <c r="L750" s="90"/>
      <c r="M750" s="91"/>
      <c r="N750" s="92"/>
      <c r="O750" s="93"/>
      <c r="P750" s="93"/>
      <c r="Q750" s="93"/>
      <c r="R750" s="93"/>
      <c r="S750" s="125"/>
      <c r="T750" s="94"/>
      <c r="U750" s="90"/>
      <c r="V750" s="91"/>
      <c r="W750" s="92"/>
      <c r="X750" s="93"/>
      <c r="Y750" s="93"/>
      <c r="Z750" s="93"/>
      <c r="AA750" s="93"/>
    </row>
    <row r="751" spans="1:27" x14ac:dyDescent="0.25">
      <c r="A751" s="88"/>
      <c r="B751" s="89" t="s">
        <v>450</v>
      </c>
      <c r="C751" s="90" t="s">
        <v>6</v>
      </c>
      <c r="D751" s="91" t="s">
        <v>96</v>
      </c>
      <c r="E751" s="92">
        <v>0</v>
      </c>
      <c r="F751" s="93">
        <v>0</v>
      </c>
      <c r="G751" s="93">
        <v>0</v>
      </c>
      <c r="H751" s="93"/>
      <c r="I751" s="93"/>
      <c r="J751" s="88"/>
      <c r="K751" s="94"/>
      <c r="L751" s="90"/>
      <c r="M751" s="91"/>
      <c r="N751" s="92"/>
      <c r="O751" s="93"/>
      <c r="P751" s="93"/>
      <c r="Q751" s="93"/>
      <c r="R751" s="93"/>
      <c r="S751" s="125"/>
      <c r="T751" s="94"/>
      <c r="U751" s="90"/>
      <c r="V751" s="91"/>
      <c r="W751" s="92"/>
      <c r="X751" s="93"/>
      <c r="Y751" s="93"/>
      <c r="Z751" s="93"/>
      <c r="AA751" s="93"/>
    </row>
    <row r="752" spans="1:27" x14ac:dyDescent="0.25">
      <c r="A752" s="88"/>
      <c r="B752" s="89" t="s">
        <v>318</v>
      </c>
      <c r="C752" s="90" t="s">
        <v>6</v>
      </c>
      <c r="D752" s="91" t="s">
        <v>78</v>
      </c>
      <c r="E752" s="92">
        <v>0</v>
      </c>
      <c r="F752" s="93">
        <v>0</v>
      </c>
      <c r="G752" s="93">
        <v>0</v>
      </c>
      <c r="H752" s="93"/>
      <c r="I752" s="93"/>
      <c r="J752" s="88"/>
      <c r="K752" s="94"/>
      <c r="L752" s="90"/>
      <c r="M752" s="91"/>
      <c r="N752" s="92"/>
      <c r="O752" s="93"/>
      <c r="P752" s="93"/>
      <c r="Q752" s="93"/>
      <c r="R752" s="93"/>
      <c r="S752" s="125"/>
      <c r="T752" s="94"/>
      <c r="U752" s="90"/>
      <c r="V752" s="91"/>
      <c r="W752" s="92"/>
      <c r="X752" s="93"/>
      <c r="Y752" s="93"/>
      <c r="Z752" s="93"/>
      <c r="AA752" s="93"/>
    </row>
    <row r="753" spans="1:27" x14ac:dyDescent="0.25">
      <c r="A753" s="88"/>
      <c r="B753" s="89" t="s">
        <v>127</v>
      </c>
      <c r="C753" s="90" t="s">
        <v>6</v>
      </c>
      <c r="D753" s="91" t="s">
        <v>62</v>
      </c>
      <c r="E753" s="92">
        <v>0</v>
      </c>
      <c r="F753" s="93">
        <v>0</v>
      </c>
      <c r="G753" s="93">
        <v>0</v>
      </c>
      <c r="H753" s="93"/>
      <c r="I753" s="93"/>
      <c r="J753" s="88"/>
      <c r="K753" s="94"/>
      <c r="L753" s="90"/>
      <c r="M753" s="91"/>
      <c r="N753" s="92"/>
      <c r="O753" s="93"/>
      <c r="P753" s="93"/>
      <c r="Q753" s="93"/>
      <c r="R753" s="93"/>
      <c r="S753" s="125"/>
      <c r="T753" s="94"/>
      <c r="U753" s="90"/>
      <c r="V753" s="91"/>
      <c r="W753" s="92"/>
      <c r="X753" s="93"/>
      <c r="Y753" s="93"/>
      <c r="Z753" s="93"/>
      <c r="AA753" s="93"/>
    </row>
    <row r="754" spans="1:27" x14ac:dyDescent="0.25">
      <c r="A754" s="88"/>
      <c r="B754" s="89" t="s">
        <v>679</v>
      </c>
      <c r="C754" s="90" t="s">
        <v>6</v>
      </c>
      <c r="D754" s="91" t="s">
        <v>78</v>
      </c>
      <c r="E754" s="92">
        <v>0</v>
      </c>
      <c r="F754" s="93">
        <v>0</v>
      </c>
      <c r="G754" s="93">
        <v>0</v>
      </c>
      <c r="H754" s="93"/>
      <c r="I754" s="93"/>
      <c r="J754" s="88"/>
      <c r="K754" s="94"/>
      <c r="L754" s="90"/>
      <c r="M754" s="91"/>
      <c r="N754" s="92"/>
      <c r="O754" s="93"/>
      <c r="P754" s="93"/>
      <c r="Q754" s="93"/>
      <c r="R754" s="93"/>
      <c r="S754" s="125"/>
      <c r="T754" s="94"/>
      <c r="U754" s="90"/>
      <c r="V754" s="91"/>
      <c r="W754" s="92"/>
      <c r="X754" s="93"/>
      <c r="Y754" s="93"/>
      <c r="Z754" s="93"/>
      <c r="AA754" s="93"/>
    </row>
    <row r="755" spans="1:27" x14ac:dyDescent="0.25">
      <c r="A755" s="88"/>
      <c r="B755" s="89" t="s">
        <v>416</v>
      </c>
      <c r="C755" s="90" t="s">
        <v>6</v>
      </c>
      <c r="D755" s="91" t="s">
        <v>76</v>
      </c>
      <c r="E755" s="92">
        <v>0</v>
      </c>
      <c r="F755" s="93">
        <v>0</v>
      </c>
      <c r="G755" s="93">
        <v>0</v>
      </c>
      <c r="H755" s="93"/>
      <c r="I755" s="93"/>
      <c r="J755" s="88"/>
      <c r="K755" s="94"/>
      <c r="L755" s="90"/>
      <c r="M755" s="91"/>
      <c r="N755" s="92"/>
      <c r="O755" s="93"/>
      <c r="P755" s="93"/>
      <c r="Q755" s="93"/>
      <c r="R755" s="93"/>
      <c r="S755" s="125"/>
      <c r="T755" s="94"/>
      <c r="U755" s="90"/>
      <c r="V755" s="91"/>
      <c r="W755" s="92"/>
      <c r="X755" s="93"/>
      <c r="Y755" s="93"/>
      <c r="Z755" s="93"/>
      <c r="AA755" s="93"/>
    </row>
    <row r="756" spans="1:27" x14ac:dyDescent="0.25">
      <c r="A756" s="88"/>
      <c r="B756" s="89" t="s">
        <v>131</v>
      </c>
      <c r="C756" s="90" t="s">
        <v>6</v>
      </c>
      <c r="D756" s="91" t="s">
        <v>61</v>
      </c>
      <c r="E756" s="92">
        <v>0</v>
      </c>
      <c r="F756" s="93">
        <v>0</v>
      </c>
      <c r="G756" s="93">
        <v>0</v>
      </c>
      <c r="H756" s="93"/>
      <c r="I756" s="93"/>
      <c r="J756" s="88"/>
      <c r="K756" s="94"/>
      <c r="L756" s="90"/>
      <c r="M756" s="91"/>
      <c r="N756" s="92"/>
      <c r="O756" s="93"/>
      <c r="P756" s="93"/>
      <c r="Q756" s="93"/>
      <c r="R756" s="93"/>
      <c r="S756" s="125"/>
      <c r="T756" s="94"/>
      <c r="U756" s="90"/>
      <c r="V756" s="91"/>
      <c r="W756" s="92"/>
      <c r="X756" s="93"/>
      <c r="Y756" s="93"/>
      <c r="Z756" s="93"/>
      <c r="AA756" s="93"/>
    </row>
    <row r="757" spans="1:27" x14ac:dyDescent="0.25">
      <c r="A757" s="88"/>
      <c r="B757" s="89" t="s">
        <v>339</v>
      </c>
      <c r="C757" s="90" t="s">
        <v>6</v>
      </c>
      <c r="D757" s="91" t="s">
        <v>69</v>
      </c>
      <c r="E757" s="92">
        <v>0</v>
      </c>
      <c r="F757" s="93">
        <v>0</v>
      </c>
      <c r="G757" s="93">
        <v>0</v>
      </c>
      <c r="H757" s="93"/>
      <c r="I757" s="93"/>
      <c r="J757" s="88"/>
      <c r="K757" s="94"/>
      <c r="L757" s="90"/>
      <c r="M757" s="91"/>
      <c r="N757" s="92"/>
      <c r="O757" s="93"/>
      <c r="P757" s="93"/>
      <c r="Q757" s="93"/>
      <c r="R757" s="93"/>
      <c r="S757" s="125"/>
      <c r="T757" s="94"/>
      <c r="U757" s="90"/>
      <c r="V757" s="91"/>
      <c r="W757" s="92"/>
      <c r="X757" s="93"/>
      <c r="Y757" s="93"/>
      <c r="Z757" s="93"/>
      <c r="AA757" s="93"/>
    </row>
    <row r="758" spans="1:27" x14ac:dyDescent="0.25">
      <c r="A758" s="88"/>
      <c r="B758" s="89" t="s">
        <v>382</v>
      </c>
      <c r="C758" s="90" t="s">
        <v>16</v>
      </c>
      <c r="D758" s="91" t="s">
        <v>64</v>
      </c>
      <c r="E758" s="92">
        <v>0</v>
      </c>
      <c r="F758" s="93">
        <v>0</v>
      </c>
      <c r="G758" s="93">
        <v>0</v>
      </c>
      <c r="H758" s="93"/>
      <c r="I758" s="93"/>
      <c r="J758" s="88"/>
      <c r="K758" s="94"/>
      <c r="L758" s="90"/>
      <c r="M758" s="91"/>
      <c r="N758" s="92"/>
      <c r="O758" s="93"/>
      <c r="P758" s="93"/>
      <c r="Q758" s="93"/>
      <c r="R758" s="93"/>
      <c r="S758" s="125"/>
      <c r="T758" s="94"/>
      <c r="U758" s="90"/>
      <c r="V758" s="91"/>
      <c r="W758" s="92"/>
      <c r="X758" s="93"/>
      <c r="Y758" s="93"/>
      <c r="Z758" s="93"/>
      <c r="AA758" s="93"/>
    </row>
    <row r="759" spans="1:27" x14ac:dyDescent="0.25">
      <c r="A759" s="88"/>
      <c r="B759" s="89" t="s">
        <v>229</v>
      </c>
      <c r="C759" s="90" t="s">
        <v>6</v>
      </c>
      <c r="D759" s="91" t="s">
        <v>80</v>
      </c>
      <c r="E759" s="92">
        <v>0</v>
      </c>
      <c r="F759" s="93">
        <v>0</v>
      </c>
      <c r="G759" s="93">
        <v>0</v>
      </c>
      <c r="H759" s="93"/>
      <c r="I759" s="93"/>
      <c r="J759" s="88"/>
      <c r="K759" s="94"/>
      <c r="L759" s="90"/>
      <c r="M759" s="91"/>
      <c r="N759" s="92"/>
      <c r="O759" s="93"/>
      <c r="P759" s="93"/>
      <c r="Q759" s="93"/>
      <c r="R759" s="93"/>
      <c r="S759" s="125"/>
      <c r="T759" s="94"/>
      <c r="U759" s="90"/>
      <c r="V759" s="91"/>
      <c r="W759" s="92"/>
      <c r="X759" s="93"/>
      <c r="Y759" s="93"/>
      <c r="Z759" s="93"/>
      <c r="AA759" s="93"/>
    </row>
    <row r="760" spans="1:27" x14ac:dyDescent="0.25">
      <c r="A760" s="88"/>
      <c r="B760" s="89" t="s">
        <v>467</v>
      </c>
      <c r="C760" s="90" t="s">
        <v>6</v>
      </c>
      <c r="D760" s="91" t="s">
        <v>62</v>
      </c>
      <c r="E760" s="92">
        <v>0</v>
      </c>
      <c r="F760" s="93">
        <v>0</v>
      </c>
      <c r="G760" s="93">
        <v>0</v>
      </c>
      <c r="H760" s="93"/>
      <c r="I760" s="93"/>
      <c r="J760" s="88"/>
      <c r="K760" s="94"/>
      <c r="L760" s="90"/>
      <c r="M760" s="91"/>
      <c r="N760" s="92"/>
      <c r="O760" s="93"/>
      <c r="P760" s="93"/>
      <c r="Q760" s="93"/>
      <c r="R760" s="93"/>
      <c r="S760" s="125"/>
      <c r="T760" s="94"/>
      <c r="U760" s="90"/>
      <c r="V760" s="91"/>
      <c r="W760" s="92"/>
      <c r="X760" s="93"/>
      <c r="Y760" s="93"/>
      <c r="Z760" s="93"/>
      <c r="AA760" s="93"/>
    </row>
    <row r="761" spans="1:27" x14ac:dyDescent="0.25">
      <c r="A761" s="88"/>
      <c r="B761" s="89" t="s">
        <v>280</v>
      </c>
      <c r="C761" s="90" t="s">
        <v>6</v>
      </c>
      <c r="D761" s="91" t="s">
        <v>62</v>
      </c>
      <c r="E761" s="92">
        <v>0</v>
      </c>
      <c r="F761" s="93">
        <v>0</v>
      </c>
      <c r="G761" s="93">
        <v>0</v>
      </c>
      <c r="H761" s="93"/>
      <c r="I761" s="93"/>
      <c r="J761" s="88"/>
      <c r="K761" s="94"/>
      <c r="L761" s="90"/>
      <c r="M761" s="91"/>
      <c r="N761" s="92"/>
      <c r="O761" s="93"/>
      <c r="P761" s="93"/>
      <c r="Q761" s="93"/>
      <c r="R761" s="93"/>
      <c r="S761" s="125"/>
      <c r="T761" s="94"/>
      <c r="U761" s="90"/>
      <c r="V761" s="91"/>
      <c r="W761" s="92"/>
      <c r="X761" s="93"/>
      <c r="Y761" s="93"/>
      <c r="Z761" s="93"/>
      <c r="AA761" s="93"/>
    </row>
    <row r="762" spans="1:27" x14ac:dyDescent="0.25">
      <c r="A762" s="88"/>
      <c r="B762" s="89" t="s">
        <v>511</v>
      </c>
      <c r="C762" s="90" t="s">
        <v>6</v>
      </c>
      <c r="D762" s="91" t="s">
        <v>78</v>
      </c>
      <c r="E762" s="92">
        <v>0</v>
      </c>
      <c r="F762" s="93">
        <v>0</v>
      </c>
      <c r="G762" s="93">
        <v>0</v>
      </c>
      <c r="H762" s="93"/>
      <c r="I762" s="93"/>
      <c r="J762" s="88"/>
      <c r="K762" s="94"/>
      <c r="L762" s="90"/>
      <c r="M762" s="91"/>
      <c r="N762" s="92"/>
      <c r="O762" s="93"/>
      <c r="P762" s="93"/>
      <c r="Q762" s="93"/>
      <c r="R762" s="93"/>
      <c r="S762" s="125"/>
      <c r="T762" s="94"/>
      <c r="U762" s="90"/>
      <c r="V762" s="91"/>
      <c r="W762" s="92"/>
      <c r="X762" s="93"/>
      <c r="Y762" s="93"/>
      <c r="Z762" s="93"/>
      <c r="AA762" s="93"/>
    </row>
    <row r="763" spans="1:27" x14ac:dyDescent="0.25">
      <c r="A763" s="88"/>
      <c r="B763" s="89" t="s">
        <v>85</v>
      </c>
      <c r="C763" s="90" t="s">
        <v>6</v>
      </c>
      <c r="D763" s="91" t="s">
        <v>58</v>
      </c>
      <c r="E763" s="92">
        <v>0</v>
      </c>
      <c r="F763" s="93">
        <v>0</v>
      </c>
      <c r="G763" s="93">
        <v>0</v>
      </c>
      <c r="H763" s="93"/>
      <c r="I763" s="93"/>
      <c r="J763" s="88"/>
      <c r="K763" s="94"/>
      <c r="L763" s="90"/>
      <c r="M763" s="91"/>
      <c r="N763" s="92"/>
      <c r="O763" s="93"/>
      <c r="P763" s="93"/>
      <c r="Q763" s="93"/>
      <c r="R763" s="93"/>
      <c r="S763" s="125"/>
      <c r="T763" s="94"/>
      <c r="U763" s="90"/>
      <c r="V763" s="91"/>
      <c r="W763" s="92"/>
      <c r="X763" s="93"/>
      <c r="Y763" s="93"/>
      <c r="Z763" s="93"/>
      <c r="AA763" s="93"/>
    </row>
    <row r="764" spans="1:27" x14ac:dyDescent="0.25">
      <c r="A764" s="88"/>
      <c r="B764" s="89" t="s">
        <v>678</v>
      </c>
      <c r="C764" s="90" t="s">
        <v>6</v>
      </c>
      <c r="D764" s="91" t="s">
        <v>58</v>
      </c>
      <c r="E764" s="92">
        <v>0</v>
      </c>
      <c r="F764" s="93">
        <v>0</v>
      </c>
      <c r="G764" s="93">
        <v>0</v>
      </c>
      <c r="H764" s="93"/>
      <c r="I764" s="93"/>
      <c r="J764" s="88"/>
      <c r="K764" s="94"/>
      <c r="L764" s="90"/>
      <c r="M764" s="91"/>
      <c r="N764" s="92"/>
      <c r="O764" s="93"/>
      <c r="P764" s="93"/>
      <c r="Q764" s="93"/>
      <c r="R764" s="93"/>
      <c r="S764" s="125"/>
      <c r="T764" s="94"/>
      <c r="U764" s="90"/>
      <c r="V764" s="91"/>
      <c r="W764" s="92"/>
      <c r="X764" s="93"/>
      <c r="Y764" s="93"/>
      <c r="Z764" s="93"/>
      <c r="AA764" s="93"/>
    </row>
    <row r="765" spans="1:27" x14ac:dyDescent="0.25">
      <c r="A765" s="88"/>
      <c r="B765" s="89" t="s">
        <v>134</v>
      </c>
      <c r="C765" s="90" t="s">
        <v>6</v>
      </c>
      <c r="D765" s="91" t="s">
        <v>59</v>
      </c>
      <c r="E765" s="92">
        <v>0</v>
      </c>
      <c r="F765" s="93">
        <v>0</v>
      </c>
      <c r="G765" s="93">
        <v>0</v>
      </c>
      <c r="H765" s="93"/>
      <c r="I765" s="93"/>
      <c r="J765" s="88"/>
      <c r="K765" s="94"/>
      <c r="L765" s="90"/>
      <c r="M765" s="91"/>
      <c r="N765" s="92"/>
      <c r="O765" s="93"/>
      <c r="P765" s="93"/>
      <c r="Q765" s="93"/>
      <c r="R765" s="93"/>
      <c r="S765" s="125"/>
      <c r="T765" s="94"/>
      <c r="U765" s="90"/>
      <c r="V765" s="91"/>
      <c r="W765" s="92"/>
      <c r="X765" s="93"/>
      <c r="Y765" s="93"/>
      <c r="Z765" s="93"/>
      <c r="AA765" s="93"/>
    </row>
    <row r="766" spans="1:27" x14ac:dyDescent="0.25">
      <c r="A766" s="88"/>
      <c r="B766" s="89" t="s">
        <v>331</v>
      </c>
      <c r="C766" s="90" t="s">
        <v>6</v>
      </c>
      <c r="D766" s="91" t="s">
        <v>62</v>
      </c>
      <c r="E766" s="92">
        <v>0</v>
      </c>
      <c r="F766" s="93">
        <v>0</v>
      </c>
      <c r="G766" s="93">
        <v>0</v>
      </c>
      <c r="H766" s="93"/>
      <c r="I766" s="93"/>
      <c r="J766" s="88"/>
      <c r="K766" s="94"/>
      <c r="L766" s="90"/>
      <c r="M766" s="91"/>
      <c r="N766" s="92"/>
      <c r="O766" s="93"/>
      <c r="P766" s="93"/>
      <c r="Q766" s="93"/>
      <c r="R766" s="93"/>
      <c r="S766" s="125"/>
      <c r="T766" s="94"/>
      <c r="U766" s="90"/>
      <c r="V766" s="91"/>
      <c r="W766" s="92"/>
      <c r="X766" s="93"/>
      <c r="Y766" s="93"/>
      <c r="Z766" s="93"/>
      <c r="AA766" s="93"/>
    </row>
    <row r="767" spans="1:27" x14ac:dyDescent="0.25">
      <c r="A767" s="88"/>
      <c r="B767" s="89" t="s">
        <v>308</v>
      </c>
      <c r="C767" s="90" t="s">
        <v>6</v>
      </c>
      <c r="D767" s="91" t="s">
        <v>77</v>
      </c>
      <c r="E767" s="92">
        <v>0</v>
      </c>
      <c r="F767" s="93">
        <v>0</v>
      </c>
      <c r="G767" s="93">
        <v>0</v>
      </c>
      <c r="H767" s="93"/>
      <c r="I767" s="93"/>
      <c r="J767" s="88"/>
      <c r="K767" s="94"/>
      <c r="L767" s="90"/>
      <c r="M767" s="91"/>
      <c r="N767" s="92"/>
      <c r="O767" s="93"/>
      <c r="P767" s="93"/>
      <c r="Q767" s="93"/>
      <c r="R767" s="93"/>
      <c r="S767" s="125"/>
      <c r="T767" s="94"/>
      <c r="U767" s="90"/>
      <c r="V767" s="91"/>
      <c r="W767" s="92"/>
      <c r="X767" s="93"/>
      <c r="Y767" s="93"/>
      <c r="Z767" s="93"/>
      <c r="AA767" s="93"/>
    </row>
    <row r="768" spans="1:27" x14ac:dyDescent="0.25">
      <c r="A768" s="88"/>
      <c r="B768" s="89" t="s">
        <v>371</v>
      </c>
      <c r="C768" s="90" t="s">
        <v>6</v>
      </c>
      <c r="D768" s="91" t="s">
        <v>380</v>
      </c>
      <c r="E768" s="92">
        <v>0</v>
      </c>
      <c r="F768" s="93">
        <v>0</v>
      </c>
      <c r="G768" s="93">
        <v>0</v>
      </c>
      <c r="H768" s="93"/>
      <c r="I768" s="93"/>
      <c r="J768" s="88"/>
      <c r="K768" s="94"/>
      <c r="L768" s="90"/>
      <c r="M768" s="91"/>
      <c r="N768" s="92"/>
      <c r="O768" s="93"/>
      <c r="P768" s="93"/>
      <c r="Q768" s="93"/>
      <c r="R768" s="93"/>
      <c r="S768" s="125"/>
      <c r="T768" s="94"/>
      <c r="U768" s="90"/>
      <c r="V768" s="91"/>
      <c r="W768" s="92"/>
      <c r="X768" s="93"/>
      <c r="Y768" s="93"/>
      <c r="Z768" s="93"/>
      <c r="AA768" s="93"/>
    </row>
    <row r="769" spans="1:27" x14ac:dyDescent="0.25">
      <c r="A769" s="88"/>
      <c r="B769" s="89" t="s">
        <v>227</v>
      </c>
      <c r="C769" s="90" t="s">
        <v>6</v>
      </c>
      <c r="D769" s="91" t="s">
        <v>59</v>
      </c>
      <c r="E769" s="92">
        <v>0</v>
      </c>
      <c r="F769" s="93">
        <v>0</v>
      </c>
      <c r="G769" s="93">
        <v>0</v>
      </c>
      <c r="H769" s="93"/>
      <c r="I769" s="93"/>
      <c r="J769" s="88"/>
      <c r="K769" s="94"/>
      <c r="L769" s="90"/>
      <c r="M769" s="91"/>
      <c r="N769" s="92"/>
      <c r="O769" s="93"/>
      <c r="P769" s="93"/>
      <c r="Q769" s="93"/>
      <c r="R769" s="93"/>
      <c r="S769" s="125"/>
      <c r="T769" s="94"/>
      <c r="U769" s="90"/>
      <c r="V769" s="91"/>
      <c r="W769" s="92"/>
      <c r="X769" s="93"/>
      <c r="Y769" s="93"/>
      <c r="Z769" s="93"/>
      <c r="AA769" s="93"/>
    </row>
    <row r="770" spans="1:27" x14ac:dyDescent="0.25">
      <c r="A770" s="88"/>
      <c r="B770" s="89" t="s">
        <v>387</v>
      </c>
      <c r="C770" s="90" t="s">
        <v>6</v>
      </c>
      <c r="D770" s="91" t="s">
        <v>57</v>
      </c>
      <c r="E770" s="92">
        <v>0</v>
      </c>
      <c r="F770" s="93">
        <v>0</v>
      </c>
      <c r="G770" s="93">
        <v>0</v>
      </c>
      <c r="H770" s="93"/>
      <c r="I770" s="93"/>
      <c r="J770" s="88"/>
      <c r="K770" s="94"/>
      <c r="L770" s="90"/>
      <c r="M770" s="91"/>
      <c r="N770" s="92"/>
      <c r="O770" s="93"/>
      <c r="P770" s="93"/>
      <c r="Q770" s="93"/>
      <c r="R770" s="93"/>
      <c r="S770" s="125"/>
      <c r="T770" s="94"/>
      <c r="U770" s="90"/>
      <c r="V770" s="91"/>
      <c r="W770" s="92"/>
      <c r="X770" s="93"/>
      <c r="Y770" s="93"/>
      <c r="Z770" s="93"/>
      <c r="AA770" s="93"/>
    </row>
    <row r="771" spans="1:27" x14ac:dyDescent="0.25">
      <c r="A771" s="88"/>
      <c r="B771" s="89" t="s">
        <v>271</v>
      </c>
      <c r="C771" s="90" t="s">
        <v>6</v>
      </c>
      <c r="D771" s="91" t="s">
        <v>69</v>
      </c>
      <c r="E771" s="92">
        <v>0</v>
      </c>
      <c r="F771" s="93">
        <v>0</v>
      </c>
      <c r="G771" s="93">
        <v>0</v>
      </c>
      <c r="H771" s="93"/>
      <c r="I771" s="93"/>
      <c r="J771" s="88"/>
      <c r="K771" s="94"/>
      <c r="L771" s="90"/>
      <c r="M771" s="91"/>
      <c r="N771" s="92"/>
      <c r="O771" s="93"/>
      <c r="P771" s="93"/>
      <c r="Q771" s="93"/>
      <c r="R771" s="93"/>
      <c r="S771" s="125"/>
      <c r="T771" s="94"/>
      <c r="U771" s="90"/>
      <c r="V771" s="91"/>
      <c r="W771" s="92"/>
      <c r="X771" s="93"/>
      <c r="Y771" s="93"/>
      <c r="Z771" s="93"/>
      <c r="AA771" s="93"/>
    </row>
    <row r="772" spans="1:27" x14ac:dyDescent="0.25">
      <c r="A772" s="88"/>
      <c r="B772" s="89" t="s">
        <v>338</v>
      </c>
      <c r="C772" s="90" t="s">
        <v>6</v>
      </c>
      <c r="D772" s="91" t="s">
        <v>69</v>
      </c>
      <c r="E772" s="92">
        <v>0</v>
      </c>
      <c r="F772" s="93">
        <v>0</v>
      </c>
      <c r="G772" s="93">
        <v>0</v>
      </c>
      <c r="H772" s="93"/>
      <c r="I772" s="93"/>
      <c r="J772" s="88"/>
      <c r="K772" s="94"/>
      <c r="L772" s="90"/>
      <c r="M772" s="91"/>
      <c r="N772" s="92"/>
      <c r="O772" s="93"/>
      <c r="P772" s="93"/>
      <c r="Q772" s="93"/>
      <c r="R772" s="93"/>
      <c r="S772" s="125"/>
      <c r="T772" s="94"/>
      <c r="U772" s="90"/>
      <c r="V772" s="91"/>
      <c r="W772" s="92"/>
      <c r="X772" s="93"/>
      <c r="Y772" s="93"/>
      <c r="Z772" s="93"/>
      <c r="AA772" s="93"/>
    </row>
    <row r="773" spans="1:27" x14ac:dyDescent="0.25">
      <c r="A773" s="88"/>
      <c r="B773" s="89" t="s">
        <v>406</v>
      </c>
      <c r="C773" s="90" t="s">
        <v>6</v>
      </c>
      <c r="D773" s="91" t="s">
        <v>151</v>
      </c>
      <c r="E773" s="92">
        <v>0</v>
      </c>
      <c r="F773" s="93">
        <v>0</v>
      </c>
      <c r="G773" s="93">
        <v>0</v>
      </c>
      <c r="H773" s="93"/>
      <c r="I773" s="93"/>
      <c r="J773" s="88"/>
      <c r="K773" s="94"/>
      <c r="L773" s="90"/>
      <c r="M773" s="91"/>
      <c r="N773" s="92"/>
      <c r="O773" s="93"/>
      <c r="P773" s="93"/>
      <c r="Q773" s="93"/>
      <c r="R773" s="93"/>
      <c r="S773" s="125"/>
      <c r="T773" s="94"/>
      <c r="U773" s="90"/>
      <c r="V773" s="91"/>
      <c r="W773" s="92"/>
      <c r="X773" s="93"/>
      <c r="Y773" s="93"/>
      <c r="Z773" s="93"/>
      <c r="AA773" s="93"/>
    </row>
    <row r="774" spans="1:27" x14ac:dyDescent="0.25">
      <c r="A774" s="88"/>
      <c r="B774" s="89" t="s">
        <v>431</v>
      </c>
      <c r="C774" s="90" t="s">
        <v>6</v>
      </c>
      <c r="D774" s="91" t="s">
        <v>143</v>
      </c>
      <c r="E774" s="92">
        <v>0</v>
      </c>
      <c r="F774" s="93">
        <v>0</v>
      </c>
      <c r="G774" s="93">
        <v>0</v>
      </c>
      <c r="H774" s="93"/>
      <c r="I774" s="93"/>
      <c r="J774" s="88"/>
      <c r="K774" s="94"/>
      <c r="L774" s="90"/>
      <c r="M774" s="91"/>
      <c r="N774" s="92"/>
      <c r="O774" s="93"/>
      <c r="P774" s="93"/>
      <c r="Q774" s="93"/>
      <c r="R774" s="93"/>
      <c r="S774" s="125"/>
      <c r="T774" s="94"/>
      <c r="U774" s="90"/>
      <c r="V774" s="91"/>
      <c r="W774" s="92"/>
      <c r="X774" s="93"/>
      <c r="Y774" s="93"/>
      <c r="Z774" s="93"/>
      <c r="AA774" s="93"/>
    </row>
    <row r="775" spans="1:27" x14ac:dyDescent="0.25">
      <c r="A775" s="88"/>
      <c r="B775" s="89" t="s">
        <v>230</v>
      </c>
      <c r="C775" s="90" t="s">
        <v>6</v>
      </c>
      <c r="D775" s="91" t="s">
        <v>87</v>
      </c>
      <c r="E775" s="92">
        <v>0</v>
      </c>
      <c r="F775" s="93">
        <v>0</v>
      </c>
      <c r="G775" s="93">
        <v>0</v>
      </c>
      <c r="H775" s="93"/>
      <c r="I775" s="93"/>
      <c r="J775" s="88"/>
      <c r="K775" s="94"/>
      <c r="L775" s="90"/>
      <c r="M775" s="91"/>
      <c r="N775" s="92"/>
      <c r="O775" s="93"/>
      <c r="P775" s="93"/>
      <c r="Q775" s="93"/>
      <c r="R775" s="93"/>
      <c r="S775" s="125"/>
      <c r="T775" s="94"/>
      <c r="U775" s="90"/>
      <c r="V775" s="91"/>
      <c r="W775" s="92"/>
      <c r="X775" s="93"/>
      <c r="Y775" s="93"/>
      <c r="Z775" s="93"/>
      <c r="AA775" s="93"/>
    </row>
    <row r="776" spans="1:27" x14ac:dyDescent="0.25">
      <c r="A776" s="88"/>
      <c r="B776" s="89" t="s">
        <v>193</v>
      </c>
      <c r="C776" s="90" t="s">
        <v>6</v>
      </c>
      <c r="D776" s="91" t="s">
        <v>67</v>
      </c>
      <c r="E776" s="92">
        <v>0</v>
      </c>
      <c r="F776" s="93">
        <v>0</v>
      </c>
      <c r="G776" s="93">
        <v>0</v>
      </c>
      <c r="H776" s="93"/>
      <c r="I776" s="93"/>
      <c r="J776" s="88"/>
      <c r="K776" s="94"/>
      <c r="L776" s="90"/>
      <c r="M776" s="91"/>
      <c r="N776" s="92"/>
      <c r="O776" s="93"/>
      <c r="P776" s="93"/>
      <c r="Q776" s="93"/>
      <c r="R776" s="93"/>
      <c r="S776" s="125"/>
      <c r="T776" s="94"/>
      <c r="U776" s="90"/>
      <c r="V776" s="91"/>
      <c r="W776" s="92"/>
      <c r="X776" s="93"/>
      <c r="Y776" s="93"/>
      <c r="Z776" s="93"/>
      <c r="AA776" s="93"/>
    </row>
    <row r="777" spans="1:27" x14ac:dyDescent="0.25">
      <c r="A777" s="88"/>
      <c r="B777" s="89" t="s">
        <v>456</v>
      </c>
      <c r="C777" s="90" t="s">
        <v>6</v>
      </c>
      <c r="D777" s="91" t="s">
        <v>62</v>
      </c>
      <c r="E777" s="92">
        <v>0</v>
      </c>
      <c r="F777" s="93">
        <v>0</v>
      </c>
      <c r="G777" s="93">
        <v>0</v>
      </c>
      <c r="H777" s="93"/>
      <c r="I777" s="93"/>
      <c r="J777" s="88"/>
      <c r="K777" s="94"/>
      <c r="L777" s="90"/>
      <c r="M777" s="91"/>
      <c r="N777" s="92"/>
      <c r="O777" s="93"/>
      <c r="P777" s="93"/>
      <c r="Q777" s="93"/>
      <c r="R777" s="93"/>
      <c r="S777" s="125"/>
      <c r="T777" s="94"/>
      <c r="U777" s="90"/>
      <c r="V777" s="91"/>
      <c r="W777" s="92"/>
      <c r="X777" s="93"/>
      <c r="Y777" s="93"/>
      <c r="Z777" s="93"/>
      <c r="AA777" s="93"/>
    </row>
    <row r="778" spans="1:27" x14ac:dyDescent="0.25">
      <c r="A778" s="88"/>
      <c r="B778" s="89" t="s">
        <v>427</v>
      </c>
      <c r="C778" s="90" t="s">
        <v>6</v>
      </c>
      <c r="D778" s="91" t="s">
        <v>63</v>
      </c>
      <c r="E778" s="92">
        <v>0</v>
      </c>
      <c r="F778" s="93">
        <v>0</v>
      </c>
      <c r="G778" s="93">
        <v>0</v>
      </c>
      <c r="H778" s="93"/>
      <c r="I778" s="93"/>
      <c r="J778" s="88"/>
      <c r="K778" s="94"/>
      <c r="L778" s="90"/>
      <c r="M778" s="91"/>
      <c r="N778" s="92"/>
      <c r="O778" s="93"/>
      <c r="P778" s="93"/>
      <c r="Q778" s="93"/>
      <c r="R778" s="93"/>
      <c r="S778" s="125"/>
      <c r="T778" s="94"/>
      <c r="U778" s="90"/>
      <c r="V778" s="91"/>
      <c r="W778" s="92"/>
      <c r="X778" s="93"/>
      <c r="Y778" s="93"/>
      <c r="Z778" s="93"/>
      <c r="AA778" s="93"/>
    </row>
    <row r="779" spans="1:27" x14ac:dyDescent="0.25">
      <c r="A779" s="88"/>
      <c r="B779" s="94" t="s">
        <v>400</v>
      </c>
      <c r="C779" s="90" t="s">
        <v>6</v>
      </c>
      <c r="D779" s="91" t="s">
        <v>58</v>
      </c>
      <c r="E779" s="92">
        <v>0</v>
      </c>
      <c r="F779" s="93">
        <v>0</v>
      </c>
      <c r="G779" s="93">
        <v>0</v>
      </c>
      <c r="H779" s="93"/>
      <c r="I779" s="93"/>
      <c r="J779" s="88"/>
      <c r="K779" s="94"/>
      <c r="L779" s="90"/>
      <c r="M779" s="91"/>
      <c r="N779" s="92"/>
      <c r="O779" s="93"/>
      <c r="P779" s="93"/>
      <c r="Q779" s="93"/>
      <c r="R779" s="93"/>
      <c r="S779" s="125"/>
      <c r="T779" s="94"/>
      <c r="U779" s="90"/>
      <c r="V779" s="91"/>
      <c r="W779" s="92"/>
      <c r="X779" s="93"/>
      <c r="Y779" s="93"/>
      <c r="Z779" s="93"/>
      <c r="AA779" s="93"/>
    </row>
    <row r="780" spans="1:27" x14ac:dyDescent="0.25">
      <c r="A780" s="88"/>
      <c r="B780" s="94" t="s">
        <v>310</v>
      </c>
      <c r="C780" s="90" t="s">
        <v>6</v>
      </c>
      <c r="D780" s="91" t="s">
        <v>58</v>
      </c>
      <c r="E780" s="92">
        <v>0</v>
      </c>
      <c r="F780" s="93">
        <v>0</v>
      </c>
      <c r="G780" s="93">
        <v>0</v>
      </c>
      <c r="H780" s="93"/>
      <c r="I780" s="93"/>
      <c r="J780" s="88"/>
      <c r="K780" s="94"/>
      <c r="L780" s="90"/>
      <c r="M780" s="91"/>
      <c r="N780" s="92"/>
      <c r="O780" s="93"/>
      <c r="P780" s="93"/>
      <c r="Q780" s="93"/>
      <c r="R780" s="93"/>
      <c r="S780" s="125"/>
      <c r="T780" s="94"/>
      <c r="U780" s="90"/>
      <c r="V780" s="91"/>
      <c r="W780" s="92"/>
      <c r="X780" s="93"/>
      <c r="Y780" s="93"/>
      <c r="Z780" s="93"/>
      <c r="AA780" s="93"/>
    </row>
    <row r="781" spans="1:27" x14ac:dyDescent="0.25">
      <c r="A781" s="88"/>
      <c r="B781" s="89" t="s">
        <v>428</v>
      </c>
      <c r="C781" s="90" t="s">
        <v>6</v>
      </c>
      <c r="D781" s="91" t="s">
        <v>63</v>
      </c>
      <c r="E781" s="92">
        <v>0</v>
      </c>
      <c r="F781" s="93">
        <v>0</v>
      </c>
      <c r="G781" s="93">
        <v>0</v>
      </c>
      <c r="H781" s="93"/>
      <c r="I781" s="93"/>
      <c r="J781" s="88"/>
      <c r="K781" s="94"/>
      <c r="L781" s="90"/>
      <c r="M781" s="91"/>
      <c r="N781" s="92"/>
      <c r="O781" s="93"/>
      <c r="P781" s="93"/>
      <c r="Q781" s="93"/>
      <c r="R781" s="93"/>
      <c r="S781" s="125"/>
      <c r="T781" s="94"/>
      <c r="U781" s="90"/>
      <c r="V781" s="91"/>
      <c r="W781" s="92"/>
      <c r="X781" s="93"/>
      <c r="Y781" s="93"/>
      <c r="Z781" s="93"/>
      <c r="AA781" s="93"/>
    </row>
    <row r="782" spans="1:27" x14ac:dyDescent="0.25">
      <c r="A782" s="88"/>
      <c r="B782" s="89" t="s">
        <v>520</v>
      </c>
      <c r="C782" s="90" t="s">
        <v>6</v>
      </c>
      <c r="D782" s="91" t="s">
        <v>256</v>
      </c>
      <c r="E782" s="92">
        <v>0</v>
      </c>
      <c r="F782" s="93">
        <v>0</v>
      </c>
      <c r="G782" s="93">
        <v>0</v>
      </c>
      <c r="H782" s="93"/>
      <c r="I782" s="93"/>
      <c r="J782" s="88"/>
      <c r="K782" s="94"/>
      <c r="L782" s="90"/>
      <c r="M782" s="91"/>
      <c r="N782" s="92"/>
      <c r="O782" s="93"/>
      <c r="P782" s="93"/>
      <c r="Q782" s="93"/>
      <c r="R782" s="93"/>
      <c r="S782" s="125"/>
      <c r="T782" s="94"/>
      <c r="U782" s="90"/>
      <c r="V782" s="91"/>
      <c r="W782" s="92"/>
      <c r="X782" s="93"/>
      <c r="Y782" s="93"/>
      <c r="Z782" s="93"/>
      <c r="AA782" s="93"/>
    </row>
    <row r="783" spans="1:27" x14ac:dyDescent="0.25">
      <c r="A783" s="88"/>
      <c r="B783" s="89" t="s">
        <v>523</v>
      </c>
      <c r="C783" s="90" t="s">
        <v>6</v>
      </c>
      <c r="D783" s="91" t="s">
        <v>67</v>
      </c>
      <c r="E783" s="92">
        <v>0</v>
      </c>
      <c r="F783" s="93">
        <v>0</v>
      </c>
      <c r="G783" s="93">
        <v>0</v>
      </c>
      <c r="H783" s="93"/>
      <c r="I783" s="93"/>
      <c r="J783" s="88"/>
      <c r="K783" s="94"/>
      <c r="L783" s="90"/>
      <c r="M783" s="91"/>
      <c r="N783" s="92"/>
      <c r="O783" s="93"/>
      <c r="P783" s="93"/>
      <c r="Q783" s="93"/>
      <c r="R783" s="93"/>
      <c r="S783" s="125"/>
      <c r="T783" s="94"/>
      <c r="U783" s="90"/>
      <c r="V783" s="91"/>
      <c r="W783" s="92"/>
      <c r="X783" s="93"/>
      <c r="Y783" s="93"/>
      <c r="Z783" s="93"/>
      <c r="AA783" s="93"/>
    </row>
    <row r="784" spans="1:27" x14ac:dyDescent="0.25">
      <c r="A784" s="88"/>
      <c r="B784" s="89" t="s">
        <v>194</v>
      </c>
      <c r="C784" s="90" t="s">
        <v>6</v>
      </c>
      <c r="D784" s="91" t="s">
        <v>59</v>
      </c>
      <c r="E784" s="92">
        <v>0</v>
      </c>
      <c r="F784" s="93">
        <v>0</v>
      </c>
      <c r="G784" s="93">
        <v>0</v>
      </c>
      <c r="H784" s="93"/>
      <c r="I784" s="93"/>
      <c r="J784" s="88"/>
      <c r="K784" s="94"/>
      <c r="L784" s="90"/>
      <c r="M784" s="91"/>
      <c r="N784" s="92"/>
      <c r="O784" s="93"/>
      <c r="P784" s="93"/>
      <c r="Q784" s="93"/>
      <c r="R784" s="93"/>
      <c r="S784" s="125"/>
      <c r="T784" s="94"/>
      <c r="U784" s="90"/>
      <c r="V784" s="91"/>
      <c r="W784" s="92"/>
      <c r="X784" s="93"/>
      <c r="Y784" s="93"/>
      <c r="Z784" s="93"/>
      <c r="AA784" s="93"/>
    </row>
    <row r="785" spans="1:32" x14ac:dyDescent="0.25">
      <c r="A785" s="88"/>
      <c r="B785" s="89" t="s">
        <v>277</v>
      </c>
      <c r="C785" s="90" t="s">
        <v>6</v>
      </c>
      <c r="D785" s="91" t="s">
        <v>62</v>
      </c>
      <c r="E785" s="92">
        <v>0</v>
      </c>
      <c r="F785" s="93">
        <v>0</v>
      </c>
      <c r="G785" s="93">
        <v>0</v>
      </c>
      <c r="H785" s="93"/>
      <c r="I785" s="93"/>
      <c r="J785" s="88"/>
      <c r="K785" s="94"/>
      <c r="L785" s="90"/>
      <c r="M785" s="91"/>
      <c r="N785" s="92"/>
      <c r="O785" s="93"/>
      <c r="P785" s="93"/>
      <c r="Q785" s="93"/>
      <c r="R785" s="93"/>
      <c r="S785" s="125"/>
      <c r="T785" s="94"/>
      <c r="U785" s="90"/>
      <c r="V785" s="91"/>
      <c r="W785" s="92"/>
      <c r="X785" s="93"/>
      <c r="Y785" s="93"/>
      <c r="Z785" s="93"/>
      <c r="AA785" s="93"/>
    </row>
    <row r="786" spans="1:32" x14ac:dyDescent="0.25">
      <c r="A786" s="88"/>
      <c r="B786" s="89" t="s">
        <v>190</v>
      </c>
      <c r="C786" s="90" t="s">
        <v>6</v>
      </c>
      <c r="D786" s="91" t="s">
        <v>57</v>
      </c>
      <c r="E786" s="92">
        <v>0</v>
      </c>
      <c r="F786" s="93">
        <v>0</v>
      </c>
      <c r="G786" s="93">
        <v>0</v>
      </c>
      <c r="H786" s="93"/>
      <c r="I786" s="93"/>
      <c r="J786" s="88"/>
      <c r="K786" s="94"/>
      <c r="L786" s="90"/>
      <c r="M786" s="91"/>
      <c r="N786" s="92"/>
      <c r="O786" s="93"/>
      <c r="P786" s="93"/>
      <c r="Q786" s="93"/>
      <c r="R786" s="93"/>
      <c r="S786" s="125"/>
      <c r="T786" s="94"/>
      <c r="U786" s="90"/>
      <c r="V786" s="91"/>
      <c r="W786" s="92"/>
      <c r="X786" s="93"/>
      <c r="Y786" s="93"/>
      <c r="Z786" s="93"/>
      <c r="AA786" s="93"/>
      <c r="AD786" s="149" t="s">
        <v>747</v>
      </c>
    </row>
    <row r="787" spans="1:32" x14ac:dyDescent="0.25">
      <c r="A787" s="88"/>
      <c r="B787" s="89" t="s">
        <v>138</v>
      </c>
      <c r="C787" s="90" t="s">
        <v>6</v>
      </c>
      <c r="D787" s="91" t="s">
        <v>57</v>
      </c>
      <c r="E787" s="92">
        <v>0</v>
      </c>
      <c r="F787" s="93">
        <v>0</v>
      </c>
      <c r="G787" s="93">
        <v>0</v>
      </c>
      <c r="H787" s="93"/>
      <c r="I787" s="93"/>
      <c r="J787" s="88"/>
      <c r="K787" s="94"/>
      <c r="L787" s="90"/>
      <c r="M787" s="91"/>
      <c r="N787" s="92"/>
      <c r="O787" s="93"/>
      <c r="P787" s="93"/>
      <c r="Q787" s="93"/>
      <c r="R787" s="93"/>
      <c r="S787" s="125"/>
      <c r="T787" s="94"/>
      <c r="U787" s="90"/>
      <c r="V787" s="91"/>
      <c r="W787" s="92"/>
      <c r="X787" s="93"/>
      <c r="Y787" s="93"/>
      <c r="Z787" s="93"/>
      <c r="AA787" s="93"/>
      <c r="AD787" s="149" t="s">
        <v>62</v>
      </c>
      <c r="AE787" s="42">
        <f>COUNTIF($AE$3:$AE$46,"CO")</f>
        <v>0</v>
      </c>
    </row>
    <row r="788" spans="1:32" x14ac:dyDescent="0.25">
      <c r="A788" s="88"/>
      <c r="B788" s="89" t="s">
        <v>671</v>
      </c>
      <c r="C788" s="90" t="s">
        <v>16</v>
      </c>
      <c r="D788" s="91" t="s">
        <v>57</v>
      </c>
      <c r="E788" s="92">
        <v>0</v>
      </c>
      <c r="F788" s="93">
        <v>0</v>
      </c>
      <c r="G788" s="93">
        <v>0</v>
      </c>
      <c r="H788" s="93"/>
      <c r="I788" s="93"/>
      <c r="J788" s="88"/>
      <c r="K788" s="94"/>
      <c r="L788" s="90"/>
      <c r="M788" s="91"/>
      <c r="N788" s="92"/>
      <c r="O788" s="93"/>
      <c r="P788" s="93"/>
      <c r="Q788" s="93"/>
      <c r="R788" s="93"/>
      <c r="S788" s="125"/>
      <c r="T788" s="94"/>
      <c r="U788" s="90"/>
      <c r="V788" s="91"/>
      <c r="W788" s="92"/>
      <c r="X788" s="93"/>
      <c r="Y788" s="93"/>
      <c r="Z788" s="93"/>
      <c r="AA788" s="93"/>
      <c r="AD788" s="149" t="s">
        <v>58</v>
      </c>
      <c r="AE788" s="42">
        <f>COUNTIF($AE$3:$AE$46,"MN")</f>
        <v>0</v>
      </c>
    </row>
    <row r="789" spans="1:32" x14ac:dyDescent="0.25">
      <c r="A789" s="88"/>
      <c r="B789" s="89" t="s">
        <v>383</v>
      </c>
      <c r="C789" s="90" t="s">
        <v>16</v>
      </c>
      <c r="D789" s="91" t="s">
        <v>66</v>
      </c>
      <c r="E789" s="92">
        <v>0</v>
      </c>
      <c r="F789" s="93">
        <v>0</v>
      </c>
      <c r="G789" s="93">
        <v>0</v>
      </c>
      <c r="H789" s="93"/>
      <c r="I789" s="93"/>
      <c r="J789" s="88"/>
      <c r="K789" s="94"/>
      <c r="L789" s="90"/>
      <c r="M789" s="91"/>
      <c r="N789" s="92"/>
      <c r="O789" s="93"/>
      <c r="P789" s="93"/>
      <c r="Q789" s="93"/>
      <c r="R789" s="93"/>
      <c r="S789" s="125"/>
      <c r="T789" s="94"/>
      <c r="U789" s="90"/>
      <c r="V789" s="91"/>
      <c r="W789" s="92"/>
      <c r="X789" s="93"/>
      <c r="Y789" s="93"/>
      <c r="Z789" s="93"/>
      <c r="AA789" s="93"/>
      <c r="AD789" s="149" t="s">
        <v>57</v>
      </c>
      <c r="AE789" s="42">
        <f>COUNTIF($AE$3:$AE$46,"NY")</f>
        <v>0</v>
      </c>
    </row>
    <row r="790" spans="1:32" x14ac:dyDescent="0.25">
      <c r="A790" s="88"/>
      <c r="B790" s="89" t="s">
        <v>424</v>
      </c>
      <c r="C790" s="90" t="s">
        <v>6</v>
      </c>
      <c r="D790" s="91" t="s">
        <v>63</v>
      </c>
      <c r="E790" s="92">
        <v>0</v>
      </c>
      <c r="F790" s="93">
        <v>0</v>
      </c>
      <c r="G790" s="93">
        <v>0</v>
      </c>
      <c r="H790" s="93"/>
      <c r="I790" s="93"/>
      <c r="J790" s="88"/>
      <c r="K790" s="94"/>
      <c r="L790" s="90"/>
      <c r="M790" s="91"/>
      <c r="N790" s="92"/>
      <c r="O790" s="93"/>
      <c r="P790" s="93"/>
      <c r="Q790" s="93"/>
      <c r="R790" s="93"/>
      <c r="S790" s="125"/>
      <c r="T790" s="94"/>
      <c r="U790" s="90"/>
      <c r="V790" s="91"/>
      <c r="W790" s="92"/>
      <c r="X790" s="93"/>
      <c r="Y790" s="93"/>
      <c r="Z790" s="93"/>
      <c r="AA790" s="93"/>
      <c r="AD790" s="149" t="s">
        <v>63</v>
      </c>
      <c r="AE790" s="42">
        <f>COUNTIF($AE$3:$AE$46,"VT")</f>
        <v>0</v>
      </c>
    </row>
    <row r="791" spans="1:32" x14ac:dyDescent="0.25">
      <c r="A791" s="88"/>
      <c r="B791" s="89" t="s">
        <v>365</v>
      </c>
      <c r="C791" s="90" t="s">
        <v>6</v>
      </c>
      <c r="D791" s="91" t="s">
        <v>63</v>
      </c>
      <c r="E791" s="92">
        <v>0</v>
      </c>
      <c r="F791" s="93">
        <v>0</v>
      </c>
      <c r="G791" s="93">
        <v>0</v>
      </c>
      <c r="H791" s="93"/>
      <c r="I791" s="93"/>
      <c r="J791" s="88"/>
      <c r="K791" s="94"/>
      <c r="L791" s="90"/>
      <c r="M791" s="91"/>
      <c r="N791" s="92"/>
      <c r="O791" s="93"/>
      <c r="P791" s="93"/>
      <c r="Q791" s="93"/>
      <c r="R791" s="93"/>
      <c r="S791" s="125"/>
      <c r="T791" s="94"/>
      <c r="U791" s="90"/>
      <c r="V791" s="91"/>
      <c r="W791" s="92"/>
      <c r="X791" s="93"/>
      <c r="Y791" s="93"/>
      <c r="Z791" s="93"/>
      <c r="AA791" s="93"/>
      <c r="AD791" s="149" t="s">
        <v>69</v>
      </c>
      <c r="AE791" s="42">
        <f>COUNTIF($AE$3:$AE$46,"WA")</f>
        <v>0</v>
      </c>
    </row>
    <row r="792" spans="1:32" x14ac:dyDescent="0.25">
      <c r="A792" s="88"/>
      <c r="B792" s="89" t="s">
        <v>423</v>
      </c>
      <c r="C792" s="90" t="s">
        <v>6</v>
      </c>
      <c r="D792" s="91" t="s">
        <v>62</v>
      </c>
      <c r="E792" s="92">
        <v>0</v>
      </c>
      <c r="F792" s="93">
        <v>0</v>
      </c>
      <c r="G792" s="93">
        <v>0</v>
      </c>
      <c r="H792" s="93"/>
      <c r="I792" s="93"/>
      <c r="J792" s="88"/>
      <c r="K792" s="94"/>
      <c r="L792" s="90"/>
      <c r="M792" s="91"/>
      <c r="N792" s="92"/>
      <c r="O792" s="93"/>
      <c r="P792" s="93"/>
      <c r="Q792" s="93"/>
      <c r="R792" s="93"/>
      <c r="S792" s="125"/>
      <c r="T792" s="94"/>
      <c r="U792" s="90"/>
      <c r="V792" s="91"/>
      <c r="W792" s="92"/>
      <c r="X792" s="93"/>
      <c r="Y792" s="93"/>
      <c r="Z792" s="93"/>
      <c r="AA792" s="93"/>
      <c r="AD792" s="149" t="s">
        <v>87</v>
      </c>
      <c r="AE792" s="42">
        <f>COUNTIF($AE$3:$AE$46,"CA")</f>
        <v>0</v>
      </c>
    </row>
    <row r="793" spans="1:32" x14ac:dyDescent="0.25">
      <c r="A793" s="88"/>
      <c r="B793" s="89" t="s">
        <v>397</v>
      </c>
      <c r="C793" s="90" t="s">
        <v>6</v>
      </c>
      <c r="D793" s="91" t="s">
        <v>62</v>
      </c>
      <c r="E793" s="92">
        <v>0</v>
      </c>
      <c r="F793" s="93">
        <v>0</v>
      </c>
      <c r="G793" s="93">
        <v>0</v>
      </c>
      <c r="H793" s="93"/>
      <c r="I793" s="93"/>
      <c r="J793" s="88"/>
      <c r="K793" s="94"/>
      <c r="L793" s="90"/>
      <c r="M793" s="91"/>
      <c r="N793" s="92"/>
      <c r="O793" s="93"/>
      <c r="P793" s="93"/>
      <c r="Q793" s="93"/>
      <c r="R793" s="93"/>
      <c r="S793" s="125"/>
      <c r="T793" s="94"/>
      <c r="U793" s="90"/>
      <c r="V793" s="91"/>
      <c r="W793" s="92"/>
      <c r="X793" s="93"/>
      <c r="Y793" s="93"/>
      <c r="Z793" s="93"/>
      <c r="AA793" s="93"/>
      <c r="AD793" s="149" t="s">
        <v>59</v>
      </c>
      <c r="AE793" s="42">
        <f>COUNTIF($AE$3:$AE$46,"MT")</f>
        <v>0</v>
      </c>
      <c r="AF793" t="s">
        <v>29</v>
      </c>
    </row>
    <row r="794" spans="1:32" x14ac:dyDescent="0.25">
      <c r="A794" s="88"/>
      <c r="B794" s="89" t="s">
        <v>269</v>
      </c>
      <c r="C794" s="90" t="s">
        <v>6</v>
      </c>
      <c r="D794" s="91" t="s">
        <v>69</v>
      </c>
      <c r="E794" s="92">
        <v>0</v>
      </c>
      <c r="F794" s="93">
        <v>0</v>
      </c>
      <c r="G794" s="93">
        <v>0</v>
      </c>
      <c r="H794" s="93"/>
      <c r="I794" s="93"/>
      <c r="J794" s="88"/>
      <c r="K794" s="94"/>
      <c r="L794" s="90"/>
      <c r="M794" s="91"/>
      <c r="N794" s="92"/>
      <c r="O794" s="93"/>
      <c r="P794" s="93"/>
      <c r="Q794" s="93"/>
      <c r="R794" s="93"/>
      <c r="S794" s="125"/>
      <c r="T794" s="94"/>
      <c r="U794" s="90"/>
      <c r="V794" s="91"/>
      <c r="W794" s="92"/>
      <c r="X794" s="93"/>
      <c r="Y794" s="93"/>
      <c r="Z794" s="93"/>
      <c r="AA794" s="93"/>
      <c r="AD794" s="149" t="s">
        <v>61</v>
      </c>
      <c r="AE794" s="42">
        <f>COUNTIF($AE$3:$AE$46,"AK")</f>
        <v>0</v>
      </c>
    </row>
    <row r="795" spans="1:32" x14ac:dyDescent="0.25">
      <c r="A795" s="88"/>
      <c r="B795" s="89" t="s">
        <v>356</v>
      </c>
      <c r="C795" s="90" t="s">
        <v>16</v>
      </c>
      <c r="D795" s="91" t="s">
        <v>63</v>
      </c>
      <c r="E795" s="92">
        <v>0</v>
      </c>
      <c r="F795" s="93">
        <v>0</v>
      </c>
      <c r="G795" s="93">
        <v>0</v>
      </c>
      <c r="H795" s="93"/>
      <c r="I795" s="93"/>
      <c r="J795" s="88"/>
      <c r="K795" s="94"/>
      <c r="L795" s="90"/>
      <c r="M795" s="91"/>
      <c r="N795" s="92"/>
      <c r="O795" s="93"/>
      <c r="P795" s="93"/>
      <c r="Q795" s="93"/>
      <c r="R795" s="93"/>
      <c r="S795" s="125"/>
      <c r="T795" s="94"/>
      <c r="U795" s="90"/>
      <c r="V795" s="91"/>
      <c r="W795" s="92"/>
      <c r="X795" s="93"/>
      <c r="Y795" s="93"/>
      <c r="Z795" s="93"/>
      <c r="AA795" s="93"/>
      <c r="AD795" s="149" t="s">
        <v>64</v>
      </c>
      <c r="AE795" s="42">
        <f>COUNTIF($AE$3:$AE$46,"ME")</f>
        <v>0</v>
      </c>
    </row>
    <row r="796" spans="1:32" x14ac:dyDescent="0.25">
      <c r="A796" s="88"/>
      <c r="B796" s="89" t="s">
        <v>255</v>
      </c>
      <c r="C796" s="90" t="s">
        <v>6</v>
      </c>
      <c r="D796" s="91" t="s">
        <v>57</v>
      </c>
      <c r="E796" s="92">
        <v>0</v>
      </c>
      <c r="F796" s="93">
        <v>0</v>
      </c>
      <c r="G796" s="93">
        <v>0</v>
      </c>
      <c r="H796" s="93"/>
      <c r="I796" s="93"/>
      <c r="S796" s="125"/>
      <c r="T796" s="94"/>
      <c r="U796" s="90"/>
      <c r="V796" s="91"/>
      <c r="W796" s="92"/>
      <c r="X796" s="93"/>
      <c r="Y796" s="93"/>
      <c r="Z796" s="93"/>
      <c r="AA796" s="93"/>
      <c r="AD796" s="149" t="s">
        <v>66</v>
      </c>
      <c r="AE796" s="42">
        <f>COUNTIF($AE$3:$AE$46,"WY")</f>
        <v>0</v>
      </c>
    </row>
    <row r="797" spans="1:32" x14ac:dyDescent="0.25">
      <c r="A797" s="88"/>
      <c r="B797" s="89" t="s">
        <v>231</v>
      </c>
      <c r="C797" s="90" t="s">
        <v>6</v>
      </c>
      <c r="D797" s="91" t="s">
        <v>89</v>
      </c>
      <c r="E797" s="92">
        <v>0</v>
      </c>
      <c r="F797" s="93">
        <v>0</v>
      </c>
      <c r="G797" s="93">
        <v>0</v>
      </c>
      <c r="H797" s="93"/>
      <c r="I797" s="93"/>
      <c r="S797" s="125"/>
      <c r="T797" s="94"/>
      <c r="U797" s="90"/>
      <c r="V797" s="91"/>
      <c r="W797" s="92"/>
      <c r="X797" s="93"/>
      <c r="Y797" s="93"/>
      <c r="Z797" s="93"/>
      <c r="AA797" s="93"/>
      <c r="AD797" s="149" t="s">
        <v>67</v>
      </c>
      <c r="AE797" s="42">
        <f>COUNTIF($AE$3:$AE$46,"UT")</f>
        <v>0</v>
      </c>
    </row>
    <row r="798" spans="1:32" x14ac:dyDescent="0.25">
      <c r="A798" s="88"/>
      <c r="B798" s="89" t="s">
        <v>684</v>
      </c>
      <c r="C798" s="90" t="s">
        <v>6</v>
      </c>
      <c r="D798" s="91" t="s">
        <v>122</v>
      </c>
      <c r="E798" s="92">
        <v>0</v>
      </c>
      <c r="F798" s="93">
        <v>0</v>
      </c>
      <c r="G798" s="93">
        <v>0</v>
      </c>
      <c r="H798" s="93"/>
      <c r="I798" s="93"/>
      <c r="S798" s="125"/>
      <c r="T798" s="94"/>
      <c r="U798" s="90"/>
      <c r="V798" s="91"/>
      <c r="W798" s="92"/>
      <c r="X798" s="93"/>
      <c r="Y798" s="93"/>
      <c r="Z798" s="93"/>
      <c r="AA798" s="93"/>
      <c r="AD798" s="149" t="s">
        <v>122</v>
      </c>
      <c r="AE798" s="42">
        <f>COUNTIF($AE$3:$AE$46,"ND")</f>
        <v>0</v>
      </c>
    </row>
    <row r="799" spans="1:32" x14ac:dyDescent="0.25">
      <c r="A799" s="88"/>
      <c r="B799" s="89" t="s">
        <v>455</v>
      </c>
      <c r="C799" s="90" t="s">
        <v>6</v>
      </c>
      <c r="D799" s="91" t="s">
        <v>122</v>
      </c>
      <c r="E799" s="92">
        <v>0</v>
      </c>
      <c r="F799" s="93">
        <v>0</v>
      </c>
      <c r="G799" s="93">
        <v>0</v>
      </c>
      <c r="H799" s="93"/>
      <c r="I799" s="93"/>
      <c r="S799" s="125"/>
      <c r="T799" s="94"/>
      <c r="U799" s="90"/>
      <c r="V799" s="91"/>
      <c r="W799" s="92"/>
      <c r="X799" s="93"/>
      <c r="Y799" s="93"/>
      <c r="Z799" s="93"/>
      <c r="AA799" s="93"/>
      <c r="AD799" s="149" t="s">
        <v>88</v>
      </c>
      <c r="AE799" s="42">
        <f>COUNTIF($AE$3:$AE$46,"WI")</f>
        <v>0</v>
      </c>
    </row>
    <row r="800" spans="1:32" x14ac:dyDescent="0.25">
      <c r="A800" s="88"/>
      <c r="B800" s="89" t="s">
        <v>266</v>
      </c>
      <c r="C800" s="90" t="s">
        <v>16</v>
      </c>
      <c r="D800" s="91" t="s">
        <v>58</v>
      </c>
      <c r="E800" s="92">
        <v>0</v>
      </c>
      <c r="F800" s="93">
        <v>0</v>
      </c>
      <c r="G800" s="93">
        <v>0</v>
      </c>
      <c r="H800" s="93"/>
      <c r="I800" s="93"/>
      <c r="S800" s="125"/>
      <c r="T800" s="94"/>
      <c r="U800" s="90"/>
      <c r="V800" s="91"/>
      <c r="W800" s="92"/>
      <c r="X800" s="93"/>
      <c r="Y800" s="93"/>
      <c r="Z800" s="93"/>
      <c r="AA800" s="93"/>
      <c r="AD800" s="149" t="s">
        <v>65</v>
      </c>
      <c r="AE800" s="42">
        <f>COUNTIF($AE$3:$AE$46,"NH")</f>
        <v>0</v>
      </c>
    </row>
    <row r="801" spans="1:32" x14ac:dyDescent="0.25">
      <c r="A801" s="88"/>
      <c r="B801" s="89" t="s">
        <v>527</v>
      </c>
      <c r="C801" s="90" t="s">
        <v>6</v>
      </c>
      <c r="D801" s="91" t="s">
        <v>77</v>
      </c>
      <c r="E801" s="92">
        <v>0</v>
      </c>
      <c r="F801" s="93">
        <v>0</v>
      </c>
      <c r="G801" s="93">
        <v>0</v>
      </c>
      <c r="H801" s="93"/>
      <c r="I801" s="93"/>
      <c r="S801" s="125"/>
      <c r="T801" s="94"/>
      <c r="U801" s="90"/>
      <c r="V801" s="91"/>
      <c r="W801" s="92"/>
      <c r="X801" s="93"/>
      <c r="Y801" s="93"/>
      <c r="Z801" s="93"/>
      <c r="AA801" s="93"/>
    </row>
    <row r="802" spans="1:32" x14ac:dyDescent="0.25">
      <c r="A802" s="88"/>
      <c r="B802" s="89" t="s">
        <v>522</v>
      </c>
      <c r="C802" s="90" t="s">
        <v>6</v>
      </c>
      <c r="D802" s="91" t="s">
        <v>62</v>
      </c>
      <c r="E802" s="92">
        <v>0</v>
      </c>
      <c r="F802" s="93">
        <v>0</v>
      </c>
      <c r="G802" s="93">
        <v>0</v>
      </c>
      <c r="H802" s="93"/>
      <c r="I802" s="93"/>
      <c r="S802" s="125"/>
      <c r="T802" s="94"/>
      <c r="U802" s="90"/>
      <c r="V802" s="91"/>
      <c r="W802" s="92"/>
      <c r="X802" s="93"/>
      <c r="Y802" s="93"/>
      <c r="Z802" s="93"/>
      <c r="AA802" s="93"/>
    </row>
    <row r="803" spans="1:32" x14ac:dyDescent="0.25">
      <c r="A803" s="88"/>
      <c r="B803" s="89" t="s">
        <v>332</v>
      </c>
      <c r="C803" s="90" t="s">
        <v>6</v>
      </c>
      <c r="D803" s="91" t="s">
        <v>62</v>
      </c>
      <c r="E803" s="92">
        <v>0</v>
      </c>
      <c r="F803" s="93">
        <v>0</v>
      </c>
      <c r="G803" s="93">
        <v>0</v>
      </c>
      <c r="H803" s="93"/>
      <c r="I803" s="93"/>
      <c r="S803" s="125"/>
      <c r="T803" s="94"/>
      <c r="U803" s="90"/>
      <c r="V803" s="91"/>
      <c r="W803" s="92"/>
      <c r="X803" s="93"/>
      <c r="Y803" s="93"/>
      <c r="Z803" s="93"/>
      <c r="AA803" s="93"/>
    </row>
    <row r="804" spans="1:32" x14ac:dyDescent="0.25">
      <c r="A804" s="88"/>
      <c r="B804" s="89" t="s">
        <v>509</v>
      </c>
      <c r="C804" s="90" t="s">
        <v>6</v>
      </c>
      <c r="D804" s="91" t="s">
        <v>80</v>
      </c>
      <c r="E804" s="92">
        <v>0</v>
      </c>
      <c r="F804" s="93">
        <v>0</v>
      </c>
      <c r="G804" s="93">
        <v>0</v>
      </c>
      <c r="H804" s="93"/>
      <c r="I804" s="93"/>
      <c r="S804" s="125"/>
      <c r="T804" s="94"/>
      <c r="U804" s="90"/>
      <c r="V804" s="91"/>
      <c r="W804" s="92"/>
      <c r="X804" s="93"/>
      <c r="Y804" s="93"/>
      <c r="Z804" s="93"/>
      <c r="AA804" s="93"/>
      <c r="AD804" s="149" t="s">
        <v>754</v>
      </c>
      <c r="AE804" s="113" t="s">
        <v>26</v>
      </c>
      <c r="AF804" s="113" t="s">
        <v>670</v>
      </c>
    </row>
    <row r="805" spans="1:32" x14ac:dyDescent="0.25">
      <c r="A805" s="88"/>
      <c r="B805" s="89" t="s">
        <v>304</v>
      </c>
      <c r="C805" s="90" t="s">
        <v>6</v>
      </c>
      <c r="D805" s="91" t="s">
        <v>79</v>
      </c>
      <c r="E805" s="92">
        <v>0</v>
      </c>
      <c r="F805" s="93">
        <v>0</v>
      </c>
      <c r="G805" s="93">
        <v>0</v>
      </c>
      <c r="H805" s="93"/>
      <c r="I805" s="93"/>
      <c r="S805" s="125"/>
      <c r="T805" s="94"/>
      <c r="U805" s="90"/>
      <c r="V805" s="91"/>
      <c r="W805" s="92"/>
      <c r="X805" s="93"/>
      <c r="Y805" s="93"/>
      <c r="Z805" s="93"/>
      <c r="AA805" s="93"/>
      <c r="AD805" s="149" t="s">
        <v>62</v>
      </c>
      <c r="AE805" s="151">
        <f>COUNTIF($V$3:$V$315,"CO")</f>
        <v>58</v>
      </c>
      <c r="AF805" s="151"/>
    </row>
    <row r="806" spans="1:32" x14ac:dyDescent="0.25">
      <c r="A806" s="88"/>
      <c r="B806" s="89" t="s">
        <v>167</v>
      </c>
      <c r="C806" s="90" t="s">
        <v>16</v>
      </c>
      <c r="D806" s="91" t="s">
        <v>96</v>
      </c>
      <c r="E806" s="92">
        <v>0</v>
      </c>
      <c r="F806" s="93">
        <v>0</v>
      </c>
      <c r="G806" s="93">
        <v>0</v>
      </c>
      <c r="H806" s="93"/>
      <c r="I806" s="93"/>
      <c r="S806" s="125"/>
      <c r="T806" s="94"/>
      <c r="U806" s="90"/>
      <c r="V806" s="91"/>
      <c r="W806" s="92"/>
      <c r="X806" s="93"/>
      <c r="Y806" s="93"/>
      <c r="Z806" s="93"/>
      <c r="AA806" s="93"/>
      <c r="AD806" s="149" t="s">
        <v>58</v>
      </c>
      <c r="AE806" s="151">
        <f>COUNTIF($V$3:$V$315,"MN")</f>
        <v>19</v>
      </c>
      <c r="AF806" s="151"/>
    </row>
    <row r="807" spans="1:32" x14ac:dyDescent="0.25">
      <c r="A807" s="88"/>
      <c r="B807" s="89" t="s">
        <v>438</v>
      </c>
      <c r="C807" s="90" t="s">
        <v>6</v>
      </c>
      <c r="D807" s="91" t="s">
        <v>69</v>
      </c>
      <c r="E807" s="92">
        <v>0</v>
      </c>
      <c r="F807" s="93">
        <v>0</v>
      </c>
      <c r="G807" s="93">
        <v>0</v>
      </c>
      <c r="H807" s="93"/>
      <c r="I807" s="93"/>
      <c r="S807" s="125"/>
      <c r="T807" s="94"/>
      <c r="U807" s="90"/>
      <c r="V807" s="91"/>
      <c r="W807" s="92"/>
      <c r="X807" s="93"/>
      <c r="Y807" s="93"/>
      <c r="Z807" s="93"/>
      <c r="AA807" s="93"/>
      <c r="AD807" s="149" t="s">
        <v>57</v>
      </c>
      <c r="AE807" s="151">
        <f>COUNTIF($V$3:$V$315,"NY")</f>
        <v>27</v>
      </c>
      <c r="AF807" s="151"/>
    </row>
    <row r="808" spans="1:32" x14ac:dyDescent="0.25">
      <c r="A808" s="88"/>
      <c r="B808" s="89" t="s">
        <v>341</v>
      </c>
      <c r="C808" s="90" t="s">
        <v>6</v>
      </c>
      <c r="D808" s="91" t="s">
        <v>69</v>
      </c>
      <c r="E808" s="92">
        <v>0</v>
      </c>
      <c r="F808" s="93">
        <v>0</v>
      </c>
      <c r="G808" s="93">
        <v>0</v>
      </c>
      <c r="H808" s="93"/>
      <c r="I808" s="93"/>
      <c r="S808" s="125"/>
      <c r="T808" s="94"/>
      <c r="U808" s="90"/>
      <c r="V808" s="91"/>
      <c r="W808" s="92"/>
      <c r="X808" s="93"/>
      <c r="Y808" s="93"/>
      <c r="Z808" s="93"/>
      <c r="AA808" s="93"/>
      <c r="AD808" s="149" t="s">
        <v>69</v>
      </c>
      <c r="AE808" s="151">
        <f>COUNTIF($V$3:$V$315,"WA")</f>
        <v>27</v>
      </c>
      <c r="AF808" s="151"/>
    </row>
    <row r="809" spans="1:32" x14ac:dyDescent="0.25">
      <c r="A809" s="88"/>
      <c r="B809" s="89" t="s">
        <v>337</v>
      </c>
      <c r="C809" s="90" t="s">
        <v>6</v>
      </c>
      <c r="D809" s="91" t="s">
        <v>62</v>
      </c>
      <c r="E809" s="92">
        <v>0</v>
      </c>
      <c r="F809" s="93">
        <v>0</v>
      </c>
      <c r="G809" s="93">
        <v>0</v>
      </c>
      <c r="H809" s="93"/>
      <c r="I809" s="93"/>
      <c r="S809" s="125"/>
      <c r="T809" s="94"/>
      <c r="U809" s="90"/>
      <c r="V809" s="91"/>
      <c r="W809" s="92"/>
      <c r="X809" s="93"/>
      <c r="Y809" s="93"/>
      <c r="Z809" s="93"/>
      <c r="AA809" s="93"/>
      <c r="AD809" s="149" t="s">
        <v>63</v>
      </c>
      <c r="AE809" s="151">
        <f>COUNTIF($V$3:$V$315,"VT")</f>
        <v>33</v>
      </c>
      <c r="AF809" s="151"/>
    </row>
    <row r="810" spans="1:32" x14ac:dyDescent="0.25">
      <c r="A810" s="88"/>
      <c r="B810" s="89" t="s">
        <v>311</v>
      </c>
      <c r="C810" s="90" t="s">
        <v>6</v>
      </c>
      <c r="D810" s="91" t="s">
        <v>96</v>
      </c>
      <c r="E810" s="92">
        <v>0</v>
      </c>
      <c r="F810" s="93">
        <v>0</v>
      </c>
      <c r="G810" s="93">
        <v>0</v>
      </c>
      <c r="H810" s="93"/>
      <c r="I810" s="93"/>
      <c r="S810" s="125"/>
      <c r="T810" s="94"/>
      <c r="U810" s="90"/>
      <c r="V810" s="91"/>
      <c r="W810" s="92"/>
      <c r="X810" s="93"/>
      <c r="Y810" s="93"/>
      <c r="Z810" s="93"/>
      <c r="AA810" s="93"/>
      <c r="AD810" s="149" t="s">
        <v>88</v>
      </c>
      <c r="AE810" s="151">
        <f>COUNTIF($V$3:$V$315,"WI")</f>
        <v>34</v>
      </c>
      <c r="AF810" s="151"/>
    </row>
    <row r="811" spans="1:32" x14ac:dyDescent="0.25">
      <c r="A811" s="88"/>
      <c r="B811" s="89" t="s">
        <v>276</v>
      </c>
      <c r="C811" s="90" t="s">
        <v>6</v>
      </c>
      <c r="D811" s="91" t="s">
        <v>62</v>
      </c>
      <c r="E811" s="92">
        <v>0</v>
      </c>
      <c r="F811" s="93">
        <v>0</v>
      </c>
      <c r="G811" s="93">
        <v>0</v>
      </c>
      <c r="H811" s="93"/>
      <c r="I811" s="93"/>
      <c r="S811" s="125"/>
      <c r="T811" s="94"/>
      <c r="U811" s="90"/>
      <c r="V811" s="91"/>
      <c r="W811" s="92"/>
      <c r="X811" s="93"/>
      <c r="Y811" s="93"/>
      <c r="Z811" s="93"/>
      <c r="AA811" s="93"/>
      <c r="AD811" s="149" t="s">
        <v>87</v>
      </c>
      <c r="AE811" s="151">
        <f>COUNTIF($V$3:$V$315,"CA")</f>
        <v>26</v>
      </c>
      <c r="AF811" s="151"/>
    </row>
    <row r="812" spans="1:32" x14ac:dyDescent="0.25">
      <c r="A812" s="88"/>
      <c r="B812" s="89" t="s">
        <v>302</v>
      </c>
      <c r="C812" s="90" t="s">
        <v>6</v>
      </c>
      <c r="D812" s="91" t="s">
        <v>59</v>
      </c>
      <c r="E812" s="92">
        <v>0</v>
      </c>
      <c r="F812" s="93">
        <v>0</v>
      </c>
      <c r="G812" s="93">
        <v>0</v>
      </c>
      <c r="H812" s="93"/>
      <c r="I812" s="93"/>
      <c r="S812" s="125"/>
      <c r="T812" s="94"/>
      <c r="U812" s="90"/>
      <c r="V812" s="91"/>
      <c r="W812" s="92"/>
      <c r="X812" s="93"/>
      <c r="Y812" s="93"/>
      <c r="Z812" s="93"/>
      <c r="AA812" s="93"/>
      <c r="AD812" s="149" t="s">
        <v>59</v>
      </c>
      <c r="AE812" s="151">
        <f>COUNTIF($V$3:$V$315,"MT")</f>
        <v>14</v>
      </c>
      <c r="AF812" s="151"/>
    </row>
    <row r="813" spans="1:32" x14ac:dyDescent="0.25">
      <c r="A813" s="88"/>
      <c r="B813" s="89" t="s">
        <v>519</v>
      </c>
      <c r="C813" s="90" t="s">
        <v>6</v>
      </c>
      <c r="D813" s="91" t="s">
        <v>59</v>
      </c>
      <c r="E813" s="92">
        <v>0</v>
      </c>
      <c r="F813" s="93">
        <v>0</v>
      </c>
      <c r="G813" s="93">
        <v>0</v>
      </c>
      <c r="H813" s="93"/>
      <c r="I813" s="93"/>
      <c r="S813" s="125"/>
      <c r="T813" s="94"/>
      <c r="U813" s="90"/>
      <c r="V813" s="91"/>
      <c r="W813" s="92"/>
      <c r="X813" s="93"/>
      <c r="Y813" s="93"/>
      <c r="Z813" s="93"/>
      <c r="AA813" s="93"/>
      <c r="AD813" s="149" t="s">
        <v>61</v>
      </c>
      <c r="AE813" s="151">
        <f>COUNTIF($V$3:$V$315,"AK")</f>
        <v>17</v>
      </c>
      <c r="AF813" s="151"/>
    </row>
    <row r="814" spans="1:32" x14ac:dyDescent="0.25">
      <c r="A814" s="88"/>
      <c r="B814" s="89" t="s">
        <v>282</v>
      </c>
      <c r="C814" s="90" t="s">
        <v>6</v>
      </c>
      <c r="D814" s="91" t="s">
        <v>62</v>
      </c>
      <c r="E814" s="92">
        <v>0</v>
      </c>
      <c r="F814" s="93">
        <v>0</v>
      </c>
      <c r="G814" s="93">
        <v>0</v>
      </c>
      <c r="H814" s="93"/>
      <c r="I814" s="93"/>
      <c r="S814" s="125"/>
      <c r="T814" s="94"/>
      <c r="U814" s="90"/>
      <c r="V814" s="91"/>
      <c r="W814" s="92"/>
      <c r="X814" s="93"/>
      <c r="Y814" s="93"/>
      <c r="Z814" s="93"/>
      <c r="AA814" s="93"/>
      <c r="AD814" s="149" t="s">
        <v>64</v>
      </c>
      <c r="AE814" s="151">
        <f>COUNTIF($V$3:$V$315,"ME")</f>
        <v>5</v>
      </c>
      <c r="AF814" s="151"/>
    </row>
    <row r="815" spans="1:32" x14ac:dyDescent="0.25">
      <c r="A815" s="88"/>
      <c r="B815" s="89" t="s">
        <v>187</v>
      </c>
      <c r="C815" s="90" t="s">
        <v>6</v>
      </c>
      <c r="D815" s="91" t="s">
        <v>188</v>
      </c>
      <c r="E815" s="92">
        <v>0</v>
      </c>
      <c r="F815" s="93">
        <v>0</v>
      </c>
      <c r="G815" s="93">
        <v>0</v>
      </c>
      <c r="H815" s="93"/>
      <c r="I815" s="93"/>
      <c r="S815" s="125"/>
      <c r="T815" s="94"/>
      <c r="U815" s="90"/>
      <c r="V815" s="91"/>
      <c r="W815" s="92"/>
      <c r="X815" s="93"/>
      <c r="Y815" s="93"/>
      <c r="Z815" s="93"/>
      <c r="AA815" s="93"/>
      <c r="AD815" s="149" t="s">
        <v>66</v>
      </c>
      <c r="AE815" s="151">
        <f>COUNTIF($V$3:$V$315,"WY")</f>
        <v>6</v>
      </c>
      <c r="AF815" s="151"/>
    </row>
    <row r="816" spans="1:32" x14ac:dyDescent="0.25">
      <c r="A816" s="88"/>
      <c r="B816" s="89" t="s">
        <v>350</v>
      </c>
      <c r="C816" s="90" t="s">
        <v>6</v>
      </c>
      <c r="D816" s="91" t="s">
        <v>65</v>
      </c>
      <c r="E816" s="92">
        <v>0</v>
      </c>
      <c r="F816" s="93">
        <v>0</v>
      </c>
      <c r="G816" s="93">
        <v>0</v>
      </c>
      <c r="H816" s="93"/>
      <c r="I816" s="93"/>
      <c r="S816" s="125"/>
      <c r="T816" s="94"/>
      <c r="U816" s="90"/>
      <c r="V816" s="91"/>
      <c r="W816" s="92"/>
      <c r="X816" s="93"/>
      <c r="Y816" s="93"/>
      <c r="Z816" s="93"/>
      <c r="AA816" s="93"/>
      <c r="AD816" s="149" t="s">
        <v>67</v>
      </c>
      <c r="AE816" s="151">
        <f>COUNTIF($V$3:$V$315,"UT")</f>
        <v>14</v>
      </c>
      <c r="AF816" s="151"/>
    </row>
    <row r="817" spans="1:32" x14ac:dyDescent="0.25">
      <c r="A817" s="88"/>
      <c r="B817" s="89" t="s">
        <v>321</v>
      </c>
      <c r="C817" s="90" t="s">
        <v>6</v>
      </c>
      <c r="D817" s="91" t="s">
        <v>80</v>
      </c>
      <c r="E817" s="92">
        <v>0</v>
      </c>
      <c r="F817" s="93">
        <v>0</v>
      </c>
      <c r="G817" s="93">
        <v>0</v>
      </c>
      <c r="H817" s="93"/>
      <c r="I817" s="93"/>
      <c r="S817" s="125"/>
      <c r="T817" s="94"/>
      <c r="U817" s="90"/>
      <c r="V817" s="91"/>
      <c r="W817" s="92"/>
      <c r="X817" s="93"/>
      <c r="Y817" s="93"/>
      <c r="Z817" s="93"/>
      <c r="AA817" s="93"/>
      <c r="AD817" s="149" t="s">
        <v>122</v>
      </c>
      <c r="AE817" s="151">
        <f>COUNTIF($V$3:$V$315,"ND")</f>
        <v>5</v>
      </c>
      <c r="AF817" s="151"/>
    </row>
    <row r="818" spans="1:32" x14ac:dyDescent="0.25">
      <c r="A818" s="88"/>
      <c r="B818" s="89" t="s">
        <v>223</v>
      </c>
      <c r="C818" s="90" t="s">
        <v>6</v>
      </c>
      <c r="D818" s="91" t="s">
        <v>58</v>
      </c>
      <c r="E818" s="92">
        <v>0</v>
      </c>
      <c r="F818" s="93">
        <v>0</v>
      </c>
      <c r="G818" s="93">
        <v>0</v>
      </c>
      <c r="H818" s="93"/>
      <c r="I818" s="93"/>
      <c r="S818" s="125"/>
      <c r="T818" s="94"/>
      <c r="U818" s="90"/>
      <c r="V818" s="91"/>
      <c r="W818" s="92"/>
      <c r="X818" s="93"/>
      <c r="Y818" s="93"/>
      <c r="Z818" s="93"/>
      <c r="AA818" s="93"/>
      <c r="AD818" s="149" t="s">
        <v>65</v>
      </c>
      <c r="AE818" s="151">
        <f>COUNTIF($V$3:$V$315,"NH")</f>
        <v>4</v>
      </c>
      <c r="AF818" s="151"/>
    </row>
    <row r="819" spans="1:32" x14ac:dyDescent="0.25">
      <c r="A819" s="88"/>
      <c r="B819" s="89" t="s">
        <v>239</v>
      </c>
      <c r="C819" s="90" t="s">
        <v>16</v>
      </c>
      <c r="D819" s="91" t="s">
        <v>57</v>
      </c>
      <c r="E819" s="92">
        <v>0</v>
      </c>
      <c r="F819" s="93">
        <v>0</v>
      </c>
      <c r="G819" s="93">
        <v>0</v>
      </c>
      <c r="H819" s="93"/>
      <c r="I819" s="93"/>
      <c r="S819" s="125"/>
      <c r="T819" s="94"/>
      <c r="U819" s="90"/>
      <c r="V819" s="91"/>
      <c r="W819" s="92"/>
      <c r="X819" s="93"/>
      <c r="Y819" s="93"/>
      <c r="Z819" s="93"/>
      <c r="AA819" s="93"/>
    </row>
    <row r="820" spans="1:32" x14ac:dyDescent="0.25">
      <c r="A820" s="88"/>
      <c r="B820" s="89" t="s">
        <v>315</v>
      </c>
      <c r="C820" s="90" t="s">
        <v>6</v>
      </c>
      <c r="D820" s="91" t="s">
        <v>78</v>
      </c>
      <c r="E820" s="92">
        <v>0</v>
      </c>
      <c r="F820" s="93">
        <v>0</v>
      </c>
      <c r="G820" s="93">
        <v>0</v>
      </c>
      <c r="H820" s="93"/>
      <c r="I820" s="93"/>
      <c r="S820" s="125"/>
      <c r="T820" s="94"/>
      <c r="U820" s="90"/>
      <c r="V820" s="91"/>
      <c r="W820" s="92"/>
      <c r="X820" s="93"/>
      <c r="Y820" s="93"/>
      <c r="Z820" s="93"/>
      <c r="AA820" s="93"/>
    </row>
    <row r="821" spans="1:32" x14ac:dyDescent="0.25">
      <c r="A821" s="88"/>
      <c r="B821" s="89" t="s">
        <v>176</v>
      </c>
      <c r="C821" s="90" t="s">
        <v>16</v>
      </c>
      <c r="D821" s="91" t="s">
        <v>61</v>
      </c>
      <c r="E821" s="92">
        <v>0</v>
      </c>
      <c r="F821" s="93">
        <v>0</v>
      </c>
      <c r="G821" s="93">
        <v>0</v>
      </c>
      <c r="H821" s="93"/>
      <c r="I821" s="93"/>
      <c r="S821" s="125"/>
      <c r="T821" s="94"/>
      <c r="U821" s="90"/>
      <c r="V821" s="91"/>
      <c r="W821" s="92"/>
      <c r="X821" s="93"/>
      <c r="Y821" s="93"/>
      <c r="Z821" s="93"/>
      <c r="AA821" s="93"/>
    </row>
    <row r="822" spans="1:32" x14ac:dyDescent="0.25">
      <c r="A822" s="88"/>
      <c r="B822" s="89" t="s">
        <v>434</v>
      </c>
      <c r="C822" s="90" t="s">
        <v>6</v>
      </c>
      <c r="D822" s="91" t="s">
        <v>69</v>
      </c>
      <c r="E822" s="92">
        <v>0</v>
      </c>
      <c r="F822" s="93">
        <v>0</v>
      </c>
      <c r="G822" s="93">
        <v>0</v>
      </c>
      <c r="H822" s="93"/>
      <c r="I822" s="93"/>
      <c r="S822" s="125"/>
      <c r="T822" s="94"/>
      <c r="U822" s="90"/>
      <c r="V822" s="91"/>
      <c r="W822" s="92"/>
      <c r="X822" s="93"/>
      <c r="Y822" s="93"/>
      <c r="Z822" s="93"/>
      <c r="AA822" s="93"/>
    </row>
    <row r="823" spans="1:32" x14ac:dyDescent="0.25">
      <c r="A823" s="88"/>
      <c r="B823" s="89" t="s">
        <v>689</v>
      </c>
      <c r="C823" s="90" t="s">
        <v>16</v>
      </c>
      <c r="D823" s="91" t="s">
        <v>63</v>
      </c>
      <c r="E823" s="92">
        <v>0</v>
      </c>
      <c r="F823" s="93">
        <v>0</v>
      </c>
      <c r="G823" s="93">
        <v>0</v>
      </c>
      <c r="H823" s="93"/>
      <c r="I823" s="93"/>
      <c r="S823" s="125"/>
      <c r="T823" s="94"/>
      <c r="U823" s="90"/>
      <c r="V823" s="91"/>
      <c r="W823" s="92"/>
      <c r="X823" s="93"/>
      <c r="Y823" s="93"/>
      <c r="Z823" s="93"/>
      <c r="AA823" s="93"/>
    </row>
    <row r="824" spans="1:32" x14ac:dyDescent="0.25">
      <c r="A824" s="88"/>
      <c r="B824" s="89" t="s">
        <v>326</v>
      </c>
      <c r="C824" s="90" t="s">
        <v>6</v>
      </c>
      <c r="D824" s="91"/>
      <c r="E824" s="92">
        <v>0</v>
      </c>
      <c r="F824" s="93">
        <v>0</v>
      </c>
      <c r="G824" s="93">
        <v>0</v>
      </c>
      <c r="H824" s="93"/>
      <c r="I824" s="93"/>
      <c r="S824" s="125"/>
      <c r="T824" s="94"/>
      <c r="U824" s="90"/>
      <c r="V824" s="91"/>
      <c r="W824" s="92"/>
      <c r="X824" s="93"/>
      <c r="Y824" s="93"/>
      <c r="Z824" s="93"/>
      <c r="AA824" s="93"/>
    </row>
    <row r="825" spans="1:32" x14ac:dyDescent="0.25">
      <c r="A825" s="88"/>
      <c r="B825" s="89" t="s">
        <v>171</v>
      </c>
      <c r="C825" s="90" t="s">
        <v>6</v>
      </c>
      <c r="D825" s="91" t="s">
        <v>58</v>
      </c>
      <c r="E825" s="92">
        <v>0</v>
      </c>
      <c r="F825" s="93">
        <v>0</v>
      </c>
      <c r="G825" s="93">
        <v>0</v>
      </c>
      <c r="H825" s="93"/>
      <c r="I825" s="93"/>
      <c r="S825" s="125"/>
      <c r="T825" s="94"/>
      <c r="U825" s="90"/>
      <c r="V825" s="91"/>
      <c r="W825" s="92"/>
      <c r="X825" s="93"/>
      <c r="Y825" s="93"/>
      <c r="Z825" s="93"/>
      <c r="AA825" s="93"/>
    </row>
    <row r="826" spans="1:32" x14ac:dyDescent="0.25">
      <c r="A826" s="88"/>
      <c r="B826" s="89" t="s">
        <v>526</v>
      </c>
      <c r="C826" s="90" t="s">
        <v>6</v>
      </c>
      <c r="D826" s="91" t="s">
        <v>63</v>
      </c>
      <c r="E826" s="92">
        <v>0</v>
      </c>
      <c r="F826" s="93">
        <v>0</v>
      </c>
      <c r="G826" s="93">
        <v>0</v>
      </c>
      <c r="H826" s="93"/>
      <c r="I826" s="93"/>
      <c r="S826" s="125"/>
      <c r="T826" s="94"/>
      <c r="U826" s="90"/>
      <c r="V826" s="91"/>
      <c r="W826" s="92"/>
      <c r="X826" s="93"/>
      <c r="Y826" s="93"/>
      <c r="Z826" s="93"/>
      <c r="AA826" s="93"/>
    </row>
    <row r="827" spans="1:32" x14ac:dyDescent="0.25">
      <c r="A827" s="88"/>
      <c r="B827" s="89" t="s">
        <v>156</v>
      </c>
      <c r="C827" s="90" t="s">
        <v>6</v>
      </c>
      <c r="D827" s="91" t="s">
        <v>76</v>
      </c>
      <c r="E827" s="92">
        <v>0</v>
      </c>
      <c r="F827" s="93">
        <v>0</v>
      </c>
      <c r="G827" s="93">
        <v>0</v>
      </c>
      <c r="H827" s="93"/>
      <c r="I827" s="93"/>
    </row>
    <row r="828" spans="1:32" x14ac:dyDescent="0.25">
      <c r="A828" s="88"/>
      <c r="B828" s="89" t="s">
        <v>401</v>
      </c>
      <c r="C828" s="90" t="s">
        <v>6</v>
      </c>
      <c r="D828" s="91" t="s">
        <v>59</v>
      </c>
      <c r="E828" s="92">
        <v>0</v>
      </c>
      <c r="F828" s="93">
        <v>0</v>
      </c>
      <c r="G828" s="93">
        <v>0</v>
      </c>
      <c r="H828" s="93"/>
      <c r="I828" s="93"/>
    </row>
    <row r="829" spans="1:32" x14ac:dyDescent="0.25">
      <c r="A829" s="88"/>
      <c r="B829" s="89" t="s">
        <v>228</v>
      </c>
      <c r="C829" s="90" t="s">
        <v>6</v>
      </c>
      <c r="D829" s="91" t="s">
        <v>59</v>
      </c>
      <c r="E829" s="92">
        <v>0</v>
      </c>
      <c r="F829" s="93">
        <v>0</v>
      </c>
      <c r="G829" s="93">
        <v>0</v>
      </c>
      <c r="H829" s="93"/>
      <c r="I829" s="93"/>
    </row>
    <row r="830" spans="1:32" x14ac:dyDescent="0.25">
      <c r="A830" s="88"/>
      <c r="B830" s="89" t="s">
        <v>513</v>
      </c>
      <c r="C830" s="90" t="s">
        <v>6</v>
      </c>
      <c r="D830" s="91" t="s">
        <v>80</v>
      </c>
      <c r="E830" s="92">
        <v>0</v>
      </c>
      <c r="F830" s="93">
        <v>0</v>
      </c>
      <c r="G830" s="93">
        <v>0</v>
      </c>
      <c r="H830" s="93"/>
      <c r="I830" s="93"/>
    </row>
    <row r="831" spans="1:32" x14ac:dyDescent="0.25">
      <c r="A831" s="88"/>
      <c r="B831" s="89" t="s">
        <v>314</v>
      </c>
      <c r="C831" s="90" t="s">
        <v>6</v>
      </c>
      <c r="D831" s="91" t="s">
        <v>66</v>
      </c>
      <c r="E831" s="92">
        <v>0</v>
      </c>
      <c r="F831" s="93">
        <v>0</v>
      </c>
      <c r="G831" s="93">
        <v>0</v>
      </c>
      <c r="H831" s="93"/>
      <c r="I831" s="93"/>
    </row>
    <row r="832" spans="1:32" x14ac:dyDescent="0.25">
      <c r="A832" s="88"/>
      <c r="B832" s="89" t="s">
        <v>377</v>
      </c>
      <c r="C832" s="90" t="s">
        <v>6</v>
      </c>
      <c r="D832" s="91" t="s">
        <v>380</v>
      </c>
      <c r="E832" s="92">
        <v>0</v>
      </c>
      <c r="F832" s="93">
        <v>0</v>
      </c>
      <c r="G832" s="93">
        <v>0</v>
      </c>
      <c r="H832" s="93"/>
      <c r="I832" s="93"/>
    </row>
    <row r="833" spans="1:9" x14ac:dyDescent="0.25">
      <c r="A833" s="88"/>
      <c r="B833" s="89" t="s">
        <v>93</v>
      </c>
      <c r="C833" s="90" t="s">
        <v>6</v>
      </c>
      <c r="D833" s="91" t="s">
        <v>88</v>
      </c>
      <c r="E833" s="92">
        <v>0</v>
      </c>
      <c r="F833" s="93">
        <v>0</v>
      </c>
      <c r="G833" s="93">
        <v>0</v>
      </c>
      <c r="H833" s="93"/>
      <c r="I833" s="93"/>
    </row>
    <row r="834" spans="1:9" x14ac:dyDescent="0.25">
      <c r="A834" s="88"/>
      <c r="B834" s="89" t="s">
        <v>755</v>
      </c>
      <c r="C834" s="90" t="s">
        <v>6</v>
      </c>
      <c r="D834" s="91" t="s">
        <v>62</v>
      </c>
      <c r="E834" s="92">
        <v>0</v>
      </c>
      <c r="F834" s="93">
        <v>0</v>
      </c>
      <c r="G834" s="93">
        <v>0</v>
      </c>
      <c r="H834" s="93"/>
      <c r="I834" s="93"/>
    </row>
    <row r="835" spans="1:9" x14ac:dyDescent="0.25">
      <c r="A835" s="88"/>
      <c r="B835" s="89"/>
      <c r="C835" s="90"/>
      <c r="D835" s="91"/>
      <c r="E835" s="92"/>
      <c r="F835" s="93"/>
      <c r="G835" s="93"/>
      <c r="H835" s="93"/>
      <c r="I835" s="93"/>
    </row>
  </sheetData>
  <sortState ref="T3:Z468">
    <sortCondition descending="1" ref="Z3:Z468"/>
  </sortState>
  <phoneticPr fontId="0" type="noConversion"/>
  <printOptions horizontalCentered="1"/>
  <pageMargins left="0.75" right="0.75" top="0.85" bottom="1" header="0.5" footer="0.5"/>
  <pageSetup orientation="portrait" horizontalDpi="4294967292" verticalDpi="1200" r:id="rId1"/>
  <headerFooter alignWithMargins="0">
    <oddHeader>&amp;C&amp;"-,Bold"&amp;14U.S. Biathlon Association</oddHeader>
    <oddFooter>&amp;L&amp;"Tahoma,Regular"Report Created 11 APR 2018&amp;R&amp;"Tahoma,Regular"Page &amp;P</oddFooter>
  </headerFooter>
  <colBreaks count="1" manualBreakCount="1">
    <brk id="9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"/>
  <sheetViews>
    <sheetView workbookViewId="0">
      <selection activeCell="B5" sqref="B5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1019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43084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1023</v>
      </c>
      <c r="C5" s="22"/>
      <c r="D5" s="22"/>
      <c r="E5" s="22" t="s">
        <v>55</v>
      </c>
      <c r="F5" s="38">
        <f>AVERAGE(C8:C12)*(AVERAGE(D8:D12)/100)</f>
        <v>1.6109954696846104E-2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35</v>
      </c>
      <c r="B8" s="3" t="s">
        <v>84</v>
      </c>
      <c r="C8" s="156">
        <v>1.674074074074074E-2</v>
      </c>
      <c r="D8" s="29">
        <f>INDEX('Points Summary'!$H$4:$H$1143,G8)</f>
        <v>100.00430567075759</v>
      </c>
      <c r="E8" s="124">
        <f>(AVERAGE($D$8:$D$12)/100*AVERAGE($C$8:$C$12))/C8</f>
        <v>0.96232030268770985</v>
      </c>
      <c r="F8" s="3"/>
      <c r="G8" s="2">
        <f>MATCH(B8,'Points Summary'!$B$4:$B$1144,0)</f>
        <v>13</v>
      </c>
    </row>
    <row r="9" spans="1:7" x14ac:dyDescent="0.25">
      <c r="A9" s="2">
        <v>10</v>
      </c>
      <c r="B9" s="3" t="s">
        <v>7</v>
      </c>
      <c r="C9" s="51">
        <v>1.6262731481481482E-2</v>
      </c>
      <c r="D9" s="29">
        <f>INDEX('Points Summary'!$H$4:$H$1143,G9)</f>
        <v>95.350976065584277</v>
      </c>
      <c r="E9" s="124">
        <f>(AVERAGE($D$8:$D$9)/100*AVERAGE($C$8:$C$9))/C9</f>
        <v>0.99113156691904247</v>
      </c>
      <c r="F9" s="3"/>
      <c r="G9" s="2">
        <f>MATCH(B9,'Points Summary'!$B$4:$B$1144,0)</f>
        <v>63</v>
      </c>
    </row>
    <row r="10" spans="1:7" x14ac:dyDescent="0.25">
      <c r="A10" s="2">
        <v>56</v>
      </c>
      <c r="B10" s="3" t="s">
        <v>70</v>
      </c>
      <c r="C10" s="51">
        <v>1.7071759259259259E-2</v>
      </c>
      <c r="D10" s="29">
        <f>INDEX('Points Summary'!$H$4:$H$1143,G10)</f>
        <v>94.642791354956501</v>
      </c>
      <c r="E10" s="124">
        <f>(AVERAGE($D$8:$D$9)/100*AVERAGE($C$8:$C$9))/C10</f>
        <v>0.94416200995115029</v>
      </c>
      <c r="F10" s="3"/>
      <c r="G10" s="2">
        <f>MATCH(B10,'Points Summary'!$B$4:$B$1144,0)</f>
        <v>309</v>
      </c>
    </row>
    <row r="11" spans="1:7" x14ac:dyDescent="0.25">
      <c r="A11" s="2">
        <v>85</v>
      </c>
      <c r="B11" s="3" t="s">
        <v>762</v>
      </c>
      <c r="C11" s="51">
        <v>1.778009259259259E-2</v>
      </c>
      <c r="D11" s="29">
        <f>INDEX('Points Summary'!$H$4:$H$1143,G11)</f>
        <v>94.093188352610781</v>
      </c>
      <c r="E11" s="124">
        <f>(AVERAGE($D$8:$D$9)/100*AVERAGE($C$8:$C$9))/C11</f>
        <v>0.90654795253088583</v>
      </c>
      <c r="F11" s="3"/>
      <c r="G11" s="2">
        <f>MATCH(B11,'Points Summary'!$B$4:$B$1144,0)</f>
        <v>366</v>
      </c>
    </row>
    <row r="12" spans="1:7" x14ac:dyDescent="0.25">
      <c r="A12" s="2">
        <v>17</v>
      </c>
      <c r="B12" s="3" t="s">
        <v>189</v>
      </c>
      <c r="C12" s="51">
        <v>1.6401620370370368E-2</v>
      </c>
      <c r="D12" s="29">
        <f>INDEX('Points Summary'!$H$4:$H$1143,G12)</f>
        <v>93.909537275665315</v>
      </c>
      <c r="E12" s="124">
        <f>(AVERAGE($D$8:$D$9)/100*AVERAGE($C$8:$C$9))/C12</f>
        <v>0.98273866676871557</v>
      </c>
      <c r="F12" s="3"/>
      <c r="G12" s="2">
        <f>MATCH(B12,'Points Summary'!$B$4:$B$1144,0)</f>
        <v>120</v>
      </c>
    </row>
    <row r="13" spans="1:7" x14ac:dyDescent="0.25">
      <c r="A13" s="2"/>
      <c r="B13" s="3"/>
      <c r="C13" s="51"/>
      <c r="D13" s="29"/>
      <c r="E13" s="124"/>
      <c r="F13" s="3"/>
      <c r="G13" s="2"/>
    </row>
    <row r="14" spans="1:7" x14ac:dyDescent="0.25">
      <c r="A14" s="2"/>
      <c r="B14" s="39"/>
      <c r="C14" s="51"/>
      <c r="D14" s="29"/>
      <c r="E14" s="124"/>
      <c r="F14" s="3"/>
      <c r="G14" s="2"/>
    </row>
    <row r="15" spans="1:7" x14ac:dyDescent="0.25">
      <c r="A15" s="2"/>
      <c r="B15" s="39"/>
      <c r="C15" s="51"/>
      <c r="D15" s="29"/>
      <c r="E15" s="124"/>
      <c r="F15" s="3"/>
      <c r="G15" s="2"/>
    </row>
    <row r="16" spans="1:7" x14ac:dyDescent="0.25">
      <c r="A16" s="2"/>
      <c r="B16" s="3"/>
      <c r="C16" s="156"/>
      <c r="D16" s="29"/>
      <c r="E16" s="124"/>
      <c r="F16" s="3"/>
      <c r="G16" s="2"/>
    </row>
    <row r="17" spans="1:10" x14ac:dyDescent="0.25">
      <c r="A17" s="2"/>
      <c r="B17" s="3"/>
      <c r="C17" s="51"/>
      <c r="D17" s="29"/>
      <c r="E17" s="124"/>
      <c r="F17" s="3"/>
      <c r="G17" s="2"/>
      <c r="J17" s="39"/>
    </row>
    <row r="18" spans="1:10" x14ac:dyDescent="0.25">
      <c r="A18" s="2"/>
      <c r="B18" s="3"/>
      <c r="C18" s="156"/>
      <c r="D18" s="29"/>
      <c r="E18" s="124"/>
      <c r="F18" s="3"/>
      <c r="G18" s="2"/>
    </row>
    <row r="19" spans="1:10" x14ac:dyDescent="0.25">
      <c r="A19" s="2"/>
      <c r="B19" s="3"/>
      <c r="C19" s="156"/>
      <c r="D19" s="29"/>
      <c r="E19" s="124"/>
      <c r="F19" s="3"/>
      <c r="G19" s="2"/>
      <c r="J19" s="39"/>
    </row>
    <row r="20" spans="1:10" x14ac:dyDescent="0.25">
      <c r="A20" s="2"/>
      <c r="B20" s="3"/>
      <c r="C20" s="156"/>
      <c r="D20" s="29"/>
      <c r="E20" s="124"/>
      <c r="F20" s="3"/>
      <c r="G20" s="2"/>
      <c r="J20" s="31"/>
    </row>
    <row r="21" spans="1:10" x14ac:dyDescent="0.25">
      <c r="A21" s="2"/>
      <c r="B21" s="39"/>
      <c r="C21" s="28"/>
      <c r="D21" s="29"/>
      <c r="E21" s="30"/>
      <c r="F21" s="3"/>
      <c r="G21" s="2"/>
      <c r="J21" s="39"/>
    </row>
    <row r="22" spans="1:10" x14ac:dyDescent="0.25">
      <c r="A22" s="2"/>
      <c r="C22" s="28"/>
      <c r="D22" s="29"/>
      <c r="E22" s="30"/>
      <c r="F22" s="3"/>
      <c r="G22" s="2"/>
      <c r="J22" s="39"/>
    </row>
    <row r="23" spans="1:10" x14ac:dyDescent="0.25">
      <c r="A23" s="2"/>
      <c r="B23" s="39"/>
      <c r="C23" s="28"/>
      <c r="D23" s="29"/>
      <c r="E23" s="30"/>
      <c r="F23" s="3"/>
      <c r="G23" s="2"/>
    </row>
    <row r="24" spans="1:10" x14ac:dyDescent="0.25">
      <c r="A24" s="2"/>
      <c r="B24" s="39"/>
      <c r="C24" s="28"/>
      <c r="D24" s="29"/>
      <c r="E24" s="30"/>
      <c r="F24" s="3"/>
      <c r="G24" s="2"/>
      <c r="J24" s="39"/>
    </row>
    <row r="25" spans="1:10" x14ac:dyDescent="0.25">
      <c r="A25" s="2"/>
      <c r="C25" s="28"/>
      <c r="D25" s="29"/>
      <c r="E25" s="30"/>
      <c r="F25" s="3"/>
      <c r="G25" s="2"/>
    </row>
    <row r="26" spans="1:10" x14ac:dyDescent="0.25">
      <c r="A26" s="2"/>
      <c r="C26" s="28"/>
      <c r="D26" s="29"/>
      <c r="E26" s="30"/>
      <c r="F26" s="3"/>
      <c r="G26" s="2"/>
    </row>
    <row r="27" spans="1:10" x14ac:dyDescent="0.25">
      <c r="A27" s="2"/>
      <c r="C27" s="28"/>
      <c r="D27" s="29"/>
      <c r="E27" s="30"/>
      <c r="F27" s="3"/>
      <c r="G27" s="2"/>
    </row>
    <row r="28" spans="1:10" x14ac:dyDescent="0.25">
      <c r="A28" s="2"/>
      <c r="C28" s="28"/>
      <c r="D28" s="29"/>
      <c r="E28" s="30"/>
      <c r="F28" s="3"/>
      <c r="G28" s="2"/>
      <c r="J28" s="3"/>
    </row>
    <row r="29" spans="1:10" x14ac:dyDescent="0.25">
      <c r="A29" s="2"/>
      <c r="C29" s="28"/>
      <c r="D29" s="29"/>
      <c r="E29" s="30"/>
      <c r="F29" s="3"/>
      <c r="G29" s="2"/>
      <c r="J29" s="3"/>
    </row>
    <row r="30" spans="1:10" x14ac:dyDescent="0.25">
      <c r="A30" s="2"/>
      <c r="B30" s="3"/>
      <c r="C30" s="28"/>
      <c r="D30" s="29"/>
      <c r="E30" s="30"/>
      <c r="F30" s="3"/>
      <c r="G30" s="2"/>
      <c r="J30" s="3"/>
    </row>
    <row r="31" spans="1:10" x14ac:dyDescent="0.25">
      <c r="A31" s="2"/>
      <c r="C31" s="28"/>
      <c r="D31" s="29"/>
      <c r="E31" s="30"/>
      <c r="F31" s="3"/>
      <c r="G31" s="2"/>
      <c r="J31" s="3"/>
    </row>
    <row r="32" spans="1:10" x14ac:dyDescent="0.25">
      <c r="A32" s="2"/>
      <c r="C32" s="28"/>
      <c r="D32" s="29"/>
      <c r="E32" s="30"/>
      <c r="F32" s="3"/>
      <c r="G32" s="2"/>
      <c r="J32" s="3"/>
    </row>
    <row r="33" spans="1:7" x14ac:dyDescent="0.25">
      <c r="A33" s="2"/>
      <c r="C33" s="28"/>
      <c r="D33" s="29"/>
      <c r="E33" s="30"/>
      <c r="F33" s="3"/>
      <c r="G33" s="2"/>
    </row>
    <row r="34" spans="1:7" x14ac:dyDescent="0.25">
      <c r="A34" s="2"/>
      <c r="C34" s="28"/>
      <c r="D34" s="29"/>
      <c r="E34" s="30"/>
      <c r="F34" s="3"/>
      <c r="G34" s="2"/>
    </row>
    <row r="35" spans="1:7" x14ac:dyDescent="0.25">
      <c r="A35" s="2"/>
      <c r="C35" s="28"/>
      <c r="D35" s="29"/>
      <c r="E35" s="30"/>
      <c r="F35" s="3"/>
      <c r="G35" s="2"/>
    </row>
    <row r="36" spans="1:7" x14ac:dyDescent="0.25">
      <c r="A36" s="2"/>
      <c r="C36" s="28"/>
      <c r="D36" s="29"/>
      <c r="E36" s="30"/>
      <c r="F36" s="3"/>
      <c r="G36" s="2"/>
    </row>
    <row r="37" spans="1:7" x14ac:dyDescent="0.25">
      <c r="A37" s="2"/>
      <c r="C37" s="28"/>
      <c r="D37" s="29"/>
      <c r="E37" s="30"/>
      <c r="F37" s="3"/>
      <c r="G37" s="2"/>
    </row>
    <row r="38" spans="1:7" x14ac:dyDescent="0.25">
      <c r="A38" s="2"/>
      <c r="C38" s="28"/>
      <c r="D38" s="29"/>
      <c r="E38" s="30"/>
      <c r="F38" s="3"/>
      <c r="G38" s="2"/>
    </row>
    <row r="39" spans="1:7" x14ac:dyDescent="0.25">
      <c r="A39" s="2"/>
      <c r="C39" s="28"/>
      <c r="D39" s="29"/>
      <c r="E39" s="30"/>
      <c r="F39" s="3"/>
      <c r="G39" s="2"/>
    </row>
    <row r="40" spans="1:7" x14ac:dyDescent="0.25">
      <c r="A40" s="2"/>
      <c r="C40" s="28"/>
      <c r="D40" s="29"/>
      <c r="E40" s="30"/>
      <c r="F40" s="3"/>
      <c r="G40" s="2"/>
    </row>
    <row r="41" spans="1:7" x14ac:dyDescent="0.25">
      <c r="A41" s="2"/>
      <c r="C41" s="28"/>
      <c r="D41" s="29"/>
      <c r="E41" s="30"/>
      <c r="F41" s="3"/>
      <c r="G41" s="2"/>
    </row>
    <row r="42" spans="1:7" x14ac:dyDescent="0.25">
      <c r="A42" s="2"/>
      <c r="C42" s="28"/>
      <c r="D42" s="29"/>
      <c r="E42" s="30"/>
      <c r="F42" s="3"/>
      <c r="G42" s="2"/>
    </row>
    <row r="43" spans="1:7" x14ac:dyDescent="0.25">
      <c r="A43" s="2"/>
      <c r="C43" s="28"/>
      <c r="D43" s="29"/>
      <c r="E43" s="30"/>
      <c r="F43" s="3"/>
      <c r="G43" s="2"/>
    </row>
    <row r="44" spans="1:7" x14ac:dyDescent="0.25">
      <c r="A44" s="2"/>
      <c r="C44" s="28"/>
      <c r="D44" s="29"/>
      <c r="E44" s="30"/>
      <c r="F44" s="3"/>
      <c r="G44" s="2"/>
    </row>
    <row r="45" spans="1:7" x14ac:dyDescent="0.25">
      <c r="A45" s="2"/>
      <c r="C45" s="28"/>
      <c r="D45" s="29"/>
      <c r="E45" s="30"/>
      <c r="F45" s="3"/>
      <c r="G45" s="2"/>
    </row>
    <row r="46" spans="1:7" x14ac:dyDescent="0.25">
      <c r="A46" s="2"/>
      <c r="C46" s="28"/>
      <c r="D46" s="29"/>
      <c r="E46" s="30"/>
      <c r="F46" s="3"/>
      <c r="G46" s="2"/>
    </row>
    <row r="47" spans="1:7" x14ac:dyDescent="0.25">
      <c r="A47" s="2"/>
      <c r="B47" s="3"/>
      <c r="C47" s="28"/>
      <c r="D47" s="29"/>
      <c r="E47" s="30"/>
      <c r="F47" s="3"/>
      <c r="G47" s="2"/>
    </row>
    <row r="48" spans="1:7" x14ac:dyDescent="0.25">
      <c r="A48" s="2"/>
      <c r="C48" s="28"/>
      <c r="D48" s="29"/>
      <c r="E48" s="30"/>
      <c r="F48" s="3"/>
      <c r="G48" s="2"/>
    </row>
    <row r="49" spans="1:7" x14ac:dyDescent="0.25">
      <c r="A49" s="2"/>
      <c r="C49" s="28"/>
      <c r="D49" s="29"/>
      <c r="E49" s="30"/>
      <c r="F49" s="3"/>
      <c r="G49" s="2"/>
    </row>
    <row r="50" spans="1:7" x14ac:dyDescent="0.25">
      <c r="A50" s="2"/>
      <c r="C50" s="28"/>
      <c r="D50" s="29"/>
      <c r="E50" s="30"/>
      <c r="F50" s="3"/>
      <c r="G50" s="2"/>
    </row>
    <row r="51" spans="1:7" x14ac:dyDescent="0.25">
      <c r="A51" s="2"/>
      <c r="B51" s="39"/>
      <c r="C51" s="28"/>
      <c r="D51" s="29"/>
      <c r="E51" s="30"/>
      <c r="F51" s="3"/>
      <c r="G51" s="2"/>
    </row>
    <row r="52" spans="1:7" x14ac:dyDescent="0.25">
      <c r="A52" s="2"/>
      <c r="B52" s="31"/>
      <c r="C52" s="28"/>
      <c r="D52" s="29"/>
      <c r="E52" s="30"/>
      <c r="F52" s="3"/>
      <c r="G52" s="2"/>
    </row>
    <row r="53" spans="1:7" x14ac:dyDescent="0.25">
      <c r="A53" s="2"/>
      <c r="C53" s="28"/>
      <c r="D53" s="29"/>
      <c r="E53" s="30"/>
      <c r="F53" s="3"/>
      <c r="G53" s="2"/>
    </row>
    <row r="54" spans="1:7" x14ac:dyDescent="0.25">
      <c r="A54" s="2"/>
      <c r="C54" s="28"/>
      <c r="D54" s="29"/>
      <c r="E54" s="30"/>
      <c r="F54" s="3"/>
      <c r="G54" s="2"/>
    </row>
    <row r="55" spans="1:7" x14ac:dyDescent="0.25">
      <c r="A55" s="2"/>
      <c r="C55" s="28"/>
      <c r="D55" s="29"/>
      <c r="E55" s="30"/>
      <c r="F55" s="3"/>
      <c r="G55" s="2"/>
    </row>
    <row r="56" spans="1:7" x14ac:dyDescent="0.25">
      <c r="A56" s="2"/>
      <c r="B56" s="3"/>
      <c r="C56" s="28"/>
      <c r="D56" s="29"/>
      <c r="E56" s="30"/>
      <c r="F56" s="3"/>
      <c r="G56" s="2"/>
    </row>
    <row r="57" spans="1:7" x14ac:dyDescent="0.25">
      <c r="A57" s="2"/>
      <c r="B57" s="3"/>
      <c r="C57" s="28"/>
      <c r="D57" s="29"/>
      <c r="E57" s="30"/>
      <c r="F57" s="3"/>
      <c r="G57" s="2"/>
    </row>
    <row r="58" spans="1:7" x14ac:dyDescent="0.25">
      <c r="A58" s="2"/>
      <c r="C58" s="28"/>
      <c r="D58" s="29"/>
      <c r="E58" s="30"/>
      <c r="F58" s="3"/>
      <c r="G58" s="2"/>
    </row>
    <row r="59" spans="1:7" x14ac:dyDescent="0.25">
      <c r="A59" s="2"/>
      <c r="C59" s="28"/>
      <c r="D59" s="29"/>
      <c r="E59" s="30"/>
      <c r="F59" s="3"/>
      <c r="G59" s="2"/>
    </row>
    <row r="60" spans="1:7" x14ac:dyDescent="0.25">
      <c r="C60" s="28"/>
      <c r="D60" s="29"/>
      <c r="E60" s="30"/>
      <c r="F60" s="3"/>
      <c r="G60" s="2"/>
    </row>
    <row r="61" spans="1:7" x14ac:dyDescent="0.25">
      <c r="C61" s="28"/>
      <c r="D61" s="29"/>
      <c r="E61" s="30"/>
      <c r="F61" s="3"/>
      <c r="G61" s="2"/>
    </row>
    <row r="62" spans="1:7" x14ac:dyDescent="0.25">
      <c r="C62" s="28"/>
      <c r="D62" s="29"/>
      <c r="E62" s="30"/>
      <c r="F62" s="3"/>
      <c r="G62" s="2"/>
    </row>
    <row r="63" spans="1:7" x14ac:dyDescent="0.25">
      <c r="C63" s="28"/>
      <c r="D63" s="29"/>
      <c r="E63" s="30"/>
      <c r="F63" s="3"/>
      <c r="G63" s="2"/>
    </row>
    <row r="64" spans="1:7" x14ac:dyDescent="0.25">
      <c r="C64" s="28"/>
      <c r="D64" s="29"/>
      <c r="E64" s="30"/>
      <c r="F64" s="3"/>
      <c r="G64" s="2"/>
    </row>
    <row r="65" spans="3:7" x14ac:dyDescent="0.25">
      <c r="C65" s="28"/>
      <c r="D65" s="29"/>
      <c r="E65" s="30"/>
      <c r="F65" s="3"/>
      <c r="G65" s="2"/>
    </row>
    <row r="66" spans="3:7" x14ac:dyDescent="0.25">
      <c r="C66" s="28"/>
      <c r="D66" s="29"/>
      <c r="E66" s="30"/>
      <c r="F66" s="3"/>
      <c r="G66" s="2"/>
    </row>
    <row r="67" spans="3:7" x14ac:dyDescent="0.25">
      <c r="C67" s="28"/>
      <c r="D67" s="29"/>
      <c r="E67" s="30"/>
      <c r="F67" s="3"/>
      <c r="G67" s="2"/>
    </row>
    <row r="68" spans="3:7" x14ac:dyDescent="0.25">
      <c r="C68" s="28"/>
      <c r="D68" s="29"/>
      <c r="E68" s="30"/>
      <c r="F68" s="3"/>
      <c r="G68" s="2"/>
    </row>
    <row r="69" spans="3:7" x14ac:dyDescent="0.25">
      <c r="C69" s="28"/>
      <c r="D69" s="29"/>
      <c r="E69" s="30"/>
      <c r="F69" s="3"/>
      <c r="G69" s="2"/>
    </row>
    <row r="70" spans="3:7" x14ac:dyDescent="0.25">
      <c r="C70" s="28"/>
      <c r="D70" s="29"/>
      <c r="E70" s="30"/>
      <c r="F70" s="3"/>
      <c r="G70" s="2"/>
    </row>
    <row r="71" spans="3:7" x14ac:dyDescent="0.25">
      <c r="C71" s="28"/>
      <c r="D71" s="29"/>
      <c r="E71" s="30"/>
      <c r="F71" s="3"/>
      <c r="G71" s="2"/>
    </row>
    <row r="72" spans="3:7" x14ac:dyDescent="0.25">
      <c r="C72" s="28"/>
      <c r="D72" s="29"/>
      <c r="E72" s="30"/>
      <c r="F72" s="3"/>
      <c r="G72" s="2"/>
    </row>
    <row r="73" spans="3:7" x14ac:dyDescent="0.25">
      <c r="C73" s="28"/>
      <c r="D73" s="29"/>
      <c r="E73" s="30"/>
      <c r="F73" s="3"/>
      <c r="G73" s="2"/>
    </row>
    <row r="74" spans="3:7" x14ac:dyDescent="0.25">
      <c r="C74" s="28"/>
      <c r="D74" s="29"/>
      <c r="E74" s="30"/>
      <c r="F74" s="3"/>
      <c r="G74" s="2"/>
    </row>
    <row r="75" spans="3:7" x14ac:dyDescent="0.25">
      <c r="C75" s="28"/>
      <c r="D75" s="29"/>
      <c r="E75" s="30"/>
      <c r="F75" s="3"/>
      <c r="G75" s="2"/>
    </row>
  </sheetData>
  <sortState ref="A8:G19">
    <sortCondition descending="1" ref="D8:D19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2018 Race Points</oddHeader>
    <oddFooter>&amp;R&amp;"Tahoma,Regular"Page &amp;P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/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42802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203</v>
      </c>
      <c r="C5" s="22"/>
      <c r="D5" s="22"/>
      <c r="E5" s="22" t="s">
        <v>55</v>
      </c>
      <c r="F5" s="38">
        <f>AVERAGE(C8:C9)*(AVERAGE(D8:D9)/100)</f>
        <v>1.8590831979214933E-2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2</v>
      </c>
      <c r="B8" s="3" t="s">
        <v>759</v>
      </c>
      <c r="C8" s="28">
        <v>2.0687500000000001E-2</v>
      </c>
      <c r="D8" s="29">
        <f>INDEX('Points Summary'!$F$4:$F$1143,G8)</f>
        <v>90.488521205766915</v>
      </c>
      <c r="E8" s="124">
        <f>(AVERAGE($D$8:$D$9)/100*AVERAGE($C$8:$C$9))/C8</f>
        <v>0.8986504884212656</v>
      </c>
      <c r="F8" s="3"/>
      <c r="G8" s="2">
        <f>MATCH(B8,'Points Summary'!$B$4:$B$1144,0)</f>
        <v>131</v>
      </c>
    </row>
    <row r="9" spans="1:7" x14ac:dyDescent="0.25">
      <c r="A9" s="2">
        <v>3</v>
      </c>
      <c r="B9" s="3" t="s">
        <v>173</v>
      </c>
      <c r="C9" s="28">
        <v>2.1006944444444443E-2</v>
      </c>
      <c r="D9" s="29">
        <f>INDEX('Points Summary'!$F$4:$F$1143,G9)</f>
        <v>87.864563738067233</v>
      </c>
      <c r="E9" s="124">
        <f>(AVERAGE($D$8:$D$9)/100*AVERAGE($C$8:$C$9))/C9</f>
        <v>0.88498505950642992</v>
      </c>
      <c r="F9" s="3"/>
      <c r="G9" s="2">
        <f>MATCH(B9,'Points Summary'!$B$4:$B$1144,0)</f>
        <v>47</v>
      </c>
    </row>
    <row r="10" spans="1:7" x14ac:dyDescent="0.25">
      <c r="A10" s="2">
        <v>9</v>
      </c>
      <c r="B10" s="3" t="s">
        <v>936</v>
      </c>
      <c r="C10" s="28">
        <v>2.4166666666666666E-2</v>
      </c>
      <c r="D10" s="29">
        <f>INDEX('Points Summary'!$F$4:$F$1143,G10)</f>
        <v>79.76105334129258</v>
      </c>
      <c r="E10" s="124">
        <f>(AVERAGE($D$8:$D$9)/100*AVERAGE($C$8:$C$9))/C10</f>
        <v>0.76927580603648005</v>
      </c>
      <c r="F10" s="3"/>
      <c r="G10" s="2">
        <f>MATCH(B10,'Points Summary'!$B$4:$B$1144,0)</f>
        <v>330</v>
      </c>
    </row>
    <row r="11" spans="1:7" x14ac:dyDescent="0.25">
      <c r="A11" s="2"/>
      <c r="B11" s="3"/>
      <c r="C11" s="28"/>
      <c r="D11" s="29"/>
      <c r="E11" s="30"/>
      <c r="F11" s="3"/>
      <c r="G11" s="2"/>
    </row>
    <row r="12" spans="1:7" x14ac:dyDescent="0.25">
      <c r="A12" s="2"/>
      <c r="B12" s="3"/>
      <c r="C12" s="28"/>
      <c r="D12" s="29"/>
      <c r="E12" s="30"/>
      <c r="F12" s="3"/>
      <c r="G12" s="2"/>
    </row>
    <row r="13" spans="1:7" x14ac:dyDescent="0.25">
      <c r="A13" s="2"/>
      <c r="B13" s="3"/>
      <c r="C13" s="28"/>
      <c r="D13" s="29"/>
      <c r="E13" s="30"/>
      <c r="F13" s="3"/>
      <c r="G13" s="2"/>
    </row>
    <row r="14" spans="1:7" x14ac:dyDescent="0.25">
      <c r="A14" s="2"/>
      <c r="B14" s="3"/>
      <c r="C14" s="28"/>
      <c r="D14" s="29"/>
      <c r="E14" s="30"/>
      <c r="F14" s="3"/>
      <c r="G14" s="2"/>
    </row>
    <row r="15" spans="1:7" x14ac:dyDescent="0.25">
      <c r="A15" s="2"/>
      <c r="B15" s="3"/>
      <c r="C15" s="28"/>
      <c r="D15" s="29"/>
      <c r="E15" s="30"/>
      <c r="F15" s="3"/>
      <c r="G15" s="2"/>
    </row>
    <row r="16" spans="1:7" x14ac:dyDescent="0.25">
      <c r="A16" s="2"/>
      <c r="B16" s="3"/>
      <c r="C16" s="28"/>
      <c r="D16" s="29"/>
      <c r="E16" s="30"/>
      <c r="F16" s="3"/>
      <c r="G16" s="2"/>
    </row>
    <row r="17" spans="1:7" x14ac:dyDescent="0.25">
      <c r="A17" s="2"/>
      <c r="B17" s="3"/>
      <c r="C17" s="28"/>
      <c r="D17" s="29"/>
      <c r="E17" s="30"/>
      <c r="F17" s="3"/>
      <c r="G17" s="2"/>
    </row>
    <row r="18" spans="1:7" x14ac:dyDescent="0.25">
      <c r="A18" s="2"/>
      <c r="B18" s="3"/>
      <c r="C18" s="28"/>
      <c r="D18" s="29"/>
      <c r="E18" s="30"/>
      <c r="F18" s="3"/>
      <c r="G18" s="2"/>
    </row>
    <row r="19" spans="1:7" x14ac:dyDescent="0.25">
      <c r="A19" s="2"/>
      <c r="B19" s="3"/>
      <c r="C19" s="28"/>
      <c r="D19" s="29"/>
      <c r="E19" s="30"/>
      <c r="F19" s="3"/>
      <c r="G19" s="2"/>
    </row>
    <row r="20" spans="1:7" x14ac:dyDescent="0.25">
      <c r="A20" s="2"/>
      <c r="B20" s="3"/>
      <c r="C20" s="28"/>
      <c r="D20" s="29"/>
      <c r="E20" s="30"/>
      <c r="F20" s="3"/>
      <c r="G20" s="2"/>
    </row>
    <row r="21" spans="1:7" x14ac:dyDescent="0.25">
      <c r="A21" s="2"/>
      <c r="B21" s="3"/>
      <c r="C21" s="28"/>
      <c r="D21" s="29"/>
      <c r="E21" s="30"/>
      <c r="F21" s="3"/>
      <c r="G21" s="2"/>
    </row>
    <row r="22" spans="1:7" x14ac:dyDescent="0.25">
      <c r="A22" s="2"/>
      <c r="B22" s="3"/>
      <c r="C22" s="28"/>
      <c r="D22" s="29"/>
      <c r="E22" s="30"/>
      <c r="F22" s="3"/>
      <c r="G22" s="2"/>
    </row>
    <row r="23" spans="1:7" x14ac:dyDescent="0.25">
      <c r="A23" s="2"/>
      <c r="B23" s="3"/>
      <c r="C23" s="51"/>
      <c r="D23" s="29"/>
      <c r="E23" s="30"/>
      <c r="F23" s="3"/>
      <c r="G23" s="2"/>
    </row>
    <row r="24" spans="1:7" x14ac:dyDescent="0.25">
      <c r="A24" s="2"/>
      <c r="B24" s="3"/>
      <c r="C24" s="28"/>
      <c r="D24" s="29"/>
      <c r="E24" s="30"/>
      <c r="F24" s="3"/>
      <c r="G24" s="2"/>
    </row>
    <row r="25" spans="1:7" x14ac:dyDescent="0.25">
      <c r="A25" s="2"/>
      <c r="B25" s="3"/>
      <c r="C25" s="28"/>
      <c r="D25" s="29"/>
      <c r="E25" s="30"/>
      <c r="F25" s="3"/>
      <c r="G25" s="2"/>
    </row>
    <row r="26" spans="1:7" x14ac:dyDescent="0.25">
      <c r="A26" s="2"/>
      <c r="B26" s="3"/>
      <c r="C26" s="28"/>
      <c r="D26" s="29"/>
      <c r="E26" s="30"/>
      <c r="F26" s="3"/>
      <c r="G26" s="2"/>
    </row>
    <row r="27" spans="1:7" x14ac:dyDescent="0.25">
      <c r="A27" s="2"/>
      <c r="B27" s="3"/>
      <c r="C27" s="28"/>
      <c r="D27" s="29"/>
      <c r="E27" s="30"/>
      <c r="F27" s="3"/>
      <c r="G27" s="2"/>
    </row>
    <row r="28" spans="1:7" x14ac:dyDescent="0.25">
      <c r="A28" s="2"/>
      <c r="B28" s="3"/>
      <c r="C28" s="28"/>
      <c r="D28" s="29"/>
      <c r="E28" s="30"/>
      <c r="F28" s="3"/>
      <c r="G28" s="2"/>
    </row>
    <row r="29" spans="1:7" x14ac:dyDescent="0.25">
      <c r="A29" s="2"/>
      <c r="B29" s="3"/>
      <c r="C29" s="28"/>
      <c r="D29" s="29"/>
      <c r="E29" s="30"/>
      <c r="F29" s="3"/>
      <c r="G29" s="2"/>
    </row>
    <row r="30" spans="1:7" x14ac:dyDescent="0.25">
      <c r="A30" s="2"/>
      <c r="B30" s="3"/>
      <c r="C30" s="28"/>
      <c r="D30" s="29"/>
      <c r="E30" s="30"/>
      <c r="F30" s="3"/>
      <c r="G30" s="2"/>
    </row>
    <row r="31" spans="1:7" x14ac:dyDescent="0.25">
      <c r="A31" s="2"/>
      <c r="B31" s="3"/>
      <c r="C31" s="28"/>
      <c r="D31" s="29"/>
      <c r="E31" s="30"/>
      <c r="F31" s="3"/>
      <c r="G31" s="2"/>
    </row>
    <row r="32" spans="1:7" x14ac:dyDescent="0.25">
      <c r="A32" s="2"/>
      <c r="B32" s="3"/>
      <c r="C32" s="28"/>
      <c r="D32" s="29"/>
      <c r="E32" s="30"/>
      <c r="F32" s="3"/>
      <c r="G32" s="2"/>
    </row>
    <row r="33" spans="1:7" x14ac:dyDescent="0.25">
      <c r="A33" s="2"/>
      <c r="B33" s="3"/>
      <c r="C33" s="28"/>
      <c r="D33" s="29"/>
      <c r="E33" s="30"/>
      <c r="F33" s="3"/>
      <c r="G33" s="2"/>
    </row>
    <row r="34" spans="1:7" x14ac:dyDescent="0.25">
      <c r="A34" s="2"/>
      <c r="B34" s="3"/>
      <c r="C34" s="28"/>
      <c r="D34" s="29"/>
      <c r="E34" s="30"/>
      <c r="F34" s="3"/>
      <c r="G34" s="2"/>
    </row>
    <row r="35" spans="1:7" x14ac:dyDescent="0.25">
      <c r="A35" s="2"/>
      <c r="B35" s="3"/>
      <c r="C35" s="28"/>
      <c r="D35" s="29"/>
      <c r="E35" s="30"/>
      <c r="F35" s="3"/>
      <c r="G35" s="2"/>
    </row>
    <row r="36" spans="1:7" x14ac:dyDescent="0.25">
      <c r="A36" s="2"/>
      <c r="B36" s="3"/>
      <c r="C36" s="28"/>
      <c r="D36" s="29"/>
      <c r="E36" s="30"/>
      <c r="F36" s="3"/>
      <c r="G36" s="2"/>
    </row>
  </sheetData>
  <sortState ref="A8:D14">
    <sortCondition descending="1" ref="D8:D14"/>
  </sortState>
  <phoneticPr fontId="9" type="noConversion"/>
  <printOptions horizontalCentered="1"/>
  <pageMargins left="0.75" right="0.75" top="1" bottom="1" header="0.5" footer="0.5"/>
  <pageSetup orientation="portrait" horizontalDpi="1200" verticalDpi="1200" r:id="rId1"/>
  <headerFooter alignWithMargins="0">
    <oddHeader>&amp;L&amp;"Tahoma,Bold"&amp;11U.S. Biathlon Association&amp;R&amp;"Tahoma,Bold"&amp;11 2017 Race Points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11" x14ac:dyDescent="0.25">
      <c r="A1" s="16" t="s">
        <v>22</v>
      </c>
      <c r="B1" s="17"/>
      <c r="C1" s="18"/>
      <c r="D1" s="18"/>
      <c r="E1" s="18"/>
      <c r="F1" s="18"/>
      <c r="G1" s="19"/>
    </row>
    <row r="2" spans="1:11" x14ac:dyDescent="0.25">
      <c r="A2" s="20" t="s">
        <v>23</v>
      </c>
      <c r="B2" s="21">
        <v>42811</v>
      </c>
      <c r="C2" s="22"/>
      <c r="D2" s="22"/>
      <c r="E2" s="22"/>
      <c r="F2" s="22"/>
      <c r="G2" s="23"/>
    </row>
    <row r="3" spans="1:11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11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11" x14ac:dyDescent="0.25">
      <c r="A5" s="20" t="s">
        <v>27</v>
      </c>
      <c r="B5" s="24" t="s">
        <v>935</v>
      </c>
      <c r="C5" s="22"/>
      <c r="D5" s="22"/>
      <c r="E5" s="22" t="s">
        <v>55</v>
      </c>
      <c r="F5" s="38">
        <f>AVERAGE(C8:C11)*(AVERAGE(D8:D11)/100)</f>
        <v>1.8649597844054677E-2</v>
      </c>
      <c r="G5" s="23"/>
    </row>
    <row r="6" spans="1:11" x14ac:dyDescent="0.25">
      <c r="A6" s="25" t="s">
        <v>29</v>
      </c>
      <c r="B6" s="26"/>
      <c r="C6" s="26"/>
      <c r="D6" s="26"/>
      <c r="E6" s="26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  <c r="I7" s="2"/>
      <c r="J7" s="2"/>
      <c r="K7" s="2"/>
    </row>
    <row r="8" spans="1:11" x14ac:dyDescent="0.25">
      <c r="A8" s="2">
        <v>44</v>
      </c>
      <c r="B8" s="3" t="s">
        <v>84</v>
      </c>
      <c r="C8" s="51">
        <v>1.8575231481481481E-2</v>
      </c>
      <c r="D8" s="29">
        <f>INDEX('Points Summary'!$F$4:$F$1143,G8)</f>
        <v>99.460903353359868</v>
      </c>
      <c r="E8" s="124">
        <f>(AVERAGE($D$8:$D$11)/100*AVERAGE($C$8:$C$11))/C8</f>
        <v>1.0040035227904069</v>
      </c>
      <c r="F8" s="3"/>
      <c r="G8" s="2">
        <f>MATCH(B8,'Points Summary'!$B$4:$B$1144,0)</f>
        <v>13</v>
      </c>
      <c r="I8" s="28"/>
      <c r="J8" s="28"/>
      <c r="K8" s="28"/>
    </row>
    <row r="9" spans="1:11" x14ac:dyDescent="0.25">
      <c r="A9" s="2">
        <v>98</v>
      </c>
      <c r="B9" s="3" t="s">
        <v>762</v>
      </c>
      <c r="C9" s="51">
        <v>1.9851851851851853E-2</v>
      </c>
      <c r="D9" s="29">
        <f>INDEX('Points Summary'!$F$4:$F$1143,G9)</f>
        <v>93.60112568228071</v>
      </c>
      <c r="E9" s="124">
        <f>(AVERAGE($D$8:$D$11)/100*AVERAGE($C$8:$C$11))/C9</f>
        <v>0.93943869736842589</v>
      </c>
      <c r="F9" s="3"/>
      <c r="G9" s="2">
        <f>MATCH(B9,'Points Summary'!$B$4:$B$1144,0)</f>
        <v>366</v>
      </c>
      <c r="I9" s="28"/>
      <c r="J9" s="28"/>
      <c r="K9" s="28"/>
    </row>
    <row r="10" spans="1:11" x14ac:dyDescent="0.25">
      <c r="A10" s="2">
        <v>35</v>
      </c>
      <c r="B10" s="3" t="s">
        <v>189</v>
      </c>
      <c r="C10" s="51">
        <v>1.8359953703703701E-2</v>
      </c>
      <c r="D10" s="29">
        <f>INDEX('Points Summary'!$F$4:$F$1143,G10)</f>
        <v>98.820210613063381</v>
      </c>
      <c r="E10" s="124">
        <f>(AVERAGE($D$8:$D$11)/100*AVERAGE($C$8:$C$11))/C10</f>
        <v>1.0157758644180321</v>
      </c>
      <c r="F10" s="3"/>
      <c r="G10" s="2">
        <f>MATCH(B10,'Points Summary'!$B$4:$B$1144,0)</f>
        <v>120</v>
      </c>
      <c r="I10" s="28"/>
      <c r="J10" s="28"/>
      <c r="K10" s="28"/>
    </row>
    <row r="11" spans="1:11" x14ac:dyDescent="0.25">
      <c r="A11" s="2">
        <v>100</v>
      </c>
      <c r="B11" s="3" t="s">
        <v>70</v>
      </c>
      <c r="C11" s="51">
        <v>2.0152777777777776E-2</v>
      </c>
      <c r="D11" s="29">
        <f>INDEX('Points Summary'!$F$4:$F$1143,G11)</f>
        <v>95.945007171519649</v>
      </c>
      <c r="E11" s="124">
        <f>(AVERAGE($D$8:$D$11)/100*AVERAGE($C$8:$C$11))/C11</f>
        <v>0.92541078206198268</v>
      </c>
      <c r="F11" s="3"/>
      <c r="G11" s="2">
        <f>MATCH(B11,'Points Summary'!$B$4:$B$1144,0)</f>
        <v>309</v>
      </c>
      <c r="I11" s="28"/>
      <c r="J11" s="28"/>
      <c r="K11" s="28"/>
    </row>
    <row r="12" spans="1:11" x14ac:dyDescent="0.25">
      <c r="A12" s="2"/>
      <c r="B12" s="3"/>
      <c r="C12" s="51"/>
      <c r="D12" s="29"/>
      <c r="E12" s="124"/>
      <c r="F12" s="3"/>
      <c r="G12" s="2"/>
      <c r="I12" s="28"/>
      <c r="J12" s="28"/>
      <c r="K12" s="28"/>
    </row>
    <row r="13" spans="1:11" x14ac:dyDescent="0.25">
      <c r="A13" s="2"/>
      <c r="B13" s="3"/>
      <c r="C13" s="51"/>
      <c r="D13" s="29"/>
      <c r="E13" s="124"/>
      <c r="F13" s="3"/>
      <c r="G13" s="2"/>
      <c r="I13" s="28"/>
      <c r="J13" s="28"/>
      <c r="K13" s="28"/>
    </row>
    <row r="14" spans="1:11" x14ac:dyDescent="0.25">
      <c r="A14" s="42"/>
      <c r="B14" s="3"/>
      <c r="C14" s="28"/>
      <c r="D14" s="29"/>
      <c r="E14" s="30"/>
      <c r="F14" s="3"/>
      <c r="G14" s="2"/>
      <c r="I14" s="28"/>
      <c r="J14" s="28"/>
      <c r="K14" s="28"/>
    </row>
    <row r="15" spans="1:11" x14ac:dyDescent="0.25">
      <c r="A15" s="2"/>
      <c r="B15" s="3"/>
      <c r="C15" s="28"/>
      <c r="D15" s="29"/>
      <c r="E15" s="30"/>
      <c r="F15" s="3"/>
      <c r="G15" s="2"/>
      <c r="I15" s="28"/>
      <c r="J15" s="28"/>
      <c r="K15" s="28"/>
    </row>
    <row r="16" spans="1:11" x14ac:dyDescent="0.25">
      <c r="A16" s="2"/>
      <c r="B16" s="3"/>
      <c r="C16" s="28"/>
      <c r="D16" s="29"/>
      <c r="E16" s="30"/>
      <c r="F16" s="3"/>
      <c r="G16" s="2"/>
      <c r="I16" s="28"/>
      <c r="J16" s="28"/>
      <c r="K16" s="28"/>
    </row>
    <row r="17" spans="1:11" x14ac:dyDescent="0.25">
      <c r="A17" s="2"/>
      <c r="B17" s="3"/>
      <c r="C17" s="28"/>
      <c r="D17" s="29"/>
      <c r="E17" s="30"/>
      <c r="F17" s="3"/>
      <c r="G17" s="2"/>
      <c r="I17" s="28"/>
      <c r="J17" s="28"/>
      <c r="K17" s="28"/>
    </row>
    <row r="18" spans="1:11" x14ac:dyDescent="0.25">
      <c r="A18" s="2"/>
      <c r="B18" s="3"/>
      <c r="C18" s="28"/>
      <c r="D18" s="29"/>
      <c r="E18" s="30"/>
      <c r="F18" s="3"/>
      <c r="G18" s="2"/>
      <c r="I18" s="28"/>
      <c r="K18" s="28"/>
    </row>
    <row r="19" spans="1:11" x14ac:dyDescent="0.25">
      <c r="A19" s="2"/>
      <c r="B19" s="3"/>
      <c r="C19" s="28"/>
      <c r="D19" s="29"/>
      <c r="E19" s="30"/>
      <c r="F19" s="3"/>
      <c r="G19" s="2"/>
    </row>
    <row r="20" spans="1:11" x14ac:dyDescent="0.25">
      <c r="A20" s="2"/>
      <c r="B20" s="3"/>
      <c r="C20" s="28"/>
      <c r="D20" s="29"/>
      <c r="E20" s="30"/>
      <c r="F20" s="3"/>
      <c r="G20" s="2"/>
    </row>
    <row r="21" spans="1:11" x14ac:dyDescent="0.25">
      <c r="A21" s="2"/>
      <c r="B21" s="3"/>
      <c r="C21" s="28"/>
      <c r="D21" s="29"/>
      <c r="E21" s="30"/>
      <c r="F21" s="3"/>
      <c r="G21" s="2"/>
    </row>
    <row r="22" spans="1:11" x14ac:dyDescent="0.25">
      <c r="A22" s="2"/>
      <c r="B22" s="3"/>
      <c r="C22" s="28"/>
      <c r="D22" s="29"/>
      <c r="E22" s="30"/>
      <c r="F22" s="3"/>
      <c r="G22" s="2"/>
    </row>
  </sheetData>
  <sortState ref="A8:G11">
    <sortCondition descending="1" ref="D8:D11"/>
  </sortState>
  <phoneticPr fontId="9" type="noConversion"/>
  <printOptions horizontalCentered="1"/>
  <pageMargins left="0.75" right="0.75" top="1" bottom="1" header="0.5" footer="0.5"/>
  <pageSetup orientation="portrait" horizontalDpi="1200" verticalDpi="1200" r:id="rId1"/>
  <headerFooter alignWithMargins="0">
    <oddHeader>&amp;L&amp;"Tahoma,Bold"&amp;11U.S. Biathlon Association&amp;R&amp;"Tahoma,Bold"&amp;11 2016 Race Points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/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42812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43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935</v>
      </c>
      <c r="C5" s="22"/>
      <c r="D5" s="22"/>
      <c r="E5" s="22" t="s">
        <v>55</v>
      </c>
      <c r="F5" s="38">
        <f>AVERAGE(C8:C9)*(AVERAGE(D8:D9)/100)</f>
        <v>2.3274507957974224E-2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23</v>
      </c>
      <c r="B8" s="3" t="s">
        <v>84</v>
      </c>
      <c r="C8" s="51">
        <f>E13-F13</f>
        <v>2.2826388888888889E-2</v>
      </c>
      <c r="D8" s="29">
        <f>INDEX('Points Summary'!$F$4:$F$1143,G8)</f>
        <v>99.460903353359868</v>
      </c>
      <c r="E8" s="124">
        <f>(AVERAGE($D$8:$D$9)/100*AVERAGE($C$8:$C$9))/C8</f>
        <v>1.0196316233490381</v>
      </c>
      <c r="F8" s="3"/>
      <c r="G8" s="2">
        <f>MATCH(B8,'Points Summary'!$B$4:$B$1144,0)</f>
        <v>13</v>
      </c>
    </row>
    <row r="9" spans="1:7" x14ac:dyDescent="0.25">
      <c r="A9" s="2">
        <v>46</v>
      </c>
      <c r="B9" s="3" t="s">
        <v>189</v>
      </c>
      <c r="C9" s="51">
        <f>E14-F14</f>
        <v>2.4126157407407409E-2</v>
      </c>
      <c r="D9" s="29">
        <f>INDEX('Points Summary'!$F$4:$F$1143,G9)</f>
        <v>98.820210613063381</v>
      </c>
      <c r="E9" s="124">
        <f>(AVERAGE($D$8:$D$9)/100*AVERAGE($C$8:$C$9))/C9</f>
        <v>0.96470016194241925</v>
      </c>
      <c r="F9" s="3"/>
      <c r="G9" s="2">
        <f>MATCH(B9,'Points Summary'!$B$4:$B$1144,0)</f>
        <v>120</v>
      </c>
    </row>
    <row r="10" spans="1:7" x14ac:dyDescent="0.25">
      <c r="A10" s="2"/>
      <c r="B10" s="3"/>
      <c r="C10" s="51"/>
      <c r="D10" s="29"/>
      <c r="E10" s="30"/>
      <c r="F10" s="3"/>
      <c r="G10" s="2"/>
    </row>
    <row r="11" spans="1:7" x14ac:dyDescent="0.25">
      <c r="A11" s="2"/>
      <c r="B11" s="3"/>
      <c r="C11" s="28"/>
      <c r="D11" s="29"/>
      <c r="E11" s="30"/>
      <c r="F11" s="3"/>
      <c r="G11" s="2"/>
    </row>
    <row r="12" spans="1:7" x14ac:dyDescent="0.25">
      <c r="A12" s="2"/>
      <c r="B12" s="3"/>
      <c r="C12" s="28"/>
      <c r="D12" s="29"/>
      <c r="E12" s="30"/>
      <c r="F12" s="3"/>
      <c r="G12" s="2"/>
    </row>
    <row r="13" spans="1:7" x14ac:dyDescent="0.25">
      <c r="A13" s="2"/>
      <c r="B13" s="3"/>
      <c r="C13" s="51">
        <v>2.2359953703703705E-2</v>
      </c>
      <c r="D13" s="51">
        <v>1.7627314814814814E-3</v>
      </c>
      <c r="E13" s="51">
        <f>C13+D13</f>
        <v>2.4122685185185185E-2</v>
      </c>
      <c r="F13" s="51">
        <f>TIME(0,1,52)</f>
        <v>1.2962962962962963E-3</v>
      </c>
      <c r="G13" s="2"/>
    </row>
    <row r="14" spans="1:7" x14ac:dyDescent="0.25">
      <c r="A14" s="2"/>
      <c r="B14" s="3"/>
      <c r="C14" s="51">
        <v>2.2359953703703705E-2</v>
      </c>
      <c r="D14" s="51">
        <v>2.8425925925925927E-3</v>
      </c>
      <c r="E14" s="51">
        <f>C14+D14</f>
        <v>2.5202546296296299E-2</v>
      </c>
      <c r="F14" s="51">
        <f>TIME(0,1,33)</f>
        <v>1.0763888888888889E-3</v>
      </c>
      <c r="G14" s="2"/>
    </row>
    <row r="15" spans="1:7" x14ac:dyDescent="0.25">
      <c r="A15" s="2"/>
      <c r="B15" s="3"/>
      <c r="C15" s="51"/>
      <c r="D15" s="51"/>
      <c r="E15" s="51"/>
      <c r="F15" s="3"/>
      <c r="G15" s="2"/>
    </row>
    <row r="16" spans="1:7" x14ac:dyDescent="0.25">
      <c r="A16" s="2"/>
      <c r="B16" s="3"/>
      <c r="C16" s="28"/>
      <c r="D16" s="29"/>
      <c r="E16" s="30"/>
      <c r="F16" s="3"/>
      <c r="G16" s="2"/>
    </row>
    <row r="17" spans="1:7" x14ac:dyDescent="0.25">
      <c r="A17" s="2"/>
      <c r="B17" s="3"/>
      <c r="C17" s="28"/>
      <c r="D17" s="29"/>
      <c r="E17" s="30"/>
      <c r="F17" s="3"/>
      <c r="G17" s="2"/>
    </row>
    <row r="18" spans="1:7" x14ac:dyDescent="0.25">
      <c r="A18" s="2"/>
      <c r="B18" s="3"/>
      <c r="C18" s="28"/>
      <c r="D18" s="29"/>
      <c r="E18" s="30" t="s">
        <v>29</v>
      </c>
      <c r="F18" s="3"/>
      <c r="G18" s="2"/>
    </row>
    <row r="19" spans="1:7" x14ac:dyDescent="0.25">
      <c r="A19" s="2"/>
      <c r="B19" s="3"/>
      <c r="C19" s="28"/>
      <c r="D19" s="29"/>
      <c r="E19" s="30"/>
      <c r="F19" s="3"/>
      <c r="G19" s="2"/>
    </row>
    <row r="20" spans="1:7" x14ac:dyDescent="0.25">
      <c r="A20" s="2"/>
      <c r="B20" s="3"/>
      <c r="C20" s="28"/>
      <c r="D20" s="29"/>
      <c r="E20" s="30"/>
      <c r="F20" s="3"/>
      <c r="G20" s="2"/>
    </row>
    <row r="21" spans="1:7" x14ac:dyDescent="0.25">
      <c r="A21" s="2"/>
      <c r="B21" s="3"/>
      <c r="C21" s="28"/>
      <c r="D21" s="29"/>
      <c r="E21" s="30"/>
      <c r="F21" s="3"/>
      <c r="G21" s="2"/>
    </row>
    <row r="22" spans="1:7" x14ac:dyDescent="0.25">
      <c r="A22" s="2"/>
      <c r="B22" s="3"/>
      <c r="C22" s="28"/>
      <c r="D22" s="29"/>
      <c r="E22" s="30"/>
      <c r="F22" s="3"/>
      <c r="G22" s="2"/>
    </row>
    <row r="23" spans="1:7" x14ac:dyDescent="0.25">
      <c r="A23" s="2"/>
      <c r="C23" s="28"/>
      <c r="D23" s="29"/>
      <c r="E23" s="30"/>
      <c r="F23" s="3"/>
      <c r="G23" s="2"/>
    </row>
    <row r="24" spans="1:7" x14ac:dyDescent="0.25">
      <c r="A24" s="2"/>
      <c r="C24" s="28"/>
      <c r="D24" s="29"/>
      <c r="E24" s="30"/>
      <c r="F24" s="3"/>
      <c r="G24" s="2"/>
    </row>
    <row r="25" spans="1:7" x14ac:dyDescent="0.25">
      <c r="A25" s="2"/>
      <c r="C25" s="28"/>
      <c r="D25" s="29"/>
      <c r="E25" s="30"/>
      <c r="F25" s="3"/>
      <c r="G25" s="2"/>
    </row>
    <row r="26" spans="1:7" x14ac:dyDescent="0.25">
      <c r="A26" s="2"/>
      <c r="C26" s="28"/>
      <c r="D26" s="29"/>
      <c r="E26" s="30"/>
      <c r="F26" s="3"/>
      <c r="G26" s="2"/>
    </row>
    <row r="27" spans="1:7" x14ac:dyDescent="0.25">
      <c r="A27" s="2"/>
      <c r="C27" s="28"/>
      <c r="D27" s="29"/>
      <c r="E27" s="30"/>
      <c r="F27" s="3"/>
      <c r="G27" s="2"/>
    </row>
    <row r="28" spans="1:7" x14ac:dyDescent="0.25">
      <c r="A28" s="2"/>
      <c r="B28" s="3"/>
      <c r="C28" s="28"/>
      <c r="D28" s="29"/>
      <c r="E28" s="30"/>
      <c r="F28" s="3"/>
      <c r="G28" s="2"/>
    </row>
    <row r="29" spans="1:7" x14ac:dyDescent="0.25">
      <c r="A29" s="2"/>
      <c r="B29" s="3"/>
      <c r="C29" s="28"/>
      <c r="D29" s="29"/>
      <c r="E29" s="30"/>
      <c r="F29" s="3"/>
      <c r="G29" s="2"/>
    </row>
    <row r="30" spans="1:7" x14ac:dyDescent="0.25">
      <c r="A30" s="2"/>
      <c r="B30" s="3"/>
      <c r="C30" s="28"/>
      <c r="D30" s="29"/>
      <c r="E30" s="30"/>
      <c r="F30" s="3"/>
      <c r="G30" s="2"/>
    </row>
    <row r="31" spans="1:7" x14ac:dyDescent="0.25">
      <c r="A31" s="2"/>
      <c r="B31" s="3"/>
      <c r="C31" s="28"/>
      <c r="D31" s="29"/>
      <c r="E31" s="30"/>
      <c r="F31" s="3"/>
      <c r="G31" s="2"/>
    </row>
    <row r="32" spans="1:7" x14ac:dyDescent="0.25">
      <c r="A32" s="2"/>
      <c r="B32" s="3"/>
      <c r="C32" s="28"/>
      <c r="D32" s="29"/>
      <c r="E32" s="30"/>
      <c r="F32" s="3"/>
      <c r="G32" s="2"/>
    </row>
    <row r="33" spans="1:7" x14ac:dyDescent="0.25">
      <c r="A33" s="2"/>
      <c r="B33" s="3"/>
      <c r="C33" s="28"/>
      <c r="D33" s="29"/>
      <c r="E33" s="30"/>
      <c r="F33" s="3"/>
      <c r="G33" s="2"/>
    </row>
    <row r="34" spans="1:7" x14ac:dyDescent="0.25">
      <c r="A34" s="2"/>
      <c r="B34" s="3"/>
      <c r="C34" s="28"/>
      <c r="D34" s="29"/>
      <c r="E34" s="30"/>
      <c r="F34" s="3"/>
      <c r="G34" s="2"/>
    </row>
    <row r="35" spans="1:7" x14ac:dyDescent="0.25">
      <c r="A35" s="2"/>
      <c r="B35" s="3"/>
      <c r="C35" s="28"/>
      <c r="D35" s="29"/>
      <c r="E35" s="30"/>
      <c r="F35" s="3"/>
      <c r="G35" s="2"/>
    </row>
    <row r="36" spans="1:7" x14ac:dyDescent="0.25">
      <c r="A36" s="2"/>
      <c r="B36" s="3"/>
      <c r="C36" s="28"/>
      <c r="D36" s="29"/>
      <c r="E36" s="30"/>
      <c r="F36" s="3"/>
      <c r="G36" s="2"/>
    </row>
    <row r="37" spans="1:7" x14ac:dyDescent="0.25">
      <c r="A37" s="2"/>
      <c r="B37" s="3"/>
      <c r="C37" s="28"/>
      <c r="D37" s="29"/>
      <c r="E37" s="30"/>
      <c r="F37" s="3"/>
      <c r="G37" s="2"/>
    </row>
  </sheetData>
  <sortState ref="A8:D21">
    <sortCondition descending="1" ref="D8:D21"/>
  </sortState>
  <phoneticPr fontId="9" type="noConversion"/>
  <printOptions horizontalCentered="1"/>
  <pageMargins left="0.75" right="0.75" top="1" bottom="1" header="0.5" footer="0.5"/>
  <pageSetup orientation="portrait" r:id="rId1"/>
  <headerFooter alignWithMargins="0">
    <oddHeader>&amp;L&amp;"Tahoma,Bold"&amp;11U.S. Biathlon Association&amp;R&amp;"Tahoma,Bold"&amp;11 2017 Race Points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3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3" width="9.6640625" style="42" customWidth="1"/>
    <col min="4" max="7" width="9.6640625" customWidth="1"/>
  </cols>
  <sheetData>
    <row r="1" spans="1:7" x14ac:dyDescent="0.25">
      <c r="A1" s="16" t="s">
        <v>22</v>
      </c>
      <c r="B1" s="17"/>
      <c r="C1" s="133"/>
      <c r="D1" s="18"/>
      <c r="E1" s="18"/>
      <c r="F1" s="18"/>
      <c r="G1" s="19"/>
    </row>
    <row r="2" spans="1:7" x14ac:dyDescent="0.25">
      <c r="A2" s="20" t="s">
        <v>23</v>
      </c>
      <c r="B2" s="21">
        <v>42813</v>
      </c>
      <c r="C2" s="56"/>
      <c r="D2" s="22"/>
      <c r="E2" s="22"/>
      <c r="F2" s="22"/>
      <c r="G2" s="23"/>
    </row>
    <row r="3" spans="1:7" x14ac:dyDescent="0.25">
      <c r="A3" s="20" t="s">
        <v>24</v>
      </c>
      <c r="B3" s="24" t="s">
        <v>44</v>
      </c>
      <c r="C3" s="56"/>
      <c r="D3" s="22"/>
      <c r="E3" s="22"/>
      <c r="F3" s="22"/>
      <c r="G3" s="23"/>
    </row>
    <row r="4" spans="1:7" x14ac:dyDescent="0.25">
      <c r="A4" s="20" t="s">
        <v>1</v>
      </c>
      <c r="B4" s="24" t="s">
        <v>466</v>
      </c>
      <c r="C4" s="56"/>
      <c r="D4" s="22"/>
      <c r="E4" s="22"/>
      <c r="F4" s="22"/>
      <c r="G4" s="23"/>
    </row>
    <row r="5" spans="1:7" x14ac:dyDescent="0.25">
      <c r="A5" s="20" t="s">
        <v>27</v>
      </c>
      <c r="B5" s="24" t="s">
        <v>708</v>
      </c>
      <c r="C5" s="56"/>
      <c r="D5" s="22"/>
      <c r="E5" s="22" t="s">
        <v>55</v>
      </c>
      <c r="F5" s="38">
        <f>AVERAGE(C8:C12)*(AVERAGE(D8:D12)/100)</f>
        <v>2.1516882620862769E-2</v>
      </c>
      <c r="G5" s="23"/>
    </row>
    <row r="6" spans="1:7" x14ac:dyDescent="0.25">
      <c r="A6" s="25" t="s">
        <v>29</v>
      </c>
      <c r="B6" s="26"/>
      <c r="C6" s="134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10</v>
      </c>
      <c r="B8" s="3" t="s">
        <v>832</v>
      </c>
      <c r="C8" s="51">
        <v>2.9228009259259256E-2</v>
      </c>
      <c r="D8" s="29">
        <f>INDEX('Points Summary'!$F$4:$F$1143,G8)</f>
        <v>73.043560901441296</v>
      </c>
      <c r="E8" s="30">
        <f t="shared" ref="E8:E17" si="0">(AVERAGE($D$8:$D$12)/100*AVERAGE($C$8:$C$12))/C8</f>
        <v>0.73617338868353999</v>
      </c>
      <c r="F8" s="3"/>
      <c r="G8" s="2">
        <f>MATCH(B8,'Points Summary'!$B$4:$B$1144,0)</f>
        <v>367</v>
      </c>
    </row>
    <row r="9" spans="1:7" x14ac:dyDescent="0.25">
      <c r="A9" s="2">
        <v>5</v>
      </c>
      <c r="B9" s="3" t="s">
        <v>8</v>
      </c>
      <c r="C9" s="51">
        <v>2.9938657407407407E-2</v>
      </c>
      <c r="D9" s="29">
        <f>INDEX('Points Summary'!$F$4:$F$1143,G9)</f>
        <v>67.132561141984624</v>
      </c>
      <c r="E9" s="30">
        <f t="shared" si="0"/>
        <v>0.71869898265842314</v>
      </c>
      <c r="F9" s="3"/>
      <c r="G9" s="2">
        <f>MATCH(B9,'Points Summary'!$B$4:$B$1144,0)</f>
        <v>89</v>
      </c>
    </row>
    <row r="10" spans="1:7" x14ac:dyDescent="0.25">
      <c r="A10" s="2">
        <v>22</v>
      </c>
      <c r="B10" s="3" t="s">
        <v>106</v>
      </c>
      <c r="C10" s="51">
        <v>3.5490740740740746E-2</v>
      </c>
      <c r="D10" s="29">
        <f>INDEX('Points Summary'!$F$4:$F$1143,G10)</f>
        <v>68.483457061753498</v>
      </c>
      <c r="E10" s="30">
        <f t="shared" si="0"/>
        <v>0.60626749883985875</v>
      </c>
      <c r="F10" s="3"/>
      <c r="G10" s="2">
        <f>MATCH(B10,'Points Summary'!$B$4:$B$1144,0)</f>
        <v>45</v>
      </c>
    </row>
    <row r="11" spans="1:7" x14ac:dyDescent="0.25">
      <c r="A11" s="2">
        <v>14</v>
      </c>
      <c r="B11" s="3" t="s">
        <v>71</v>
      </c>
      <c r="C11" s="51">
        <v>3.0168981481481481E-2</v>
      </c>
      <c r="D11" s="29">
        <f>INDEX('Points Summary'!$F$4:$F$1143,G11)</f>
        <v>69.764333832680848</v>
      </c>
      <c r="E11" s="30">
        <f t="shared" si="0"/>
        <v>0.71321209945620478</v>
      </c>
      <c r="F11" s="3"/>
      <c r="G11" s="2">
        <f>MATCH(B11,'Points Summary'!$B$4:$B$1144,0)</f>
        <v>431</v>
      </c>
    </row>
    <row r="12" spans="1:7" x14ac:dyDescent="0.25">
      <c r="A12" s="2">
        <v>15</v>
      </c>
      <c r="B12" s="3" t="s">
        <v>155</v>
      </c>
      <c r="C12" s="51">
        <v>3.1225694444444448E-2</v>
      </c>
      <c r="D12" s="29">
        <f>INDEX('Points Summary'!$F$4:$F$1143,G12)</f>
        <v>66.28283754655763</v>
      </c>
      <c r="E12" s="30">
        <f t="shared" si="0"/>
        <v>0.68907619201695502</v>
      </c>
      <c r="F12" s="3"/>
      <c r="G12" s="2">
        <f>MATCH(B12,'Points Summary'!$B$4:$B$1144,0)</f>
        <v>204</v>
      </c>
    </row>
    <row r="13" spans="1:7" x14ac:dyDescent="0.25">
      <c r="A13" s="2">
        <v>15</v>
      </c>
      <c r="B13" s="3" t="s">
        <v>703</v>
      </c>
      <c r="C13" s="51">
        <v>3.2165509259259262E-2</v>
      </c>
      <c r="D13" s="29">
        <f>INDEX('Points Summary'!$F$4:$F$1143,G13)</f>
        <v>61.801366437796901</v>
      </c>
      <c r="E13" s="30">
        <f t="shared" si="0"/>
        <v>0.66894270031396608</v>
      </c>
      <c r="F13" s="3"/>
      <c r="G13" s="2">
        <f>MATCH(B13,'Points Summary'!$B$4:$B$1144,0)</f>
        <v>211</v>
      </c>
    </row>
    <row r="14" spans="1:7" x14ac:dyDescent="0.25">
      <c r="A14" s="2">
        <v>16</v>
      </c>
      <c r="B14" s="3" t="s">
        <v>13</v>
      </c>
      <c r="C14" s="51">
        <v>3.2212962962962964E-2</v>
      </c>
      <c r="D14" s="29">
        <f>INDEX('Points Summary'!$F$4:$F$1143,G14)</f>
        <v>65.133504013378101</v>
      </c>
      <c r="E14" s="30">
        <f t="shared" si="0"/>
        <v>0.66795726445909143</v>
      </c>
      <c r="F14" s="3"/>
      <c r="G14" s="2">
        <f>MATCH(B14,'Points Summary'!$B$4:$B$1144,0)</f>
        <v>184</v>
      </c>
    </row>
    <row r="15" spans="1:7" x14ac:dyDescent="0.25">
      <c r="A15" s="2">
        <v>20</v>
      </c>
      <c r="B15" s="3" t="s">
        <v>396</v>
      </c>
      <c r="C15" s="51">
        <v>3.3769675925925925E-2</v>
      </c>
      <c r="D15" s="29" t="e">
        <f>INDEX('Points Summary'!$F$4:$F$1143,G15)</f>
        <v>#N/A</v>
      </c>
      <c r="E15" s="30">
        <f t="shared" si="0"/>
        <v>0.63716580129641265</v>
      </c>
      <c r="F15" s="3"/>
      <c r="G15" s="2" t="e">
        <f>MATCH(B15,'Points Summary'!$B$4:$B$1144,0)</f>
        <v>#N/A</v>
      </c>
    </row>
    <row r="16" spans="1:7" x14ac:dyDescent="0.25">
      <c r="A16" s="2">
        <v>20</v>
      </c>
      <c r="B16" s="3" t="s">
        <v>145</v>
      </c>
      <c r="C16" s="51">
        <v>3.2011574074074074E-2</v>
      </c>
      <c r="D16" s="29">
        <f>INDEX('Points Summary'!$F$4:$F$1143,G16)</f>
        <v>58.80339108596209</v>
      </c>
      <c r="E16" s="30">
        <f t="shared" si="0"/>
        <v>0.67215946866821286</v>
      </c>
      <c r="F16" s="3"/>
      <c r="G16" s="2">
        <f>MATCH(B16,'Points Summary'!$B$4:$B$1144,0)</f>
        <v>447</v>
      </c>
    </row>
    <row r="17" spans="1:7" x14ac:dyDescent="0.25">
      <c r="A17" s="2">
        <v>2</v>
      </c>
      <c r="B17" s="3" t="s">
        <v>657</v>
      </c>
      <c r="C17" s="51">
        <v>2.7305555555555555E-2</v>
      </c>
      <c r="D17" s="29">
        <f>INDEX('Points Summary'!$F$4:$F$1143,G17)</f>
        <v>0</v>
      </c>
      <c r="E17" s="30">
        <f t="shared" si="0"/>
        <v>0.78800383962467924</v>
      </c>
      <c r="F17" s="3"/>
      <c r="G17" s="2">
        <f>MATCH(B17,'Points Summary'!$B$4:$B$1144,0)</f>
        <v>378</v>
      </c>
    </row>
    <row r="18" spans="1:7" x14ac:dyDescent="0.25">
      <c r="A18" s="2"/>
      <c r="B18" s="3"/>
      <c r="C18" s="51"/>
      <c r="D18" s="29"/>
      <c r="E18" s="30"/>
      <c r="F18" s="3"/>
      <c r="G18" s="2"/>
    </row>
    <row r="19" spans="1:7" x14ac:dyDescent="0.25">
      <c r="A19" s="2"/>
      <c r="B19" s="3"/>
      <c r="C19" s="51"/>
      <c r="D19" s="29"/>
      <c r="E19" s="30"/>
      <c r="F19" s="3"/>
      <c r="G19" s="2"/>
    </row>
    <row r="20" spans="1:7" x14ac:dyDescent="0.25">
      <c r="A20" s="2"/>
      <c r="B20" s="3"/>
      <c r="C20" s="51"/>
      <c r="D20" s="29"/>
      <c r="E20" s="30"/>
      <c r="F20" s="3"/>
      <c r="G20" s="2"/>
    </row>
    <row r="21" spans="1:7" x14ac:dyDescent="0.25">
      <c r="A21" s="2"/>
      <c r="B21" s="3"/>
      <c r="C21" s="51"/>
      <c r="D21" s="29"/>
      <c r="E21" s="30"/>
      <c r="F21" s="3"/>
      <c r="G21" s="2"/>
    </row>
    <row r="22" spans="1:7" x14ac:dyDescent="0.25">
      <c r="A22" s="2"/>
      <c r="B22" s="3"/>
      <c r="C22" s="51"/>
      <c r="D22" s="29"/>
      <c r="E22" s="30"/>
      <c r="F22" s="3"/>
      <c r="G22" s="2"/>
    </row>
    <row r="23" spans="1:7" x14ac:dyDescent="0.25">
      <c r="A23" s="2"/>
      <c r="B23" s="3"/>
      <c r="C23" s="51"/>
      <c r="D23" s="29"/>
      <c r="E23" s="30"/>
      <c r="F23" s="3"/>
      <c r="G23" s="2"/>
    </row>
    <row r="24" spans="1:7" x14ac:dyDescent="0.25">
      <c r="A24" s="2"/>
      <c r="B24" s="3"/>
      <c r="C24" s="51"/>
      <c r="D24" s="29"/>
      <c r="E24" s="30"/>
      <c r="F24" s="3"/>
      <c r="G24" s="2"/>
    </row>
    <row r="25" spans="1:7" x14ac:dyDescent="0.25">
      <c r="A25" s="2"/>
      <c r="B25" s="3"/>
      <c r="C25" s="51"/>
      <c r="D25" s="29"/>
      <c r="E25" s="30"/>
      <c r="F25" s="3"/>
      <c r="G25" s="2"/>
    </row>
    <row r="26" spans="1:7" x14ac:dyDescent="0.25">
      <c r="A26" s="2"/>
      <c r="B26" s="3"/>
      <c r="C26" s="51"/>
      <c r="D26" s="29"/>
      <c r="E26" s="30"/>
      <c r="F26" s="3"/>
      <c r="G26" s="2"/>
    </row>
    <row r="27" spans="1:7" x14ac:dyDescent="0.25">
      <c r="A27" s="2"/>
      <c r="B27" s="3"/>
      <c r="C27" s="51"/>
      <c r="D27" s="29"/>
      <c r="E27" s="30"/>
      <c r="F27" s="3"/>
      <c r="G27" s="2"/>
    </row>
    <row r="28" spans="1:7" x14ac:dyDescent="0.25">
      <c r="A28" s="2"/>
      <c r="B28" s="3"/>
      <c r="C28" s="51"/>
      <c r="D28" s="29"/>
      <c r="E28" s="30"/>
      <c r="F28" s="3"/>
      <c r="G28" s="2"/>
    </row>
    <row r="29" spans="1:7" x14ac:dyDescent="0.25">
      <c r="A29" s="2"/>
      <c r="B29" s="3"/>
      <c r="C29" s="51"/>
      <c r="D29" s="29"/>
      <c r="E29" s="30"/>
      <c r="F29" s="3"/>
      <c r="G29" s="2"/>
    </row>
    <row r="30" spans="1:7" x14ac:dyDescent="0.25">
      <c r="A30" s="2"/>
      <c r="B30" s="3"/>
      <c r="C30" s="51"/>
      <c r="D30" s="29"/>
      <c r="E30" s="30"/>
      <c r="F30" s="3"/>
      <c r="G30" s="2"/>
    </row>
    <row r="31" spans="1:7" x14ac:dyDescent="0.25">
      <c r="A31" s="2"/>
      <c r="B31" s="3"/>
      <c r="C31" s="51"/>
      <c r="D31" s="29"/>
      <c r="E31" s="30"/>
      <c r="F31" s="3"/>
      <c r="G31" s="2"/>
    </row>
    <row r="32" spans="1:7" x14ac:dyDescent="0.25">
      <c r="A32" s="2"/>
      <c r="B32" s="3"/>
      <c r="C32" s="51"/>
      <c r="D32" s="29"/>
      <c r="E32" s="30"/>
      <c r="F32" s="3"/>
      <c r="G32" s="2"/>
    </row>
    <row r="33" spans="1:7" x14ac:dyDescent="0.25">
      <c r="A33" s="2"/>
      <c r="B33" s="3"/>
      <c r="C33" s="51"/>
      <c r="D33" s="29"/>
      <c r="E33" s="30"/>
      <c r="F33" s="3"/>
      <c r="G33" s="2"/>
    </row>
    <row r="34" spans="1:7" x14ac:dyDescent="0.25">
      <c r="A34" s="2"/>
      <c r="B34" s="3"/>
      <c r="C34" s="51"/>
      <c r="D34" s="29"/>
      <c r="E34" s="30"/>
      <c r="F34" s="3"/>
      <c r="G34" s="2"/>
    </row>
    <row r="35" spans="1:7" x14ac:dyDescent="0.25">
      <c r="A35" s="2"/>
      <c r="B35" s="3"/>
      <c r="C35" s="51"/>
      <c r="D35" s="29"/>
      <c r="E35" s="30"/>
      <c r="F35" s="3"/>
      <c r="G35" s="2"/>
    </row>
    <row r="36" spans="1:7" x14ac:dyDescent="0.25">
      <c r="A36" s="2"/>
      <c r="B36" s="3"/>
      <c r="C36" s="51"/>
      <c r="D36" s="29"/>
      <c r="E36" s="30"/>
      <c r="F36" s="3"/>
      <c r="G36" s="2"/>
    </row>
    <row r="37" spans="1:7" x14ac:dyDescent="0.25">
      <c r="A37" s="2"/>
      <c r="B37" s="3"/>
      <c r="C37" s="51"/>
      <c r="D37" s="29"/>
      <c r="E37" s="30"/>
      <c r="F37" s="3"/>
      <c r="G37" s="2"/>
    </row>
    <row r="38" spans="1:7" x14ac:dyDescent="0.25">
      <c r="A38" s="2"/>
      <c r="B38" s="3"/>
      <c r="C38" s="51"/>
      <c r="D38" s="29"/>
      <c r="E38" s="30"/>
      <c r="F38" s="3"/>
      <c r="G38" s="2"/>
    </row>
    <row r="39" spans="1:7" x14ac:dyDescent="0.25">
      <c r="A39" s="2"/>
      <c r="B39" s="3"/>
      <c r="C39" s="51"/>
      <c r="D39" s="29"/>
      <c r="E39" s="30"/>
      <c r="F39" s="3"/>
      <c r="G39" s="2"/>
    </row>
    <row r="40" spans="1:7" x14ac:dyDescent="0.25">
      <c r="A40" s="2"/>
      <c r="B40" s="3"/>
      <c r="C40" s="51"/>
      <c r="D40" s="29"/>
      <c r="E40" s="30"/>
      <c r="F40" s="3"/>
      <c r="G40" s="2"/>
    </row>
    <row r="41" spans="1:7" x14ac:dyDescent="0.25">
      <c r="A41" s="2"/>
      <c r="B41" s="3"/>
      <c r="C41" s="51"/>
      <c r="D41" s="29"/>
      <c r="E41" s="30"/>
      <c r="F41" s="3"/>
      <c r="G41" s="2"/>
    </row>
    <row r="42" spans="1:7" x14ac:dyDescent="0.25">
      <c r="A42" s="2"/>
      <c r="B42" s="3"/>
      <c r="C42" s="51"/>
      <c r="D42" s="29"/>
      <c r="E42" s="30"/>
      <c r="F42" s="3"/>
      <c r="G42" s="2"/>
    </row>
    <row r="43" spans="1:7" x14ac:dyDescent="0.25">
      <c r="A43" s="2"/>
      <c r="B43" s="3"/>
      <c r="C43" s="51"/>
      <c r="D43" s="29"/>
      <c r="E43" s="30"/>
      <c r="F43" s="3"/>
      <c r="G43" s="2"/>
    </row>
    <row r="44" spans="1:7" x14ac:dyDescent="0.25">
      <c r="A44" s="2"/>
      <c r="B44" s="3"/>
      <c r="C44" s="51"/>
      <c r="D44" s="29"/>
      <c r="E44" s="30"/>
      <c r="F44" s="3"/>
      <c r="G44" s="2"/>
    </row>
    <row r="45" spans="1:7" x14ac:dyDescent="0.25">
      <c r="A45" s="2"/>
      <c r="B45" s="3"/>
      <c r="C45" s="51"/>
      <c r="D45" s="29"/>
      <c r="E45" s="30"/>
      <c r="F45" s="3"/>
      <c r="G45" s="2"/>
    </row>
    <row r="46" spans="1:7" x14ac:dyDescent="0.25">
      <c r="A46" s="2"/>
      <c r="B46" s="3"/>
      <c r="C46" s="51"/>
      <c r="D46" s="29"/>
      <c r="E46" s="30"/>
      <c r="F46" s="3"/>
      <c r="G46" s="2"/>
    </row>
    <row r="47" spans="1:7" x14ac:dyDescent="0.25">
      <c r="A47" s="2"/>
      <c r="B47" s="3"/>
      <c r="C47" s="51"/>
      <c r="D47" s="29"/>
      <c r="E47" s="30"/>
      <c r="F47" s="3"/>
      <c r="G47" s="2"/>
    </row>
    <row r="48" spans="1:7" x14ac:dyDescent="0.25">
      <c r="A48" s="2"/>
      <c r="B48" s="3"/>
      <c r="C48" s="51"/>
      <c r="D48" s="29"/>
      <c r="E48" s="30"/>
      <c r="F48" s="3"/>
      <c r="G48" s="2"/>
    </row>
    <row r="49" spans="1:7" x14ac:dyDescent="0.25">
      <c r="A49" s="2"/>
      <c r="B49" s="3"/>
      <c r="C49" s="51"/>
      <c r="D49" s="29"/>
      <c r="E49" s="30"/>
      <c r="F49" s="3"/>
      <c r="G49" s="2"/>
    </row>
    <row r="50" spans="1:7" x14ac:dyDescent="0.25">
      <c r="A50" s="2"/>
      <c r="B50" s="3"/>
      <c r="C50" s="51"/>
      <c r="D50" s="29"/>
      <c r="E50" s="30"/>
      <c r="F50" s="3"/>
      <c r="G50" s="2"/>
    </row>
    <row r="51" spans="1:7" x14ac:dyDescent="0.25">
      <c r="A51" s="2"/>
      <c r="B51" s="3"/>
      <c r="C51" s="51"/>
      <c r="D51" s="29"/>
      <c r="E51" s="30"/>
      <c r="F51" s="3"/>
      <c r="G51" s="2"/>
    </row>
    <row r="52" spans="1:7" x14ac:dyDescent="0.25">
      <c r="A52" s="2"/>
      <c r="B52" s="3"/>
      <c r="C52" s="51"/>
      <c r="D52" s="29"/>
      <c r="E52" s="30"/>
      <c r="F52" s="3"/>
      <c r="G52" s="2"/>
    </row>
    <row r="53" spans="1:7" x14ac:dyDescent="0.25">
      <c r="A53" s="2"/>
      <c r="B53" s="3"/>
      <c r="C53" s="51"/>
      <c r="D53" s="29"/>
      <c r="E53" s="30"/>
      <c r="F53" s="3"/>
      <c r="G53" s="2"/>
    </row>
    <row r="54" spans="1:7" x14ac:dyDescent="0.25">
      <c r="A54" s="2"/>
      <c r="B54" s="3"/>
      <c r="C54" s="51"/>
      <c r="D54" s="3"/>
      <c r="E54" s="3"/>
      <c r="F54" s="3"/>
      <c r="G54" s="3"/>
    </row>
    <row r="55" spans="1:7" x14ac:dyDescent="0.25">
      <c r="A55" s="2"/>
      <c r="B55" s="3"/>
      <c r="C55" s="51"/>
      <c r="D55" s="3"/>
      <c r="E55" s="3"/>
      <c r="F55" s="3"/>
      <c r="G55" s="3"/>
    </row>
    <row r="56" spans="1:7" x14ac:dyDescent="0.25">
      <c r="A56" s="2"/>
      <c r="B56" s="3"/>
      <c r="C56" s="51"/>
      <c r="D56" s="3"/>
      <c r="E56" s="3"/>
      <c r="F56" s="3"/>
      <c r="G56" s="3"/>
    </row>
    <row r="57" spans="1:7" x14ac:dyDescent="0.25">
      <c r="A57" s="2"/>
      <c r="B57" s="3"/>
      <c r="C57" s="51"/>
      <c r="D57" s="3"/>
      <c r="E57" s="3"/>
      <c r="F57" s="3"/>
      <c r="G57" s="3"/>
    </row>
    <row r="58" spans="1:7" x14ac:dyDescent="0.25">
      <c r="A58" s="3"/>
      <c r="B58" s="3"/>
      <c r="C58" s="51"/>
      <c r="D58" s="3"/>
      <c r="E58" s="3"/>
      <c r="F58" s="3"/>
      <c r="G58" s="3"/>
    </row>
    <row r="59" spans="1:7" x14ac:dyDescent="0.25">
      <c r="A59" s="3"/>
      <c r="B59" s="3"/>
      <c r="C59" s="51"/>
      <c r="D59" s="3"/>
      <c r="E59" s="3"/>
      <c r="F59" s="3"/>
      <c r="G59" s="3"/>
    </row>
    <row r="60" spans="1:7" x14ac:dyDescent="0.25">
      <c r="A60" s="3"/>
      <c r="B60" s="3"/>
      <c r="C60" s="2"/>
      <c r="D60" s="3"/>
      <c r="E60" s="3"/>
      <c r="F60" s="3"/>
      <c r="G60" s="3"/>
    </row>
    <row r="61" spans="1:7" x14ac:dyDescent="0.25">
      <c r="A61" s="3"/>
      <c r="B61" s="3"/>
      <c r="C61" s="2"/>
      <c r="D61" s="3"/>
      <c r="E61" s="3"/>
      <c r="F61" s="3"/>
      <c r="G61" s="3"/>
    </row>
    <row r="62" spans="1:7" x14ac:dyDescent="0.25">
      <c r="A62" s="3"/>
      <c r="B62" s="3"/>
      <c r="C62" s="2"/>
      <c r="D62" s="3"/>
      <c r="E62" s="3"/>
      <c r="F62" s="3"/>
      <c r="G62" s="3"/>
    </row>
    <row r="63" spans="1:7" x14ac:dyDescent="0.25">
      <c r="A63" s="3"/>
      <c r="B63" s="3"/>
      <c r="C63" s="2"/>
      <c r="D63" s="3"/>
      <c r="E63" s="3"/>
      <c r="F63" s="3"/>
      <c r="G63" s="3"/>
    </row>
  </sheetData>
  <sortState ref="A8:G17">
    <sortCondition descending="1" ref="D8:D17"/>
  </sortState>
  <printOptions horizontalCentered="1"/>
  <pageMargins left="0.7" right="0.7" top="0.75" bottom="0.75" header="0.3" footer="0.3"/>
  <pageSetup orientation="portrait" r:id="rId1"/>
  <headerFooter>
    <oddHeader>&amp;L&amp;"Tahoma,Bold"&amp;11U.S. Biathlon Association&amp;R&amp;"Tahoma,Bold"&amp;11 2017 Race Points</oddHeader>
    <oddFooter>&amp;R&amp;"Tahoma,Regular"Page &amp;P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8" x14ac:dyDescent="0.25">
      <c r="A1" s="16" t="s">
        <v>22</v>
      </c>
      <c r="B1" s="17"/>
      <c r="C1" s="18"/>
      <c r="D1" s="18"/>
      <c r="E1" s="18"/>
      <c r="F1" s="18"/>
      <c r="G1" s="19"/>
    </row>
    <row r="2" spans="1:8" x14ac:dyDescent="0.25">
      <c r="A2" s="20" t="s">
        <v>23</v>
      </c>
      <c r="B2" s="21">
        <v>42813</v>
      </c>
      <c r="C2" s="22"/>
      <c r="D2" s="22"/>
      <c r="E2" s="22"/>
      <c r="F2" s="22"/>
      <c r="G2" s="23"/>
    </row>
    <row r="3" spans="1:8" x14ac:dyDescent="0.25">
      <c r="A3" s="20" t="s">
        <v>24</v>
      </c>
      <c r="B3" s="24" t="s">
        <v>44</v>
      </c>
      <c r="C3" s="22"/>
      <c r="D3" s="22"/>
      <c r="E3" s="22"/>
      <c r="F3" s="22"/>
      <c r="G3" s="23"/>
    </row>
    <row r="4" spans="1:8" x14ac:dyDescent="0.25">
      <c r="A4" s="20" t="s">
        <v>1</v>
      </c>
      <c r="B4" s="24" t="s">
        <v>466</v>
      </c>
      <c r="C4" s="22"/>
      <c r="D4" s="22"/>
      <c r="E4" s="22"/>
      <c r="F4" s="22"/>
      <c r="G4" s="23"/>
    </row>
    <row r="5" spans="1:8" x14ac:dyDescent="0.25">
      <c r="A5" s="20" t="s">
        <v>27</v>
      </c>
      <c r="B5" s="24" t="s">
        <v>708</v>
      </c>
      <c r="C5" s="22"/>
      <c r="D5" s="22"/>
      <c r="E5" s="22" t="s">
        <v>55</v>
      </c>
      <c r="F5" s="38" t="e">
        <f>AVERAGE(C8:C10)*(AVERAGE(D8:D10)/100)</f>
        <v>#N/A</v>
      </c>
      <c r="G5" s="23"/>
    </row>
    <row r="6" spans="1:8" x14ac:dyDescent="0.25">
      <c r="A6" s="25" t="s">
        <v>29</v>
      </c>
      <c r="B6" s="26"/>
      <c r="C6" s="26"/>
      <c r="D6" s="26"/>
      <c r="E6" s="26"/>
      <c r="F6" s="26"/>
      <c r="G6" s="27"/>
    </row>
    <row r="7" spans="1:8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8" x14ac:dyDescent="0.25">
      <c r="A8" s="2">
        <v>13</v>
      </c>
      <c r="B8" s="3" t="s">
        <v>109</v>
      </c>
      <c r="C8" s="51">
        <v>2.7270833333333338E-2</v>
      </c>
      <c r="D8" s="29">
        <f>INDEX('Points Summary'!$F$4:$F$1143,G8)</f>
        <v>63.735816432134548</v>
      </c>
      <c r="E8" s="124" t="e">
        <f>(AVERAGE($D$8:$D$10)/100*AVERAGE($C$8:$C$10))/C8</f>
        <v>#N/A</v>
      </c>
      <c r="F8" s="3"/>
      <c r="G8" s="2">
        <f>MATCH(B8,'Points Summary'!$B$4:$B$1144,0)</f>
        <v>376</v>
      </c>
      <c r="H8" s="42"/>
    </row>
    <row r="9" spans="1:8" x14ac:dyDescent="0.25">
      <c r="A9" s="2">
        <v>10</v>
      </c>
      <c r="B9" s="3" t="s">
        <v>905</v>
      </c>
      <c r="C9" s="51">
        <v>3.0068287037037036E-2</v>
      </c>
      <c r="D9" s="29" t="e">
        <f>INDEX('Points Summary'!$F$4:$F$1143,G9)</f>
        <v>#N/A</v>
      </c>
      <c r="E9" s="124" t="e">
        <f>(AVERAGE($D$8:$D$10)/100*AVERAGE($C$8:$C$10))/C9</f>
        <v>#N/A</v>
      </c>
      <c r="F9" s="3"/>
      <c r="G9" s="2" t="e">
        <f>MATCH(B9,'Points Summary'!$B$4:$B$1144,0)</f>
        <v>#N/A</v>
      </c>
      <c r="H9" s="42"/>
    </row>
    <row r="10" spans="1:8" x14ac:dyDescent="0.25">
      <c r="A10" s="2"/>
      <c r="B10" s="3"/>
      <c r="C10" s="51"/>
      <c r="D10" s="29"/>
      <c r="E10" s="124"/>
      <c r="F10" s="3"/>
      <c r="G10" s="2"/>
      <c r="H10" s="42"/>
    </row>
    <row r="11" spans="1:8" x14ac:dyDescent="0.25">
      <c r="A11" s="2"/>
      <c r="B11" s="3"/>
      <c r="C11" s="51"/>
      <c r="D11" s="29"/>
      <c r="E11" s="124"/>
      <c r="F11" s="3"/>
      <c r="G11" s="2"/>
      <c r="H11" s="42"/>
    </row>
    <row r="12" spans="1:8" x14ac:dyDescent="0.25">
      <c r="A12" s="2"/>
      <c r="B12" s="3"/>
      <c r="C12" s="51"/>
      <c r="D12" s="29"/>
      <c r="E12" s="124"/>
      <c r="F12" s="3"/>
      <c r="G12" s="2"/>
      <c r="H12" s="42"/>
    </row>
    <row r="13" spans="1:8" x14ac:dyDescent="0.25">
      <c r="A13" s="2"/>
      <c r="B13" s="3"/>
      <c r="C13" s="51"/>
      <c r="D13" s="29"/>
      <c r="E13" s="124"/>
      <c r="F13" s="3"/>
      <c r="G13" s="2"/>
      <c r="H13" s="42"/>
    </row>
    <row r="14" spans="1:8" x14ac:dyDescent="0.25">
      <c r="A14" s="2"/>
      <c r="B14" s="3"/>
      <c r="C14" s="51"/>
      <c r="D14" s="29"/>
      <c r="E14" s="124"/>
      <c r="F14" s="3"/>
      <c r="G14" s="2"/>
      <c r="H14" s="42"/>
    </row>
    <row r="15" spans="1:8" x14ac:dyDescent="0.25">
      <c r="A15" s="2"/>
      <c r="B15" s="3"/>
      <c r="C15" s="51"/>
      <c r="D15" s="29"/>
      <c r="E15" s="124"/>
      <c r="F15" s="3"/>
      <c r="G15" s="2"/>
      <c r="H15" s="42"/>
    </row>
    <row r="16" spans="1:8" x14ac:dyDescent="0.25">
      <c r="A16" s="2"/>
      <c r="B16" s="3"/>
      <c r="C16" s="51"/>
      <c r="D16" s="29"/>
      <c r="E16" s="124"/>
      <c r="F16" s="3"/>
      <c r="G16" s="2"/>
      <c r="H16" s="42"/>
    </row>
    <row r="17" spans="1:8" x14ac:dyDescent="0.25">
      <c r="A17" s="2"/>
      <c r="B17" s="3"/>
      <c r="C17" s="51"/>
      <c r="D17" s="29"/>
      <c r="E17" s="124"/>
      <c r="F17" s="3"/>
      <c r="G17" s="2"/>
      <c r="H17" s="42"/>
    </row>
    <row r="18" spans="1:8" x14ac:dyDescent="0.25">
      <c r="A18" s="2"/>
      <c r="B18" s="3"/>
      <c r="C18" s="51"/>
      <c r="D18" s="29"/>
      <c r="E18" s="30"/>
      <c r="F18" s="3"/>
      <c r="G18" s="2"/>
      <c r="H18" s="42"/>
    </row>
    <row r="19" spans="1:8" x14ac:dyDescent="0.25">
      <c r="A19" s="2"/>
      <c r="B19" s="3"/>
      <c r="C19" s="51"/>
      <c r="D19" s="29"/>
      <c r="E19" s="30"/>
      <c r="F19" s="3"/>
      <c r="G19" s="2"/>
      <c r="H19" s="42"/>
    </row>
    <row r="20" spans="1:8" x14ac:dyDescent="0.25">
      <c r="A20" s="2"/>
      <c r="B20" s="3"/>
      <c r="C20" s="51"/>
      <c r="D20" s="29"/>
      <c r="E20" s="30"/>
      <c r="F20" s="3"/>
      <c r="G20" s="2"/>
      <c r="H20" s="42"/>
    </row>
    <row r="21" spans="1:8" x14ac:dyDescent="0.25">
      <c r="A21" s="2"/>
      <c r="B21" s="3"/>
      <c r="C21" s="51"/>
      <c r="D21" s="29"/>
      <c r="E21" s="30"/>
      <c r="F21" s="3"/>
      <c r="G21" s="2"/>
      <c r="H21" s="42"/>
    </row>
    <row r="22" spans="1:8" x14ac:dyDescent="0.25">
      <c r="A22" s="42"/>
      <c r="B22" s="3"/>
      <c r="C22" s="51"/>
      <c r="D22" s="29"/>
      <c r="E22" s="30"/>
      <c r="F22" s="3"/>
      <c r="G22" s="2"/>
      <c r="H22" s="42"/>
    </row>
    <row r="23" spans="1:8" x14ac:dyDescent="0.25">
      <c r="A23" s="42"/>
      <c r="B23" s="3"/>
      <c r="C23" s="51"/>
      <c r="D23" s="29"/>
      <c r="E23" s="30"/>
      <c r="F23" s="3"/>
      <c r="G23" s="2"/>
      <c r="H23" s="42"/>
    </row>
    <row r="24" spans="1:8" x14ac:dyDescent="0.25">
      <c r="A24" s="2"/>
      <c r="B24" s="3"/>
      <c r="C24" s="51"/>
      <c r="D24" s="29"/>
      <c r="E24" s="30"/>
      <c r="F24" s="3"/>
      <c r="G24" s="2"/>
      <c r="H24" s="42"/>
    </row>
    <row r="25" spans="1:8" x14ac:dyDescent="0.25">
      <c r="A25" s="42"/>
      <c r="B25" s="3"/>
      <c r="C25" s="51"/>
      <c r="D25" s="29"/>
      <c r="E25" s="30"/>
      <c r="F25" s="3"/>
      <c r="G25" s="2"/>
      <c r="H25" s="42"/>
    </row>
    <row r="26" spans="1:8" x14ac:dyDescent="0.25">
      <c r="A26" s="2"/>
      <c r="B26" s="3"/>
      <c r="C26" s="51"/>
      <c r="D26" s="29"/>
      <c r="E26" s="30"/>
      <c r="F26" s="3"/>
      <c r="G26" s="2"/>
      <c r="H26" s="42"/>
    </row>
    <row r="27" spans="1:8" x14ac:dyDescent="0.25">
      <c r="A27" s="42"/>
      <c r="B27" s="3"/>
      <c r="C27" s="28"/>
      <c r="D27" s="29"/>
      <c r="E27" s="30"/>
      <c r="F27" s="3"/>
      <c r="G27" s="2"/>
    </row>
    <row r="28" spans="1:8" x14ac:dyDescent="0.25">
      <c r="A28" s="42"/>
      <c r="B28" s="3"/>
      <c r="C28" s="28"/>
      <c r="D28" s="29"/>
      <c r="E28" s="30"/>
      <c r="F28" s="3"/>
      <c r="G28" s="2"/>
    </row>
    <row r="29" spans="1:8" x14ac:dyDescent="0.25">
      <c r="A29" s="42"/>
      <c r="B29" s="3"/>
      <c r="C29" s="28"/>
      <c r="D29" s="29"/>
      <c r="E29" s="30"/>
      <c r="F29" s="3"/>
      <c r="G29" s="2"/>
    </row>
    <row r="30" spans="1:8" x14ac:dyDescent="0.25">
      <c r="A30" s="2"/>
      <c r="B30" s="3"/>
      <c r="C30" s="28"/>
      <c r="D30" s="29"/>
      <c r="E30" s="30"/>
      <c r="F30" s="3"/>
      <c r="G30" s="2"/>
    </row>
    <row r="31" spans="1:8" x14ac:dyDescent="0.25">
      <c r="A31" s="42"/>
      <c r="B31" s="3"/>
      <c r="C31" s="28"/>
      <c r="D31" s="29"/>
      <c r="E31" s="30"/>
      <c r="F31" s="3"/>
      <c r="G31" s="2"/>
    </row>
    <row r="32" spans="1:8" x14ac:dyDescent="0.25">
      <c r="A32" s="42"/>
      <c r="B32" s="3"/>
      <c r="C32" s="28"/>
      <c r="D32" s="29"/>
      <c r="E32" s="30"/>
      <c r="F32" s="3"/>
      <c r="G32" s="2"/>
    </row>
    <row r="33" spans="1:7" x14ac:dyDescent="0.25">
      <c r="A33" s="42"/>
      <c r="B33" s="3"/>
      <c r="C33" s="28"/>
      <c r="D33" s="29"/>
      <c r="E33" s="30"/>
      <c r="F33" s="3"/>
      <c r="G33" s="2"/>
    </row>
    <row r="34" spans="1:7" x14ac:dyDescent="0.25">
      <c r="A34" s="2"/>
      <c r="B34" s="3"/>
      <c r="C34" s="28"/>
      <c r="D34" s="29"/>
      <c r="E34" s="30"/>
      <c r="F34" s="3"/>
      <c r="G34" s="2"/>
    </row>
    <row r="35" spans="1:7" x14ac:dyDescent="0.25">
      <c r="A35" s="2"/>
      <c r="B35" s="3"/>
      <c r="C35" s="28"/>
      <c r="D35" s="29"/>
      <c r="E35" s="30"/>
      <c r="F35" s="3"/>
      <c r="G35" s="2"/>
    </row>
    <row r="36" spans="1:7" x14ac:dyDescent="0.25">
      <c r="A36" s="2"/>
      <c r="B36" s="3"/>
      <c r="C36" s="28"/>
      <c r="D36" s="29"/>
      <c r="E36" s="30"/>
      <c r="F36" s="3"/>
      <c r="G36" s="2"/>
    </row>
    <row r="37" spans="1:7" x14ac:dyDescent="0.25">
      <c r="A37" s="42"/>
      <c r="B37" s="3"/>
      <c r="C37" s="28"/>
      <c r="D37" s="29"/>
      <c r="E37" s="30"/>
      <c r="F37" s="3"/>
      <c r="G37" s="2"/>
    </row>
  </sheetData>
  <sortState ref="A8:G17">
    <sortCondition descending="1" ref="D8:D17"/>
  </sortState>
  <printOptions horizontalCentered="1"/>
  <pageMargins left="0.7" right="0.7" top="0.75" bottom="0.75" header="0.3" footer="0.3"/>
  <pageSetup orientation="portrait" r:id="rId1"/>
  <headerFooter>
    <oddHeader>&amp;L&amp;"Tahoma,Bold"&amp;11U.S. Biathlon Association&amp;R&amp;"Tahoma,Bold"&amp;11 2017 Race Points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11" x14ac:dyDescent="0.25">
      <c r="A1" s="16" t="s">
        <v>22</v>
      </c>
      <c r="B1" s="17"/>
      <c r="C1" s="18"/>
      <c r="D1" s="18"/>
      <c r="E1" s="18"/>
      <c r="F1" s="18"/>
      <c r="G1" s="19"/>
    </row>
    <row r="2" spans="1:11" x14ac:dyDescent="0.25">
      <c r="A2" s="20" t="s">
        <v>23</v>
      </c>
      <c r="B2" s="21">
        <v>42803</v>
      </c>
      <c r="C2" s="22"/>
      <c r="D2" s="22"/>
      <c r="E2" s="22"/>
      <c r="F2" s="22"/>
      <c r="G2" s="23"/>
    </row>
    <row r="3" spans="1:11" x14ac:dyDescent="0.25">
      <c r="A3" s="20" t="s">
        <v>24</v>
      </c>
      <c r="B3" s="24" t="s">
        <v>43</v>
      </c>
      <c r="C3" s="22"/>
      <c r="D3" s="22"/>
      <c r="E3" s="22"/>
      <c r="F3" s="22"/>
      <c r="G3" s="23"/>
    </row>
    <row r="4" spans="1:11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11" x14ac:dyDescent="0.25">
      <c r="A5" s="20" t="s">
        <v>27</v>
      </c>
      <c r="B5" s="24" t="s">
        <v>203</v>
      </c>
      <c r="C5" s="22"/>
      <c r="D5" s="22"/>
      <c r="E5" s="22" t="s">
        <v>55</v>
      </c>
      <c r="F5" s="38">
        <f>AVERAGE(C8:C9)*(AVERAGE(D8:D9)/100)</f>
        <v>2.4296479279964443E-2</v>
      </c>
      <c r="G5" s="23"/>
    </row>
    <row r="6" spans="1:11" x14ac:dyDescent="0.25">
      <c r="A6" s="25" t="s">
        <v>29</v>
      </c>
      <c r="B6" s="26"/>
      <c r="C6" s="26"/>
      <c r="D6" s="26"/>
      <c r="E6" s="26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  <c r="I7" s="2"/>
      <c r="J7" s="2"/>
      <c r="K7" s="2"/>
    </row>
    <row r="8" spans="1:11" x14ac:dyDescent="0.25">
      <c r="A8" s="2">
        <v>2</v>
      </c>
      <c r="B8" s="3" t="s">
        <v>759</v>
      </c>
      <c r="C8" s="28">
        <v>2.6644675925925926E-2</v>
      </c>
      <c r="D8" s="29">
        <f>INDEX('Points Summary'!$F$4:$F$1143,G8)</f>
        <v>90.488521205766915</v>
      </c>
      <c r="E8" s="30">
        <f>(AVERAGE($D$8:$D$9)/100*AVERAGE($C$8:$C$9))/C8</f>
        <v>0.91186994908515173</v>
      </c>
      <c r="F8" s="3"/>
      <c r="G8" s="2">
        <f>MATCH(B8,'Points Summary'!$B$4:$B$1144,0)</f>
        <v>131</v>
      </c>
      <c r="H8" s="42"/>
      <c r="I8" s="28"/>
      <c r="J8" s="28"/>
      <c r="K8" s="28"/>
    </row>
    <row r="9" spans="1:11" x14ac:dyDescent="0.25">
      <c r="A9" s="2">
        <v>5</v>
      </c>
      <c r="B9" s="3" t="s">
        <v>173</v>
      </c>
      <c r="C9" s="28">
        <v>2.7846064814814817E-2</v>
      </c>
      <c r="D9" s="29">
        <f>INDEX('Points Summary'!$F$4:$F$1143,G9)</f>
        <v>87.864563738067233</v>
      </c>
      <c r="E9" s="30">
        <f>(AVERAGE($D$8:$D$9)/100*AVERAGE($C$8:$C$9))/C9</f>
        <v>0.87252828870232668</v>
      </c>
      <c r="F9" s="3"/>
      <c r="G9" s="2">
        <f>MATCH(B9,'Points Summary'!$B$4:$B$1144,0)</f>
        <v>47</v>
      </c>
      <c r="H9" s="42"/>
      <c r="I9" s="28"/>
      <c r="J9" s="28"/>
      <c r="K9" s="28"/>
    </row>
    <row r="10" spans="1:11" x14ac:dyDescent="0.25">
      <c r="A10" s="2">
        <v>9</v>
      </c>
      <c r="B10" s="3" t="s">
        <v>936</v>
      </c>
      <c r="C10" s="28">
        <v>3.0946759259259257E-2</v>
      </c>
      <c r="D10" s="29">
        <f>INDEX('Points Summary'!$F$4:$F$1143,G10)</f>
        <v>79.76105334129258</v>
      </c>
      <c r="E10" s="30">
        <f>(AVERAGE($D$8:$D$9)/100*AVERAGE($C$8:$C$9))/C10</f>
        <v>0.78510577073413423</v>
      </c>
      <c r="F10" s="3"/>
      <c r="G10" s="2">
        <f>MATCH(B10,'Points Summary'!$B$4:$B$1144,0)</f>
        <v>330</v>
      </c>
      <c r="H10" s="42"/>
      <c r="I10" s="28"/>
      <c r="J10" s="28"/>
      <c r="K10" s="28"/>
    </row>
    <row r="11" spans="1:11" x14ac:dyDescent="0.25">
      <c r="A11" s="2"/>
      <c r="B11" s="3"/>
      <c r="C11" s="28"/>
      <c r="D11" s="29"/>
      <c r="E11" s="30"/>
      <c r="F11" s="3"/>
      <c r="G11" s="2"/>
      <c r="H11" s="42"/>
      <c r="I11" s="28"/>
      <c r="J11" s="28"/>
      <c r="K11" s="28"/>
    </row>
    <row r="12" spans="1:11" x14ac:dyDescent="0.25">
      <c r="A12" s="2"/>
      <c r="B12" s="3"/>
      <c r="C12" s="28"/>
      <c r="D12" s="29"/>
      <c r="E12" s="30"/>
      <c r="F12" s="3"/>
      <c r="G12" s="2"/>
      <c r="H12" s="42"/>
      <c r="I12" s="28"/>
      <c r="J12" s="28"/>
      <c r="K12" s="28"/>
    </row>
    <row r="13" spans="1:11" x14ac:dyDescent="0.25">
      <c r="A13" s="2"/>
      <c r="B13" s="3"/>
      <c r="C13" s="28"/>
      <c r="D13" s="29"/>
      <c r="E13" s="30"/>
      <c r="F13" s="3"/>
      <c r="G13" s="2"/>
      <c r="H13" s="42"/>
      <c r="I13" s="28"/>
      <c r="J13" s="28"/>
      <c r="K13" s="28"/>
    </row>
    <row r="14" spans="1:11" x14ac:dyDescent="0.25">
      <c r="A14" s="2"/>
      <c r="B14" s="3"/>
      <c r="C14" s="28"/>
      <c r="D14" s="29"/>
      <c r="E14" s="30"/>
      <c r="F14" s="3"/>
      <c r="G14" s="2"/>
      <c r="H14" s="42"/>
      <c r="I14" s="28"/>
      <c r="J14" s="28"/>
      <c r="K14" s="28"/>
    </row>
    <row r="15" spans="1:11" x14ac:dyDescent="0.25">
      <c r="A15" s="2"/>
      <c r="B15" s="3"/>
      <c r="C15" s="28"/>
      <c r="D15" s="29"/>
      <c r="E15" s="30"/>
      <c r="F15" s="3"/>
      <c r="G15" s="2"/>
      <c r="H15" s="42"/>
      <c r="I15" s="28"/>
      <c r="J15" s="28"/>
      <c r="K15" s="28"/>
    </row>
    <row r="16" spans="1:11" x14ac:dyDescent="0.25">
      <c r="A16" s="2"/>
      <c r="B16" s="3"/>
      <c r="C16" s="28"/>
      <c r="D16" s="29"/>
      <c r="E16" s="30"/>
      <c r="F16" s="3"/>
      <c r="G16" s="2"/>
      <c r="H16" s="42"/>
      <c r="I16" s="28"/>
      <c r="J16" s="28"/>
      <c r="K16" s="28"/>
    </row>
    <row r="17" spans="1:11" x14ac:dyDescent="0.25">
      <c r="A17" s="2"/>
      <c r="B17" s="3"/>
      <c r="C17" s="28"/>
      <c r="D17" s="29"/>
      <c r="E17" s="30"/>
      <c r="F17" s="3"/>
      <c r="G17" s="2"/>
      <c r="H17" s="42"/>
      <c r="I17" s="28"/>
      <c r="J17" s="28"/>
      <c r="K17" s="28"/>
    </row>
    <row r="18" spans="1:11" x14ac:dyDescent="0.25">
      <c r="A18" s="2"/>
      <c r="B18" s="3"/>
      <c r="C18" s="28"/>
      <c r="D18" s="29"/>
      <c r="E18" s="30"/>
      <c r="F18" s="3"/>
      <c r="G18" s="2"/>
      <c r="H18" s="42"/>
      <c r="I18" s="28"/>
      <c r="J18" s="28"/>
      <c r="K18" s="28"/>
    </row>
    <row r="19" spans="1:11" x14ac:dyDescent="0.25">
      <c r="A19" s="2"/>
      <c r="B19" s="3"/>
      <c r="C19" s="28"/>
      <c r="D19" s="29"/>
      <c r="E19" s="30"/>
      <c r="F19" s="3"/>
      <c r="G19" s="2"/>
      <c r="I19" s="28"/>
      <c r="J19" s="28"/>
      <c r="K19" s="28"/>
    </row>
    <row r="20" spans="1:11" x14ac:dyDescent="0.25">
      <c r="A20" s="2"/>
      <c r="B20" s="3"/>
      <c r="C20" s="28"/>
      <c r="D20" s="29"/>
      <c r="E20" s="30"/>
      <c r="F20" s="3"/>
      <c r="G20" s="2"/>
      <c r="I20" s="28"/>
      <c r="J20" s="28"/>
      <c r="K20" s="28"/>
    </row>
    <row r="21" spans="1:11" x14ac:dyDescent="0.25">
      <c r="A21" s="2"/>
      <c r="B21" s="3"/>
      <c r="C21" s="28"/>
      <c r="D21" s="29"/>
      <c r="E21" s="30"/>
      <c r="F21" s="3"/>
      <c r="G21" s="2"/>
      <c r="I21" s="28"/>
      <c r="J21" s="28"/>
      <c r="K21" s="28"/>
    </row>
    <row r="22" spans="1:11" x14ac:dyDescent="0.25">
      <c r="A22" s="2"/>
      <c r="B22" s="3"/>
      <c r="C22" s="28"/>
      <c r="D22" s="29"/>
      <c r="E22" s="30"/>
      <c r="F22" s="3"/>
      <c r="G22" s="2"/>
      <c r="I22" s="28"/>
      <c r="J22" s="28"/>
      <c r="K22" s="28"/>
    </row>
    <row r="23" spans="1:11" x14ac:dyDescent="0.25">
      <c r="A23" s="2"/>
      <c r="B23" s="3"/>
      <c r="C23" s="28"/>
      <c r="D23" s="29"/>
      <c r="E23" s="30"/>
      <c r="F23" s="3"/>
      <c r="G23" s="2"/>
      <c r="I23" s="28"/>
      <c r="J23" s="28"/>
      <c r="K23" s="28"/>
    </row>
    <row r="24" spans="1:11" x14ac:dyDescent="0.25">
      <c r="A24" s="2"/>
      <c r="B24" s="3"/>
      <c r="C24" s="28"/>
      <c r="D24" s="29"/>
      <c r="E24" s="30"/>
      <c r="F24" s="3"/>
      <c r="G24" s="2"/>
      <c r="I24" s="28"/>
      <c r="J24" s="28"/>
      <c r="K24" s="28"/>
    </row>
    <row r="25" spans="1:11" x14ac:dyDescent="0.25">
      <c r="A25" s="2"/>
      <c r="B25" s="3"/>
      <c r="C25" s="28"/>
      <c r="D25" s="29"/>
      <c r="E25" s="30"/>
      <c r="F25" s="3"/>
      <c r="G25" s="2"/>
      <c r="I25" s="28"/>
      <c r="J25" s="28"/>
      <c r="K25" s="28"/>
    </row>
    <row r="26" spans="1:11" x14ac:dyDescent="0.25">
      <c r="A26" s="2"/>
      <c r="B26" s="3"/>
      <c r="C26" s="28"/>
      <c r="D26" s="29"/>
      <c r="E26" s="30"/>
      <c r="F26" s="3"/>
      <c r="G26" s="2"/>
      <c r="I26" s="28"/>
      <c r="J26" s="28"/>
      <c r="K26" s="28"/>
    </row>
    <row r="27" spans="1:11" x14ac:dyDescent="0.25">
      <c r="A27" s="2"/>
      <c r="B27" s="3"/>
      <c r="C27" s="28"/>
      <c r="D27" s="29"/>
      <c r="E27" s="30"/>
      <c r="F27" s="3"/>
      <c r="G27" s="2"/>
      <c r="I27" s="28"/>
      <c r="J27" s="28"/>
      <c r="K27" s="28"/>
    </row>
    <row r="28" spans="1:11" x14ac:dyDescent="0.25">
      <c r="A28" s="2"/>
      <c r="B28" s="3"/>
      <c r="C28" s="28"/>
      <c r="D28" s="29"/>
      <c r="E28" s="30"/>
      <c r="F28" s="3"/>
      <c r="G28" s="2"/>
      <c r="I28" s="28"/>
      <c r="J28" s="28"/>
      <c r="K28" s="28"/>
    </row>
    <row r="29" spans="1:11" x14ac:dyDescent="0.25">
      <c r="A29" s="2"/>
      <c r="B29" s="3"/>
      <c r="C29" s="28"/>
      <c r="D29" s="29"/>
      <c r="E29" s="30"/>
      <c r="F29" s="3"/>
      <c r="G29" s="2"/>
      <c r="I29" s="28"/>
      <c r="J29" s="28"/>
      <c r="K29" s="28"/>
    </row>
    <row r="30" spans="1:11" x14ac:dyDescent="0.25">
      <c r="A30" s="2"/>
      <c r="B30" s="3"/>
      <c r="C30" s="28"/>
      <c r="D30" s="29"/>
      <c r="E30" s="30"/>
      <c r="F30" s="3"/>
      <c r="G30" s="2"/>
      <c r="I30" s="28"/>
      <c r="J30" s="28"/>
      <c r="K30" s="28"/>
    </row>
    <row r="31" spans="1:11" x14ac:dyDescent="0.25">
      <c r="A31" s="2"/>
      <c r="B31" s="3"/>
      <c r="C31" s="28"/>
      <c r="D31" s="29"/>
      <c r="E31" s="30"/>
      <c r="F31" s="3"/>
      <c r="G31" s="2"/>
      <c r="I31" s="28"/>
      <c r="J31" s="28"/>
      <c r="K31" s="28"/>
    </row>
    <row r="32" spans="1:11" x14ac:dyDescent="0.25">
      <c r="A32" s="2"/>
      <c r="B32" s="3"/>
      <c r="C32" s="28"/>
      <c r="D32" s="29"/>
      <c r="E32" s="30"/>
      <c r="F32" s="3"/>
      <c r="G32" s="2"/>
      <c r="I32" s="28"/>
      <c r="J32" s="28"/>
      <c r="K32" s="28"/>
    </row>
    <row r="33" spans="1:11" x14ac:dyDescent="0.25">
      <c r="A33" s="2"/>
      <c r="B33" s="3"/>
      <c r="C33" s="28"/>
      <c r="D33" s="29"/>
      <c r="E33" s="30"/>
      <c r="F33" s="3"/>
      <c r="G33" s="2"/>
      <c r="I33" s="28"/>
      <c r="J33" s="28"/>
      <c r="K33" s="28"/>
    </row>
    <row r="34" spans="1:11" x14ac:dyDescent="0.25">
      <c r="A34" s="2"/>
      <c r="B34" s="3"/>
      <c r="C34" s="28"/>
      <c r="D34" s="29"/>
      <c r="E34" s="30"/>
      <c r="F34" s="3"/>
      <c r="G34" s="2"/>
      <c r="I34" s="28"/>
      <c r="J34" s="28"/>
      <c r="K34" s="28"/>
    </row>
    <row r="35" spans="1:11" x14ac:dyDescent="0.25">
      <c r="A35" s="2"/>
      <c r="B35" s="3"/>
      <c r="C35" s="28"/>
      <c r="D35" s="29"/>
      <c r="E35" s="30"/>
      <c r="F35" s="3"/>
      <c r="G35" s="2"/>
      <c r="I35" s="28"/>
      <c r="J35" s="28"/>
      <c r="K35" s="28"/>
    </row>
    <row r="36" spans="1:11" x14ac:dyDescent="0.25">
      <c r="A36" s="2"/>
      <c r="B36" s="3"/>
      <c r="C36" s="28"/>
      <c r="D36" s="29"/>
      <c r="E36" s="30"/>
      <c r="F36" s="3"/>
      <c r="G36" s="2"/>
      <c r="I36" s="28"/>
      <c r="J36" s="28"/>
      <c r="K36" s="28"/>
    </row>
    <row r="37" spans="1:11" x14ac:dyDescent="0.25">
      <c r="A37" s="2"/>
      <c r="B37" s="3"/>
      <c r="C37" s="28"/>
      <c r="D37" s="29"/>
      <c r="E37" s="30"/>
      <c r="F37" s="3"/>
      <c r="G37" s="2"/>
      <c r="I37" s="28"/>
      <c r="J37" s="28"/>
      <c r="K37" s="28"/>
    </row>
    <row r="38" spans="1:11" x14ac:dyDescent="0.25">
      <c r="A38" s="2"/>
      <c r="B38" s="3"/>
      <c r="C38" s="28"/>
      <c r="D38" s="29"/>
      <c r="E38" s="30"/>
      <c r="F38" s="3"/>
      <c r="G38" s="2"/>
      <c r="I38" s="28"/>
      <c r="J38" s="28"/>
      <c r="K38" s="28"/>
    </row>
    <row r="39" spans="1:11" x14ac:dyDescent="0.25">
      <c r="A39" s="2"/>
      <c r="B39" s="3"/>
      <c r="C39" s="28"/>
      <c r="D39" s="29"/>
      <c r="E39" s="30"/>
      <c r="F39" s="3"/>
      <c r="G39" s="2"/>
      <c r="I39" s="28"/>
      <c r="J39" s="28"/>
      <c r="K39" s="28"/>
    </row>
    <row r="40" spans="1:11" x14ac:dyDescent="0.25">
      <c r="A40" s="2"/>
      <c r="B40" s="3"/>
      <c r="C40" s="28"/>
      <c r="D40" s="29"/>
      <c r="E40" s="30"/>
      <c r="F40" s="3"/>
      <c r="G40" s="2"/>
      <c r="I40" s="28"/>
      <c r="J40" s="28"/>
      <c r="K40" s="28"/>
    </row>
    <row r="41" spans="1:11" x14ac:dyDescent="0.25">
      <c r="A41" s="2"/>
      <c r="B41" s="3"/>
      <c r="C41" s="28"/>
      <c r="D41" s="29"/>
      <c r="E41" s="30"/>
      <c r="F41" s="3"/>
      <c r="G41" s="2"/>
      <c r="I41" s="28"/>
      <c r="J41" s="28"/>
      <c r="K41" s="28"/>
    </row>
    <row r="42" spans="1:11" x14ac:dyDescent="0.25">
      <c r="A42" s="2"/>
      <c r="B42" s="3"/>
      <c r="C42" s="28"/>
      <c r="D42" s="29"/>
      <c r="E42" s="30"/>
      <c r="F42" s="3"/>
      <c r="G42" s="2"/>
      <c r="I42" s="28"/>
      <c r="J42" s="28"/>
      <c r="K42" s="28"/>
    </row>
    <row r="43" spans="1:11" x14ac:dyDescent="0.25">
      <c r="A43" s="2"/>
      <c r="B43" s="3"/>
      <c r="C43" s="28"/>
      <c r="D43" s="29"/>
      <c r="E43" s="30"/>
      <c r="F43" s="3"/>
      <c r="G43" s="2"/>
      <c r="I43" s="28"/>
      <c r="J43" s="28"/>
      <c r="K43" s="28"/>
    </row>
    <row r="44" spans="1:11" x14ac:dyDescent="0.25">
      <c r="A44" s="2"/>
      <c r="B44" s="3"/>
      <c r="C44" s="28"/>
      <c r="D44" s="29"/>
      <c r="E44" s="30"/>
      <c r="F44" s="3"/>
      <c r="G44" s="2"/>
      <c r="I44" s="28"/>
      <c r="J44" s="28"/>
      <c r="K44" s="28"/>
    </row>
    <row r="45" spans="1:11" x14ac:dyDescent="0.25">
      <c r="A45" s="2"/>
      <c r="B45" s="3"/>
      <c r="C45" s="28"/>
      <c r="D45" s="29"/>
      <c r="E45" s="30"/>
      <c r="F45" s="3"/>
      <c r="G45" s="2"/>
      <c r="I45" s="28"/>
      <c r="J45" s="28"/>
      <c r="K45" s="28"/>
    </row>
    <row r="46" spans="1:11" x14ac:dyDescent="0.25">
      <c r="A46" s="2"/>
      <c r="B46" s="3"/>
      <c r="C46" s="28"/>
      <c r="D46" s="29"/>
      <c r="E46" s="30"/>
      <c r="F46" s="3"/>
      <c r="G46" s="2"/>
      <c r="I46" s="28"/>
      <c r="J46" s="28"/>
      <c r="K46" s="28"/>
    </row>
    <row r="47" spans="1:11" x14ac:dyDescent="0.25">
      <c r="A47" s="2"/>
      <c r="B47" s="3"/>
      <c r="C47" s="28"/>
      <c r="D47" s="29"/>
      <c r="E47" s="30"/>
      <c r="F47" s="3"/>
      <c r="G47" s="2"/>
      <c r="I47" s="28"/>
      <c r="J47" s="28"/>
      <c r="K47" s="28"/>
    </row>
  </sheetData>
  <sortState ref="A8:G25">
    <sortCondition descending="1" ref="D8:D25"/>
  </sortState>
  <phoneticPr fontId="9" type="noConversion"/>
  <printOptions horizontalCentered="1"/>
  <pageMargins left="0.75" right="0.75" top="1" bottom="1" header="0.5" footer="0.5"/>
  <pageSetup orientation="portrait" horizontalDpi="1200" verticalDpi="1200" r:id="rId1"/>
  <headerFooter alignWithMargins="0">
    <oddHeader>&amp;L&amp;"Tahoma,Bold"&amp;11U.S. Biathlon Association&amp;R&amp;"Tahoma,Bold"&amp;11 2017 Race Points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topLeftCell="A2" workbookViewId="0">
      <selection activeCell="B2" sqref="B2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12" x14ac:dyDescent="0.25">
      <c r="A1" s="16" t="s">
        <v>22</v>
      </c>
      <c r="B1" s="17" t="s">
        <v>937</v>
      </c>
      <c r="C1" s="18"/>
      <c r="D1" s="18"/>
      <c r="E1" s="18"/>
      <c r="F1" s="18"/>
      <c r="G1" s="19"/>
    </row>
    <row r="2" spans="1:12" x14ac:dyDescent="0.25">
      <c r="A2" s="20" t="s">
        <v>23</v>
      </c>
      <c r="B2" s="21"/>
      <c r="C2" s="22"/>
      <c r="D2" s="22"/>
      <c r="E2" s="22"/>
      <c r="F2" s="22"/>
      <c r="G2" s="23"/>
    </row>
    <row r="3" spans="1:12" x14ac:dyDescent="0.25">
      <c r="A3" s="20" t="s">
        <v>24</v>
      </c>
      <c r="B3" s="24" t="s">
        <v>44</v>
      </c>
      <c r="C3" s="22"/>
      <c r="D3" s="22"/>
      <c r="E3" s="22"/>
      <c r="F3" s="22"/>
      <c r="G3" s="23"/>
    </row>
    <row r="4" spans="1:12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12" x14ac:dyDescent="0.25">
      <c r="A5" s="20" t="s">
        <v>27</v>
      </c>
      <c r="B5" s="24" t="s">
        <v>203</v>
      </c>
      <c r="C5" s="22"/>
      <c r="D5" s="22"/>
      <c r="E5" s="22" t="s">
        <v>55</v>
      </c>
      <c r="F5" s="38">
        <f>AVERAGE(C8:C9)*(AVERAGE(D8:D9)/100)</f>
        <v>3.130726243668315E-2</v>
      </c>
      <c r="G5" s="23"/>
    </row>
    <row r="6" spans="1:12" x14ac:dyDescent="0.25">
      <c r="A6" s="25" t="s">
        <v>29</v>
      </c>
      <c r="B6" s="26"/>
      <c r="C6" s="26"/>
      <c r="D6" s="26"/>
      <c r="E6" s="26"/>
      <c r="F6" s="26"/>
      <c r="G6" s="27"/>
      <c r="K6" s="42"/>
    </row>
    <row r="7" spans="1:12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  <c r="I7" s="2"/>
      <c r="J7" s="2"/>
      <c r="K7" s="28"/>
      <c r="L7" s="2"/>
    </row>
    <row r="8" spans="1:12" ht="12.75" customHeight="1" x14ac:dyDescent="0.3">
      <c r="A8" s="53">
        <v>5</v>
      </c>
      <c r="B8" s="3" t="s">
        <v>759</v>
      </c>
      <c r="C8" s="51">
        <v>3.5421296296296298E-2</v>
      </c>
      <c r="D8" s="29">
        <f>INDEX('Points Summary'!$F$4:$F$1143,G8)</f>
        <v>90.488521205766915</v>
      </c>
      <c r="E8" s="124">
        <f>(AVERAGE($D$8:$D$9)/100*AVERAGE($C$8:$C$9))/C8</f>
        <v>0.8838542264179271</v>
      </c>
      <c r="F8" s="3"/>
      <c r="G8" s="2">
        <f>MATCH(B8,'Points Summary'!$B$4:$B$1144,0)</f>
        <v>131</v>
      </c>
      <c r="H8" s="80"/>
      <c r="I8" s="72"/>
      <c r="J8" s="28"/>
      <c r="K8" s="72"/>
      <c r="L8" s="28"/>
    </row>
    <row r="9" spans="1:12" ht="12.75" customHeight="1" x14ac:dyDescent="0.3">
      <c r="A9" s="53">
        <v>3</v>
      </c>
      <c r="B9" s="3" t="s">
        <v>173</v>
      </c>
      <c r="C9" s="51">
        <v>3.4792824074074073E-2</v>
      </c>
      <c r="D9" s="29">
        <f>INDEX('Points Summary'!$F$4:$F$1143,G9)</f>
        <v>87.864563738067233</v>
      </c>
      <c r="E9" s="124">
        <f>(AVERAGE($D$8:$D$9)/100*AVERAGE($C$8:$C$9))/C9</f>
        <v>0.89981952514201935</v>
      </c>
      <c r="F9" s="3"/>
      <c r="G9" s="2">
        <f>MATCH(B9,'Points Summary'!$B$4:$B$1144,0)</f>
        <v>47</v>
      </c>
      <c r="H9" s="80"/>
      <c r="I9" s="72"/>
      <c r="J9" s="28"/>
      <c r="K9" s="72"/>
      <c r="L9" s="28"/>
    </row>
    <row r="10" spans="1:12" ht="12.75" customHeight="1" x14ac:dyDescent="0.3">
      <c r="A10" s="53">
        <v>9</v>
      </c>
      <c r="B10" s="3" t="s">
        <v>936</v>
      </c>
      <c r="C10" s="51">
        <v>3.9622685185185184E-2</v>
      </c>
      <c r="D10" s="29">
        <f>INDEX('Points Summary'!$F$4:$F$1143,G10)</f>
        <v>79.76105334129258</v>
      </c>
      <c r="E10" s="124">
        <f>(AVERAGE($D$8:$D$9)/100*AVERAGE($C$8:$C$9))/C10</f>
        <v>0.79013480006117431</v>
      </c>
      <c r="F10" s="3"/>
      <c r="G10" s="2">
        <f>MATCH(B10,'Points Summary'!$B$4:$B$1144,0)</f>
        <v>330</v>
      </c>
      <c r="H10" s="80"/>
      <c r="J10" s="28"/>
    </row>
    <row r="11" spans="1:12" ht="12.75" customHeight="1" x14ac:dyDescent="0.3">
      <c r="A11" s="53"/>
      <c r="B11" s="3"/>
      <c r="C11" s="51"/>
      <c r="D11" s="29"/>
      <c r="E11" s="124"/>
      <c r="F11" s="3"/>
      <c r="G11" s="2"/>
      <c r="H11" s="80"/>
      <c r="J11" s="28"/>
    </row>
    <row r="12" spans="1:12" ht="12.75" customHeight="1" x14ac:dyDescent="0.3">
      <c r="A12" s="53"/>
      <c r="B12" s="3"/>
      <c r="C12" s="51"/>
      <c r="D12" s="29"/>
      <c r="E12" s="124"/>
      <c r="F12" s="3"/>
      <c r="G12" s="2"/>
      <c r="H12" s="80"/>
      <c r="J12" s="28"/>
    </row>
    <row r="13" spans="1:12" ht="12.75" customHeight="1" x14ac:dyDescent="0.3">
      <c r="A13" s="53"/>
      <c r="B13" s="3"/>
      <c r="C13" s="51"/>
      <c r="D13" s="29"/>
      <c r="E13" s="30"/>
      <c r="F13" s="3"/>
      <c r="G13" s="2"/>
      <c r="H13" s="80"/>
      <c r="J13" s="28"/>
    </row>
    <row r="14" spans="1:12" ht="12.75" customHeight="1" x14ac:dyDescent="0.3">
      <c r="A14" s="53"/>
      <c r="B14" s="3"/>
      <c r="C14" s="51"/>
      <c r="D14" s="29"/>
      <c r="E14" s="30"/>
      <c r="F14" s="3"/>
      <c r="G14" s="2"/>
      <c r="H14" s="80"/>
      <c r="J14" s="28"/>
    </row>
    <row r="15" spans="1:12" ht="12.75" customHeight="1" x14ac:dyDescent="0.3">
      <c r="A15" s="53"/>
      <c r="B15" s="3"/>
      <c r="C15" s="51"/>
      <c r="D15" s="29"/>
      <c r="E15" s="30"/>
      <c r="F15" s="3"/>
      <c r="G15" s="2"/>
      <c r="H15" s="80"/>
      <c r="J15" s="28"/>
    </row>
    <row r="16" spans="1:12" ht="14.4" x14ac:dyDescent="0.3">
      <c r="A16" s="53"/>
      <c r="B16" s="3"/>
      <c r="C16" s="51"/>
      <c r="D16" s="29"/>
      <c r="E16" s="30"/>
      <c r="F16" s="3"/>
      <c r="G16" s="2"/>
      <c r="H16" s="80"/>
      <c r="J16" s="28"/>
    </row>
    <row r="17" spans="1:10" ht="14.4" x14ac:dyDescent="0.3">
      <c r="A17" s="53"/>
      <c r="B17" s="3"/>
      <c r="C17" s="51"/>
      <c r="D17" s="29"/>
      <c r="E17" s="30"/>
      <c r="F17" s="3"/>
      <c r="G17" s="2"/>
      <c r="H17" s="80"/>
      <c r="J17" s="28"/>
    </row>
    <row r="18" spans="1:10" ht="14.4" x14ac:dyDescent="0.3">
      <c r="A18" s="2"/>
      <c r="B18" s="3"/>
      <c r="C18" s="51"/>
      <c r="D18" s="29"/>
      <c r="E18" s="30"/>
      <c r="F18" s="3"/>
      <c r="G18" s="2"/>
      <c r="H18" s="80"/>
      <c r="J18" s="28"/>
    </row>
    <row r="19" spans="1:10" ht="14.4" x14ac:dyDescent="0.3">
      <c r="A19" s="53"/>
      <c r="B19" s="3"/>
      <c r="C19" s="51"/>
      <c r="D19" s="29"/>
      <c r="E19" s="30"/>
      <c r="F19" s="3"/>
      <c r="G19" s="2"/>
      <c r="H19" s="80"/>
      <c r="J19" s="28"/>
    </row>
    <row r="20" spans="1:10" ht="14.4" x14ac:dyDescent="0.3">
      <c r="A20" s="53"/>
      <c r="B20" s="3"/>
      <c r="C20" s="51"/>
      <c r="D20" s="29"/>
      <c r="E20" s="30"/>
      <c r="F20" s="3"/>
      <c r="G20" s="2"/>
      <c r="H20" s="80"/>
      <c r="J20" s="28"/>
    </row>
    <row r="21" spans="1:10" ht="14.4" x14ac:dyDescent="0.3">
      <c r="A21" s="53"/>
      <c r="B21" s="3"/>
      <c r="C21" s="51"/>
      <c r="D21" s="29"/>
      <c r="E21" s="30"/>
      <c r="F21" s="3"/>
      <c r="G21" s="2"/>
      <c r="H21" s="80"/>
      <c r="J21" s="28"/>
    </row>
    <row r="22" spans="1:10" x14ac:dyDescent="0.25">
      <c r="B22" s="3"/>
    </row>
    <row r="23" spans="1:10" x14ac:dyDescent="0.25">
      <c r="B23" s="3"/>
    </row>
  </sheetData>
  <sortState ref="A8:E13">
    <sortCondition descending="1" ref="D8:D13"/>
  </sortState>
  <phoneticPr fontId="9" type="noConversion"/>
  <printOptions horizontalCentered="1"/>
  <pageMargins left="0.75" right="0.75" top="1" bottom="1" header="0.5" footer="0.5"/>
  <pageSetup orientation="portrait" horizontalDpi="1200" verticalDpi="1200" r:id="rId1"/>
  <headerFooter alignWithMargins="0">
    <oddHeader>&amp;L&amp;"Tahoma,Bold"&amp;11U.S. Biathlon Association&amp;R&amp;"Tahoma,Bold"&amp;11 2015 Race Points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11" x14ac:dyDescent="0.25">
      <c r="A1" s="16" t="s">
        <v>22</v>
      </c>
      <c r="B1" s="17"/>
      <c r="C1" s="18"/>
      <c r="D1" s="18"/>
      <c r="E1" s="18"/>
      <c r="F1" s="18"/>
      <c r="G1" s="19"/>
    </row>
    <row r="2" spans="1:11" x14ac:dyDescent="0.25">
      <c r="A2" s="20" t="s">
        <v>23</v>
      </c>
      <c r="B2" s="21">
        <v>42805</v>
      </c>
      <c r="C2" s="22"/>
      <c r="D2" s="22"/>
      <c r="E2" s="22"/>
      <c r="F2" s="22"/>
      <c r="G2" s="23"/>
    </row>
    <row r="3" spans="1:11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11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11" x14ac:dyDescent="0.25">
      <c r="A5" s="20" t="s">
        <v>27</v>
      </c>
      <c r="B5" s="24" t="s">
        <v>876</v>
      </c>
      <c r="C5" s="22"/>
      <c r="D5" s="22"/>
      <c r="E5" s="22" t="s">
        <v>55</v>
      </c>
      <c r="F5" s="38">
        <f>AVERAGE(C8:C12)*(AVERAGE(D8:D12)/100)</f>
        <v>1.0930126118471465E-2</v>
      </c>
      <c r="G5" s="23"/>
    </row>
    <row r="6" spans="1:11" x14ac:dyDescent="0.25">
      <c r="A6" s="25" t="s">
        <v>29</v>
      </c>
      <c r="B6" s="26"/>
      <c r="C6" s="26"/>
      <c r="D6" s="26"/>
      <c r="E6" s="26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11" ht="14.4" x14ac:dyDescent="0.3">
      <c r="A8" s="2">
        <v>5</v>
      </c>
      <c r="B8" s="3" t="s">
        <v>398</v>
      </c>
      <c r="C8" s="51">
        <v>1.7662037037037035E-2</v>
      </c>
      <c r="D8" s="29">
        <f>INDEX('Points Summary'!$F$4:$F$1143,G8)</f>
        <v>62.171754655505893</v>
      </c>
      <c r="E8" s="30">
        <f t="shared" ref="E8:E16" si="0">(AVERAGE($D$8:$D$12)/100*AVERAGE($C$8:$C$12))/C8</f>
        <v>0.61884855611791267</v>
      </c>
      <c r="F8" s="3"/>
      <c r="G8" s="2">
        <f>MATCH(B8,'Points Summary'!$B$4:$B$1144,0)</f>
        <v>119</v>
      </c>
      <c r="H8" s="81"/>
      <c r="K8" s="28"/>
    </row>
    <row r="9" spans="1:11" ht="14.4" x14ac:dyDescent="0.3">
      <c r="A9" s="53">
        <v>1</v>
      </c>
      <c r="B9" s="3" t="s">
        <v>81</v>
      </c>
      <c r="C9" s="51">
        <v>1.7002314814814814E-2</v>
      </c>
      <c r="D9" s="29">
        <f>INDEX('Points Summary'!$F$4:$F$1143,G9)</f>
        <v>62.768852945054114</v>
      </c>
      <c r="E9" s="30">
        <f t="shared" si="0"/>
        <v>0.64286105965686502</v>
      </c>
      <c r="F9" s="3"/>
      <c r="G9" s="2">
        <f>MATCH(B9,'Points Summary'!$B$4:$B$1144,0)</f>
        <v>373</v>
      </c>
      <c r="H9" s="81"/>
      <c r="K9" s="28"/>
    </row>
    <row r="10" spans="1:11" ht="14.4" x14ac:dyDescent="0.3">
      <c r="A10" s="2">
        <v>2</v>
      </c>
      <c r="B10" s="3" t="s">
        <v>11</v>
      </c>
      <c r="C10" s="51">
        <v>1.7361111111111112E-2</v>
      </c>
      <c r="D10" s="29">
        <f>INDEX('Points Summary'!$F$4:$F$1143,G10)</f>
        <v>67.873704983306368</v>
      </c>
      <c r="E10" s="30">
        <f t="shared" si="0"/>
        <v>0.62957526442395639</v>
      </c>
      <c r="F10" s="3"/>
      <c r="G10" s="2">
        <f>MATCH(B10,'Points Summary'!$B$4:$B$1144,0)</f>
        <v>426</v>
      </c>
      <c r="H10" s="81"/>
      <c r="K10" s="28"/>
    </row>
    <row r="11" spans="1:11" ht="14.4" x14ac:dyDescent="0.3">
      <c r="A11" s="2">
        <v>3</v>
      </c>
      <c r="B11" s="3" t="s">
        <v>108</v>
      </c>
      <c r="C11" s="51">
        <v>1.7569444444444447E-2</v>
      </c>
      <c r="D11" s="29">
        <f>INDEX('Points Summary'!$F$4:$F$1143,G11)</f>
        <v>61.392615547752236</v>
      </c>
      <c r="E11" s="30">
        <f t="shared" si="0"/>
        <v>0.6221099450829608</v>
      </c>
      <c r="F11" s="3"/>
      <c r="G11" s="2">
        <f>MATCH(B11,'Points Summary'!$B$4:$B$1144,0)</f>
        <v>48</v>
      </c>
      <c r="H11" s="81"/>
      <c r="K11" s="28"/>
    </row>
    <row r="12" spans="1:11" ht="14.4" x14ac:dyDescent="0.3">
      <c r="A12" s="42">
        <v>4</v>
      </c>
      <c r="B12" s="3" t="s">
        <v>12</v>
      </c>
      <c r="C12" s="51">
        <v>1.7569444444444447E-2</v>
      </c>
      <c r="D12" s="29">
        <f>INDEX('Points Summary'!$F$4:$F$1143,G12)</f>
        <v>59.284937701582372</v>
      </c>
      <c r="E12" s="30">
        <f t="shared" si="0"/>
        <v>0.6221099450829608</v>
      </c>
      <c r="F12" s="3"/>
      <c r="G12" s="2">
        <f>MATCH(B12,'Points Summary'!$B$4:$B$1144,0)</f>
        <v>292</v>
      </c>
      <c r="H12" s="81"/>
      <c r="K12" s="28"/>
    </row>
    <row r="13" spans="1:11" ht="14.4" x14ac:dyDescent="0.3">
      <c r="A13" s="2">
        <v>8</v>
      </c>
      <c r="B13" s="3" t="s">
        <v>110</v>
      </c>
      <c r="C13" s="51">
        <v>2.4861111111111108E-2</v>
      </c>
      <c r="D13" s="29">
        <f>INDEX('Points Summary'!$F$4:$F$1143,G13)</f>
        <v>46.935970923567815</v>
      </c>
      <c r="E13" s="30">
        <f t="shared" si="0"/>
        <v>0.43964753102231596</v>
      </c>
      <c r="F13" s="3"/>
      <c r="G13" s="2">
        <f>MATCH(B13,'Points Summary'!$B$4:$B$1144,0)</f>
        <v>385</v>
      </c>
      <c r="H13" s="81"/>
      <c r="K13" s="28"/>
    </row>
    <row r="14" spans="1:11" ht="14.4" x14ac:dyDescent="0.3">
      <c r="A14" s="2">
        <v>9</v>
      </c>
      <c r="B14" s="3" t="s">
        <v>811</v>
      </c>
      <c r="C14" s="51">
        <v>2.7118055555555552E-2</v>
      </c>
      <c r="D14" s="29" t="e">
        <f>INDEX('Points Summary'!$F$4:$F$1143,G14)</f>
        <v>#N/A</v>
      </c>
      <c r="E14" s="30">
        <f t="shared" si="0"/>
        <v>0.40305714751853811</v>
      </c>
      <c r="F14" s="3"/>
      <c r="G14" s="2" t="e">
        <f>MATCH(B14,'Points Summary'!$B$4:$B$1144,0)</f>
        <v>#N/A</v>
      </c>
      <c r="H14" s="81"/>
      <c r="K14" s="28"/>
    </row>
    <row r="15" spans="1:11" ht="14.4" x14ac:dyDescent="0.3">
      <c r="A15" s="2">
        <v>10</v>
      </c>
      <c r="B15" s="3" t="s">
        <v>56</v>
      </c>
      <c r="C15" s="51">
        <v>2.9641203703703701E-2</v>
      </c>
      <c r="D15" s="29">
        <f>INDEX('Points Summary'!$F$4:$F$1143,G15)</f>
        <v>34.5609862378993</v>
      </c>
      <c r="E15" s="30">
        <f t="shared" si="0"/>
        <v>0.36874771442246573</v>
      </c>
      <c r="F15" s="3"/>
      <c r="G15" s="2">
        <f>MATCH(B15,'Points Summary'!$B$4:$B$1144,0)</f>
        <v>185</v>
      </c>
      <c r="H15" s="81"/>
      <c r="K15" s="28"/>
    </row>
    <row r="16" spans="1:11" ht="14.4" x14ac:dyDescent="0.3">
      <c r="A16" s="2">
        <v>6</v>
      </c>
      <c r="B16" s="3" t="s">
        <v>938</v>
      </c>
      <c r="C16" s="51">
        <v>2.0613425925925927E-2</v>
      </c>
      <c r="D16" s="29">
        <f>INDEX('Points Summary'!$F$4:$F$1143,G16)</f>
        <v>50.088933085043358</v>
      </c>
      <c r="E16" s="30">
        <f t="shared" si="0"/>
        <v>0.53024306380456743</v>
      </c>
      <c r="F16" s="3"/>
      <c r="G16" s="2">
        <f>MATCH(B16,'Points Summary'!$B$4:$B$1144,0)</f>
        <v>304</v>
      </c>
      <c r="H16" s="81"/>
      <c r="K16" s="28"/>
    </row>
    <row r="17" spans="1:11" ht="14.4" x14ac:dyDescent="0.3">
      <c r="A17" s="2"/>
      <c r="B17" s="3"/>
      <c r="C17" s="51"/>
      <c r="D17" s="29"/>
      <c r="E17" s="30"/>
      <c r="F17" s="3"/>
      <c r="G17" s="2"/>
      <c r="H17" s="81"/>
      <c r="K17" s="28"/>
    </row>
    <row r="18" spans="1:11" ht="14.4" x14ac:dyDescent="0.3">
      <c r="A18" s="2"/>
      <c r="B18" s="3"/>
      <c r="C18" s="51"/>
      <c r="D18" s="29"/>
      <c r="E18" s="30"/>
      <c r="F18" s="3"/>
      <c r="G18" s="2"/>
      <c r="H18" s="81"/>
      <c r="K18" s="28"/>
    </row>
    <row r="19" spans="1:11" ht="14.4" x14ac:dyDescent="0.3">
      <c r="A19" s="2"/>
      <c r="B19" s="3"/>
      <c r="C19" s="51"/>
      <c r="D19" s="29"/>
      <c r="E19" s="30"/>
      <c r="F19" s="3"/>
      <c r="G19" s="2"/>
      <c r="H19" s="81"/>
      <c r="K19" s="28"/>
    </row>
    <row r="20" spans="1:11" ht="14.4" x14ac:dyDescent="0.3">
      <c r="A20" s="2"/>
      <c r="B20" s="3"/>
      <c r="C20" s="51"/>
      <c r="D20" s="29"/>
      <c r="E20" s="30"/>
      <c r="F20" s="3"/>
      <c r="G20" s="2"/>
      <c r="H20" s="81"/>
      <c r="K20" s="28"/>
    </row>
    <row r="21" spans="1:11" ht="14.4" x14ac:dyDescent="0.3">
      <c r="A21" s="2"/>
      <c r="B21" s="3"/>
      <c r="C21" s="51"/>
      <c r="D21" s="29"/>
      <c r="E21" s="30"/>
      <c r="F21" s="3"/>
      <c r="G21" s="2"/>
      <c r="H21" s="81"/>
      <c r="K21" s="28"/>
    </row>
    <row r="22" spans="1:11" ht="14.4" x14ac:dyDescent="0.3">
      <c r="A22" s="2"/>
      <c r="B22" s="3"/>
      <c r="C22" s="51"/>
      <c r="D22" s="29"/>
      <c r="E22" s="30"/>
      <c r="F22" s="3"/>
      <c r="G22" s="2"/>
      <c r="H22" s="82"/>
      <c r="K22" s="28"/>
    </row>
    <row r="23" spans="1:11" ht="14.4" x14ac:dyDescent="0.3">
      <c r="A23" s="2"/>
      <c r="B23" s="3"/>
      <c r="C23" s="51"/>
      <c r="D23" s="29"/>
      <c r="E23" s="30"/>
      <c r="F23" s="3"/>
      <c r="G23" s="2"/>
      <c r="H23" s="82"/>
      <c r="K23" s="28"/>
    </row>
    <row r="24" spans="1:11" ht="14.4" x14ac:dyDescent="0.3">
      <c r="A24" s="2"/>
      <c r="B24" s="3"/>
      <c r="C24" s="51"/>
      <c r="D24" s="29"/>
      <c r="E24" s="30"/>
      <c r="F24" s="3"/>
      <c r="G24" s="2"/>
      <c r="H24" s="82"/>
    </row>
    <row r="25" spans="1:11" ht="14.4" x14ac:dyDescent="0.3">
      <c r="A25" s="2"/>
      <c r="B25" s="3"/>
      <c r="C25" s="51"/>
      <c r="D25" s="29"/>
      <c r="E25" s="30"/>
      <c r="F25" s="3"/>
      <c r="G25" s="2"/>
      <c r="H25" s="82"/>
    </row>
    <row r="26" spans="1:11" ht="14.4" x14ac:dyDescent="0.3">
      <c r="A26" s="2"/>
      <c r="B26" s="3"/>
      <c r="C26" s="51"/>
      <c r="D26" s="29"/>
      <c r="E26" s="30"/>
      <c r="F26" s="3"/>
      <c r="G26" s="2"/>
      <c r="H26" s="82"/>
    </row>
    <row r="27" spans="1:11" ht="14.4" x14ac:dyDescent="0.3">
      <c r="A27" s="2"/>
      <c r="B27" s="3"/>
      <c r="C27" s="51"/>
      <c r="D27" s="29"/>
      <c r="E27" s="30"/>
      <c r="F27" s="3"/>
      <c r="G27" s="2"/>
      <c r="H27" s="82"/>
    </row>
    <row r="28" spans="1:11" ht="14.4" x14ac:dyDescent="0.3">
      <c r="A28" s="42"/>
      <c r="B28" s="3"/>
      <c r="C28" s="28"/>
      <c r="D28" s="29"/>
      <c r="E28" s="30"/>
      <c r="F28" s="3"/>
      <c r="G28" s="2"/>
      <c r="H28" s="82"/>
    </row>
    <row r="29" spans="1:11" ht="14.4" x14ac:dyDescent="0.3">
      <c r="A29" s="42"/>
      <c r="B29" s="3"/>
      <c r="C29" s="28"/>
      <c r="D29" s="29"/>
      <c r="E29" s="30"/>
      <c r="F29" s="3"/>
      <c r="G29" s="2"/>
      <c r="H29" s="82"/>
    </row>
    <row r="30" spans="1:11" ht="14.4" x14ac:dyDescent="0.3">
      <c r="A30" s="42"/>
      <c r="B30" s="3"/>
      <c r="C30" s="28"/>
      <c r="D30" s="29"/>
      <c r="E30" s="30"/>
      <c r="F30" s="3"/>
      <c r="G30" s="2"/>
      <c r="H30" s="82"/>
    </row>
    <row r="31" spans="1:11" x14ac:dyDescent="0.25">
      <c r="A31" s="42"/>
      <c r="B31" s="3"/>
      <c r="C31" s="28"/>
      <c r="D31" s="29"/>
      <c r="E31" s="30"/>
      <c r="F31" s="3"/>
      <c r="G31" s="2"/>
    </row>
    <row r="32" spans="1:11" x14ac:dyDescent="0.25">
      <c r="A32" s="42"/>
      <c r="B32" s="3"/>
      <c r="C32" s="28"/>
      <c r="D32" s="29"/>
      <c r="E32" s="30"/>
      <c r="F32" s="3"/>
      <c r="G32" s="2"/>
    </row>
    <row r="33" spans="1:7" x14ac:dyDescent="0.25">
      <c r="A33" s="42"/>
      <c r="B33" s="3"/>
      <c r="C33" s="28"/>
      <c r="D33" s="29"/>
      <c r="E33" s="30"/>
      <c r="F33" s="3"/>
      <c r="G33" s="2"/>
    </row>
    <row r="34" spans="1:7" x14ac:dyDescent="0.25">
      <c r="A34" s="42"/>
      <c r="B34" s="3"/>
      <c r="C34" s="28"/>
      <c r="D34" s="29"/>
      <c r="E34" s="30"/>
      <c r="F34" s="3"/>
      <c r="G34" s="2"/>
    </row>
    <row r="35" spans="1:7" x14ac:dyDescent="0.25">
      <c r="A35" s="42"/>
      <c r="B35" s="3"/>
      <c r="C35" s="28"/>
      <c r="D35" s="29"/>
      <c r="E35" s="30"/>
      <c r="F35" s="3"/>
      <c r="G35" s="2"/>
    </row>
    <row r="36" spans="1:7" x14ac:dyDescent="0.25">
      <c r="A36" s="42"/>
      <c r="B36" s="3"/>
      <c r="C36" s="28"/>
      <c r="D36" s="29"/>
      <c r="E36" s="30"/>
      <c r="F36" s="3"/>
      <c r="G36" s="2"/>
    </row>
    <row r="37" spans="1:7" x14ac:dyDescent="0.25">
      <c r="A37" s="42"/>
      <c r="B37" s="3"/>
      <c r="C37" s="28"/>
      <c r="D37" s="29"/>
      <c r="E37" s="30"/>
      <c r="F37" s="3"/>
      <c r="G37" s="2"/>
    </row>
    <row r="38" spans="1:7" x14ac:dyDescent="0.25">
      <c r="A38" s="42"/>
      <c r="B38" s="3"/>
      <c r="C38" s="28"/>
      <c r="D38" s="29"/>
      <c r="E38" s="30"/>
      <c r="F38" s="3"/>
      <c r="G38" s="2"/>
    </row>
    <row r="39" spans="1:7" x14ac:dyDescent="0.25">
      <c r="A39" s="42"/>
      <c r="B39" s="3"/>
      <c r="C39" s="28"/>
      <c r="D39" s="29"/>
      <c r="E39" s="30"/>
      <c r="F39" s="3"/>
      <c r="G39" s="2"/>
    </row>
    <row r="40" spans="1:7" x14ac:dyDescent="0.25">
      <c r="A40" s="42"/>
      <c r="B40" s="3"/>
      <c r="C40" s="28"/>
      <c r="D40" s="29"/>
      <c r="E40" s="30"/>
      <c r="F40" s="3"/>
      <c r="G40" s="2"/>
    </row>
    <row r="41" spans="1:7" x14ac:dyDescent="0.25">
      <c r="A41" s="42"/>
      <c r="B41" s="3"/>
      <c r="C41" s="28"/>
      <c r="D41" s="29"/>
      <c r="E41" s="30"/>
      <c r="F41" s="3"/>
      <c r="G41" s="2"/>
    </row>
    <row r="42" spans="1:7" x14ac:dyDescent="0.25">
      <c r="A42" s="42"/>
      <c r="B42" s="3"/>
      <c r="C42" s="28"/>
      <c r="D42" s="29"/>
      <c r="E42" s="30"/>
      <c r="F42" s="3"/>
      <c r="G42" s="2"/>
    </row>
    <row r="43" spans="1:7" x14ac:dyDescent="0.25">
      <c r="A43" s="42"/>
      <c r="B43" s="3"/>
      <c r="C43" s="28"/>
      <c r="D43" s="29"/>
      <c r="E43" s="30"/>
      <c r="F43" s="3"/>
      <c r="G43" s="2"/>
    </row>
    <row r="44" spans="1:7" x14ac:dyDescent="0.25">
      <c r="A44" s="42"/>
      <c r="B44" s="3"/>
      <c r="C44" s="28"/>
      <c r="D44" s="29"/>
      <c r="E44" s="30"/>
      <c r="F44" s="3"/>
      <c r="G44" s="2"/>
    </row>
    <row r="45" spans="1:7" x14ac:dyDescent="0.25">
      <c r="A45" s="42"/>
      <c r="B45" s="3"/>
      <c r="C45" s="28"/>
      <c r="D45" s="29"/>
      <c r="E45" s="30"/>
      <c r="F45" s="3"/>
      <c r="G45" s="2"/>
    </row>
    <row r="46" spans="1:7" x14ac:dyDescent="0.25">
      <c r="A46" s="42"/>
      <c r="B46" s="3"/>
      <c r="C46" s="28"/>
      <c r="D46" s="29"/>
      <c r="E46" s="30"/>
      <c r="F46" s="3"/>
      <c r="G46" s="2"/>
    </row>
    <row r="47" spans="1:7" x14ac:dyDescent="0.25">
      <c r="A47" s="42"/>
      <c r="B47" s="3"/>
      <c r="C47" s="28"/>
      <c r="D47" s="29"/>
      <c r="E47" s="30"/>
      <c r="F47" s="3"/>
      <c r="G47" s="2"/>
    </row>
    <row r="48" spans="1:7" x14ac:dyDescent="0.25">
      <c r="A48" s="42"/>
      <c r="B48" s="3"/>
      <c r="C48" s="28"/>
      <c r="D48" s="29"/>
      <c r="E48" s="30"/>
      <c r="F48" s="3"/>
      <c r="G48" s="2"/>
    </row>
    <row r="49" spans="1:7" x14ac:dyDescent="0.25">
      <c r="A49" s="42"/>
      <c r="B49" s="3"/>
      <c r="C49" s="28"/>
      <c r="D49" s="29"/>
      <c r="E49" s="30"/>
      <c r="F49" s="3"/>
      <c r="G49" s="2"/>
    </row>
    <row r="50" spans="1:7" x14ac:dyDescent="0.25">
      <c r="A50" s="42"/>
      <c r="B50" s="3"/>
      <c r="C50" s="28"/>
      <c r="D50" s="29"/>
      <c r="E50" s="30"/>
      <c r="F50" s="3"/>
      <c r="G50" s="2"/>
    </row>
  </sheetData>
  <sortState ref="A8:G16">
    <sortCondition descending="1" ref="D8:D16"/>
  </sortState>
  <phoneticPr fontId="9" type="noConversion"/>
  <printOptions horizontalCentered="1"/>
  <pageMargins left="0.75" right="0.75" top="1" bottom="1" header="0.5" footer="0.5"/>
  <pageSetup orientation="portrait" horizontalDpi="1200" verticalDpi="1200" r:id="rId1"/>
  <headerFooter alignWithMargins="0">
    <oddHeader>&amp;L&amp;"Tahoma,Bold"&amp;11U.S. Biathlon Association&amp;R&amp;"Tahoma,Bold"&amp;11 2017 Race Points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/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42805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876</v>
      </c>
      <c r="C5" s="22"/>
      <c r="D5" s="22"/>
      <c r="E5" s="22" t="s">
        <v>55</v>
      </c>
      <c r="F5" s="38" t="e">
        <f>AVERAGE(C8:C11)*(AVERAGE(D8:D11)/100)</f>
        <v>#N/A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</v>
      </c>
      <c r="B8" s="3" t="s">
        <v>12</v>
      </c>
      <c r="C8" s="51">
        <v>1.7361111111111112E-2</v>
      </c>
      <c r="D8" s="29">
        <f>INDEX('Points Summary'!$F$4:$F$1143,G8)</f>
        <v>59.284937701582372</v>
      </c>
      <c r="E8" s="124" t="e">
        <f>(AVERAGE($D$8:$D$11)/100*AVERAGE($C$8:$C$11))/C8</f>
        <v>#N/A</v>
      </c>
      <c r="F8" s="3"/>
      <c r="G8" s="2">
        <f>MATCH(B8,'Points Summary'!$B$4:$B$1144,0)</f>
        <v>292</v>
      </c>
    </row>
    <row r="9" spans="1:7" x14ac:dyDescent="0.25">
      <c r="A9" s="2">
        <v>2</v>
      </c>
      <c r="B9" s="3" t="s">
        <v>108</v>
      </c>
      <c r="C9" s="51">
        <v>1.9444444444444445E-2</v>
      </c>
      <c r="D9" s="29">
        <f>INDEX('Points Summary'!$F$4:$F$1143,G9)</f>
        <v>61.392615547752236</v>
      </c>
      <c r="E9" s="124" t="e">
        <f>(AVERAGE($D$8:$D$11)/100*AVERAGE($C$8:$C$11))/C9</f>
        <v>#N/A</v>
      </c>
      <c r="F9" s="3"/>
      <c r="G9" s="2">
        <f>MATCH(B9,'Points Summary'!$B$4:$B$1144,0)</f>
        <v>48</v>
      </c>
    </row>
    <row r="10" spans="1:7" x14ac:dyDescent="0.25">
      <c r="A10" s="2">
        <v>3</v>
      </c>
      <c r="B10" s="3" t="s">
        <v>811</v>
      </c>
      <c r="C10" s="51">
        <v>2.9849537037037036E-2</v>
      </c>
      <c r="D10" s="29" t="e">
        <f>INDEX('Points Summary'!$F$4:$F$1143,G10)</f>
        <v>#N/A</v>
      </c>
      <c r="E10" s="124" t="e">
        <f>(AVERAGE($D$8:$D$11)/100*AVERAGE($C$8:$C$11))/C10</f>
        <v>#N/A</v>
      </c>
      <c r="F10" s="3"/>
      <c r="G10" s="2" t="e">
        <f>MATCH(B10,'Points Summary'!$B$4:$B$1144,0)</f>
        <v>#N/A</v>
      </c>
    </row>
    <row r="11" spans="1:7" x14ac:dyDescent="0.25">
      <c r="A11" s="2">
        <v>5</v>
      </c>
      <c r="B11" s="3" t="s">
        <v>56</v>
      </c>
      <c r="C11" s="51">
        <v>3.5856481481481482E-2</v>
      </c>
      <c r="D11" s="29">
        <f>INDEX('Points Summary'!$F$4:$F$1143,G11)</f>
        <v>34.5609862378993</v>
      </c>
      <c r="E11" s="124" t="e">
        <f>(AVERAGE($D$8:$D$11)/100*AVERAGE($C$8:$C$11))/C11</f>
        <v>#N/A</v>
      </c>
      <c r="F11" s="3"/>
      <c r="G11" s="2">
        <f>MATCH(B11,'Points Summary'!$B$4:$B$1144,0)</f>
        <v>185</v>
      </c>
    </row>
    <row r="12" spans="1:7" x14ac:dyDescent="0.25">
      <c r="A12" s="2"/>
      <c r="B12" s="3"/>
      <c r="C12" s="51"/>
      <c r="D12" s="29"/>
      <c r="E12" s="124"/>
      <c r="F12" s="3"/>
      <c r="G12" s="2"/>
    </row>
    <row r="13" spans="1:7" x14ac:dyDescent="0.25">
      <c r="A13" s="2"/>
      <c r="B13" s="3"/>
      <c r="C13" s="51"/>
      <c r="D13" s="29"/>
      <c r="E13" s="124"/>
      <c r="F13" s="3"/>
      <c r="G13" s="2"/>
    </row>
    <row r="14" spans="1:7" x14ac:dyDescent="0.25">
      <c r="A14" s="2"/>
      <c r="B14" s="3"/>
      <c r="C14" s="51"/>
      <c r="D14" s="29"/>
      <c r="E14" s="124"/>
      <c r="F14" s="3"/>
      <c r="G14" s="2"/>
    </row>
    <row r="15" spans="1:7" x14ac:dyDescent="0.25">
      <c r="A15" s="2"/>
      <c r="B15" s="3"/>
      <c r="C15" s="51"/>
      <c r="D15" s="29"/>
      <c r="E15" s="124"/>
      <c r="F15" s="3"/>
      <c r="G15" s="2"/>
    </row>
    <row r="16" spans="1:7" x14ac:dyDescent="0.25">
      <c r="A16" s="2"/>
      <c r="B16" s="3"/>
      <c r="C16" s="51"/>
      <c r="D16" s="29"/>
      <c r="E16" s="124"/>
      <c r="F16" s="3"/>
      <c r="G16" s="2"/>
    </row>
    <row r="17" spans="1:7" x14ac:dyDescent="0.25">
      <c r="A17" s="2"/>
      <c r="B17" s="3"/>
      <c r="C17" s="51"/>
      <c r="D17" s="29"/>
      <c r="E17" s="124"/>
      <c r="F17" s="3"/>
      <c r="G17" s="2"/>
    </row>
    <row r="18" spans="1:7" x14ac:dyDescent="0.25">
      <c r="A18" s="2"/>
      <c r="B18" s="3"/>
      <c r="C18" s="51"/>
      <c r="D18" s="29"/>
      <c r="E18" s="124"/>
      <c r="F18" s="3"/>
      <c r="G18" s="2"/>
    </row>
    <row r="19" spans="1:7" x14ac:dyDescent="0.25">
      <c r="A19" s="2"/>
      <c r="B19" s="3"/>
      <c r="C19" s="51"/>
      <c r="D19" s="29"/>
      <c r="E19" s="124"/>
      <c r="F19" s="3"/>
      <c r="G19" s="2"/>
    </row>
    <row r="20" spans="1:7" x14ac:dyDescent="0.25">
      <c r="A20" s="2"/>
      <c r="B20" s="3"/>
      <c r="C20" s="51"/>
      <c r="D20" s="29"/>
      <c r="E20" s="124"/>
      <c r="F20" s="3"/>
      <c r="G20" s="2"/>
    </row>
    <row r="21" spans="1:7" x14ac:dyDescent="0.25">
      <c r="A21" s="2"/>
      <c r="B21" s="75"/>
      <c r="C21" s="28"/>
      <c r="D21" s="29"/>
      <c r="E21" s="30"/>
      <c r="F21" s="3"/>
      <c r="G21" s="2"/>
    </row>
    <row r="22" spans="1:7" x14ac:dyDescent="0.25">
      <c r="A22" s="2"/>
      <c r="B22" s="75"/>
      <c r="C22" s="28"/>
      <c r="D22" s="29"/>
      <c r="E22" s="30"/>
      <c r="F22" s="3"/>
      <c r="G22" s="2"/>
    </row>
    <row r="23" spans="1:7" x14ac:dyDescent="0.25">
      <c r="A23" s="2"/>
      <c r="B23" s="123"/>
      <c r="C23" s="28"/>
      <c r="D23" s="29"/>
      <c r="E23" s="30"/>
      <c r="F23" s="3"/>
      <c r="G23" s="2"/>
    </row>
    <row r="24" spans="1:7" x14ac:dyDescent="0.25">
      <c r="A24" s="2"/>
      <c r="B24" s="75"/>
      <c r="C24" s="28"/>
      <c r="D24" s="29"/>
      <c r="E24" s="30"/>
      <c r="F24" s="3"/>
      <c r="G24" s="2"/>
    </row>
    <row r="25" spans="1:7" x14ac:dyDescent="0.25">
      <c r="A25" s="2"/>
      <c r="B25" s="122"/>
      <c r="C25" s="28"/>
      <c r="D25" s="29"/>
      <c r="E25" s="30"/>
      <c r="F25" s="3"/>
      <c r="G25" s="2"/>
    </row>
    <row r="26" spans="1:7" x14ac:dyDescent="0.25">
      <c r="A26" s="2"/>
      <c r="B26" s="75"/>
      <c r="C26" s="28"/>
      <c r="D26" s="29"/>
      <c r="E26" s="30"/>
      <c r="F26" s="3"/>
      <c r="G26" s="2"/>
    </row>
    <row r="27" spans="1:7" x14ac:dyDescent="0.25">
      <c r="A27" s="2"/>
      <c r="B27" s="75"/>
      <c r="C27" s="28"/>
      <c r="D27" s="29"/>
      <c r="E27" s="30"/>
      <c r="F27" s="3"/>
      <c r="G27" s="2"/>
    </row>
    <row r="28" spans="1:7" x14ac:dyDescent="0.25">
      <c r="A28" s="2"/>
      <c r="B28" s="75"/>
      <c r="C28" s="28"/>
      <c r="D28" s="29"/>
      <c r="E28" s="30"/>
      <c r="F28" s="3"/>
      <c r="G28" s="2"/>
    </row>
    <row r="29" spans="1:7" x14ac:dyDescent="0.25">
      <c r="A29" s="2"/>
      <c r="B29" s="122"/>
      <c r="C29" s="28"/>
      <c r="D29" s="29"/>
      <c r="E29" s="30"/>
      <c r="F29" s="3"/>
      <c r="G29" s="2"/>
    </row>
    <row r="30" spans="1:7" x14ac:dyDescent="0.25">
      <c r="A30" s="2"/>
      <c r="B30" s="123"/>
      <c r="C30" s="28"/>
      <c r="D30" s="29"/>
      <c r="E30" s="30"/>
      <c r="F30" s="3"/>
      <c r="G30" s="2"/>
    </row>
    <row r="31" spans="1:7" x14ac:dyDescent="0.25">
      <c r="A31" s="2"/>
      <c r="B31" s="75"/>
      <c r="C31" s="28"/>
      <c r="D31" s="29"/>
      <c r="E31" s="30"/>
      <c r="F31" s="3"/>
      <c r="G31" s="2"/>
    </row>
    <row r="32" spans="1:7" x14ac:dyDescent="0.25">
      <c r="A32" s="2"/>
      <c r="B32" s="75"/>
      <c r="C32" s="28"/>
      <c r="D32" s="29"/>
      <c r="E32" s="30"/>
      <c r="F32" s="3"/>
      <c r="G32" s="2"/>
    </row>
    <row r="33" spans="1:7" x14ac:dyDescent="0.25">
      <c r="A33" s="2"/>
      <c r="B33" s="75"/>
      <c r="C33" s="28"/>
      <c r="D33" s="29"/>
      <c r="E33" s="30"/>
      <c r="F33" s="3"/>
      <c r="G33" s="2"/>
    </row>
    <row r="34" spans="1:7" x14ac:dyDescent="0.25">
      <c r="A34" s="2"/>
      <c r="B34" s="75"/>
      <c r="C34" s="28"/>
      <c r="D34" s="29"/>
      <c r="E34" s="30"/>
      <c r="F34" s="3"/>
      <c r="G34" s="2"/>
    </row>
    <row r="35" spans="1:7" x14ac:dyDescent="0.25">
      <c r="A35" s="2"/>
      <c r="B35" s="75"/>
      <c r="C35" s="28"/>
      <c r="D35" s="29"/>
      <c r="E35" s="30"/>
      <c r="F35" s="3"/>
      <c r="G35" s="2"/>
    </row>
    <row r="36" spans="1:7" x14ac:dyDescent="0.25">
      <c r="A36" s="2"/>
      <c r="B36" s="75"/>
      <c r="C36" s="28"/>
      <c r="D36" s="29"/>
      <c r="E36" s="30"/>
      <c r="F36" s="3"/>
      <c r="G36" s="2"/>
    </row>
    <row r="37" spans="1:7" x14ac:dyDescent="0.25">
      <c r="A37" s="2"/>
      <c r="B37" s="123"/>
      <c r="C37" s="28"/>
      <c r="D37" s="29"/>
      <c r="E37" s="30"/>
      <c r="F37" s="3"/>
      <c r="G37" s="2"/>
    </row>
    <row r="38" spans="1:7" x14ac:dyDescent="0.25">
      <c r="A38" s="2"/>
      <c r="B38" s="75"/>
      <c r="C38" s="28"/>
      <c r="D38" s="29"/>
      <c r="E38" s="30"/>
      <c r="F38" s="3"/>
      <c r="G38" s="2"/>
    </row>
    <row r="39" spans="1:7" x14ac:dyDescent="0.25">
      <c r="A39" s="2"/>
      <c r="B39" s="122"/>
      <c r="C39" s="28"/>
      <c r="D39" s="29"/>
      <c r="E39" s="30"/>
      <c r="F39" s="3"/>
      <c r="G39" s="2"/>
    </row>
    <row r="40" spans="1:7" x14ac:dyDescent="0.25">
      <c r="A40" s="2"/>
      <c r="B40" s="123"/>
      <c r="C40" s="28"/>
      <c r="D40" s="29"/>
      <c r="E40" s="30"/>
      <c r="F40" s="3"/>
      <c r="G40" s="2"/>
    </row>
    <row r="41" spans="1:7" x14ac:dyDescent="0.25">
      <c r="A41" s="2"/>
      <c r="B41" s="75"/>
      <c r="C41" s="28"/>
      <c r="D41" s="29"/>
      <c r="E41" s="30"/>
      <c r="F41" s="3"/>
      <c r="G41" s="2"/>
    </row>
    <row r="42" spans="1:7" x14ac:dyDescent="0.25">
      <c r="A42" s="2"/>
      <c r="B42" s="122"/>
      <c r="C42" s="28"/>
      <c r="D42" s="29"/>
      <c r="E42" s="30"/>
      <c r="F42" s="3"/>
      <c r="G42" s="2"/>
    </row>
    <row r="43" spans="1:7" x14ac:dyDescent="0.25">
      <c r="A43" s="2"/>
      <c r="B43" s="75"/>
      <c r="C43" s="28"/>
      <c r="D43" s="29"/>
      <c r="E43" s="30"/>
      <c r="F43" s="3"/>
      <c r="G43" s="2"/>
    </row>
    <row r="44" spans="1:7" x14ac:dyDescent="0.25">
      <c r="A44" s="2"/>
      <c r="B44" s="122"/>
      <c r="C44" s="28"/>
      <c r="D44" s="29"/>
      <c r="E44" s="30"/>
      <c r="F44" s="3"/>
      <c r="G44" s="2"/>
    </row>
    <row r="45" spans="1:7" x14ac:dyDescent="0.25">
      <c r="A45" s="2"/>
      <c r="B45" s="122"/>
      <c r="C45" s="28"/>
      <c r="D45" s="29"/>
      <c r="E45" s="30"/>
      <c r="F45" s="3"/>
      <c r="G45" s="2"/>
    </row>
    <row r="46" spans="1:7" x14ac:dyDescent="0.25">
      <c r="A46" s="2"/>
      <c r="B46" s="123"/>
      <c r="C46" s="28"/>
      <c r="D46" s="29"/>
      <c r="E46" s="30"/>
      <c r="F46" s="3"/>
      <c r="G46" s="2"/>
    </row>
    <row r="47" spans="1:7" x14ac:dyDescent="0.25">
      <c r="A47" s="2"/>
      <c r="B47" s="123"/>
      <c r="C47" s="28"/>
      <c r="D47" s="29"/>
      <c r="E47" s="30"/>
      <c r="F47" s="3"/>
      <c r="G47" s="2"/>
    </row>
    <row r="48" spans="1:7" x14ac:dyDescent="0.25">
      <c r="A48" s="2"/>
      <c r="B48" s="123"/>
      <c r="C48" s="28"/>
      <c r="D48" s="29"/>
      <c r="E48" s="30"/>
      <c r="F48" s="3"/>
      <c r="G48" s="2"/>
    </row>
    <row r="49" spans="1:7" x14ac:dyDescent="0.25">
      <c r="A49" s="2"/>
      <c r="B49" s="123"/>
      <c r="C49" s="28"/>
      <c r="D49" s="29"/>
      <c r="E49" s="30"/>
      <c r="F49" s="3"/>
      <c r="G49" s="2"/>
    </row>
    <row r="50" spans="1:7" x14ac:dyDescent="0.25">
      <c r="A50" s="2"/>
      <c r="B50" s="123"/>
      <c r="C50" s="28"/>
      <c r="D50" s="29"/>
      <c r="E50" s="30"/>
      <c r="F50" s="3"/>
      <c r="G50" s="2"/>
    </row>
    <row r="51" spans="1:7" x14ac:dyDescent="0.25">
      <c r="A51" s="2"/>
      <c r="B51" s="75"/>
      <c r="C51" s="28"/>
      <c r="D51" s="29"/>
      <c r="E51" s="30"/>
      <c r="F51" s="3"/>
      <c r="G51" s="2"/>
    </row>
    <row r="52" spans="1:7" x14ac:dyDescent="0.25">
      <c r="A52" s="2"/>
      <c r="B52" s="75"/>
      <c r="C52" s="28"/>
      <c r="D52" s="29"/>
      <c r="E52" s="30"/>
      <c r="F52" s="3"/>
      <c r="G52" s="2"/>
    </row>
    <row r="53" spans="1:7" x14ac:dyDescent="0.25">
      <c r="A53" s="2"/>
      <c r="B53" s="75"/>
      <c r="C53" s="28"/>
      <c r="D53" s="29"/>
      <c r="E53" s="30"/>
      <c r="F53" s="3"/>
      <c r="G53" s="2"/>
    </row>
    <row r="54" spans="1:7" x14ac:dyDescent="0.25">
      <c r="A54" s="2"/>
      <c r="B54" s="122"/>
      <c r="C54" s="28"/>
      <c r="D54" s="29"/>
      <c r="E54" s="30"/>
      <c r="F54" s="3"/>
      <c r="G54" s="2"/>
    </row>
  </sheetData>
  <sortState ref="A8:D54">
    <sortCondition descending="1" ref="D8:D54"/>
  </sortState>
  <phoneticPr fontId="9" type="noConversion"/>
  <printOptions horizontalCentered="1"/>
  <pageMargins left="0.75" right="0.75" top="1" bottom="1" header="0.5" footer="0.5"/>
  <pageSetup orientation="portrait" horizontalDpi="1200" verticalDpi="1200" r:id="rId1"/>
  <headerFooter alignWithMargins="0">
    <oddHeader>&amp;L&amp;"Tahoma,Bold"&amp;11U.S. Biathlon Association&amp;R&amp;"Tahoma,Bold"&amp;11 2017 Race Points</oddHeader>
    <oddFooter>&amp;R&amp;"Tahoma,Regular"Page &amp;P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/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42818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115</v>
      </c>
      <c r="C5" s="22"/>
      <c r="D5" s="22"/>
      <c r="E5" s="22" t="s">
        <v>55</v>
      </c>
      <c r="F5" s="38">
        <f>AVERAGE(C8:C12)*(AVERAGE(D8:D12)/100)</f>
        <v>1.9669144424297475E-2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42">
        <v>1</v>
      </c>
      <c r="B8" t="s">
        <v>84</v>
      </c>
      <c r="C8" s="28">
        <v>1.9989236111111142E-2</v>
      </c>
      <c r="D8" s="29">
        <f>INDEX('Points Summary'!$F$4:$F$1143,G8)</f>
        <v>99.460903353359868</v>
      </c>
      <c r="E8" s="124">
        <f t="shared" ref="E8:E28" si="0">(AVERAGE($D$8:$D$12)/100*AVERAGE($C$8:$C$12))/C8</f>
        <v>0.9839867974426626</v>
      </c>
      <c r="F8" s="3"/>
      <c r="G8" s="2">
        <f>MATCH(B8,'Points Summary'!$B$4:$B$1144,0)</f>
        <v>13</v>
      </c>
    </row>
    <row r="9" spans="1:7" x14ac:dyDescent="0.25">
      <c r="A9" s="42">
        <v>4</v>
      </c>
      <c r="B9" t="s">
        <v>50</v>
      </c>
      <c r="C9" s="28">
        <v>1.9864467592592583E-2</v>
      </c>
      <c r="D9" s="29">
        <f>INDEX('Points Summary'!$F$4:$F$1143,G9)</f>
        <v>95.089327975174797</v>
      </c>
      <c r="E9" s="124">
        <f t="shared" si="0"/>
        <v>0.99016720849000039</v>
      </c>
      <c r="F9" s="3"/>
      <c r="G9" s="2">
        <f>MATCH(B9,'Points Summary'!$B$4:$B$1144,0)</f>
        <v>104</v>
      </c>
    </row>
    <row r="10" spans="1:7" x14ac:dyDescent="0.25">
      <c r="A10" s="42">
        <v>3</v>
      </c>
      <c r="B10" t="s">
        <v>762</v>
      </c>
      <c r="C10" s="28">
        <v>2.0447685185185194E-2</v>
      </c>
      <c r="D10" s="29">
        <f>INDEX('Points Summary'!$F$4:$F$1143,G10)</f>
        <v>93.60112568228071</v>
      </c>
      <c r="E10" s="124">
        <f t="shared" si="0"/>
        <v>0.96192523731479451</v>
      </c>
      <c r="F10" s="3"/>
      <c r="G10" s="2">
        <f>MATCH(B10,'Points Summary'!$B$4:$B$1144,0)</f>
        <v>366</v>
      </c>
    </row>
    <row r="11" spans="1:7" x14ac:dyDescent="0.25">
      <c r="A11" s="42">
        <v>18</v>
      </c>
      <c r="B11" t="s">
        <v>460</v>
      </c>
      <c r="C11" s="28">
        <v>2.1642361111111119E-2</v>
      </c>
      <c r="D11" s="29">
        <f>INDEX('Points Summary'!$F$4:$F$1143,G11)</f>
        <v>92.885416008196273</v>
      </c>
      <c r="E11" s="124">
        <f t="shared" si="0"/>
        <v>0.90882618228744916</v>
      </c>
      <c r="F11" s="3"/>
      <c r="G11" s="2">
        <f>MATCH(B11,'Points Summary'!$B$4:$B$1144,0)</f>
        <v>139</v>
      </c>
    </row>
    <row r="12" spans="1:7" x14ac:dyDescent="0.25">
      <c r="A12" s="42">
        <v>12</v>
      </c>
      <c r="B12" t="s">
        <v>795</v>
      </c>
      <c r="C12" s="28">
        <v>2.1859722222222155E-2</v>
      </c>
      <c r="D12" s="29">
        <f>INDEX('Points Summary'!$F$4:$F$1143,G12)</f>
        <v>92.674366002181756</v>
      </c>
      <c r="E12" s="124">
        <f t="shared" si="0"/>
        <v>0.89978931224945835</v>
      </c>
      <c r="F12" s="3"/>
      <c r="G12" s="2">
        <f>MATCH(B12,'Points Summary'!$B$4:$B$1144,0)</f>
        <v>201</v>
      </c>
    </row>
    <row r="13" spans="1:7" x14ac:dyDescent="0.25">
      <c r="A13" s="42">
        <v>8</v>
      </c>
      <c r="B13" t="s">
        <v>759</v>
      </c>
      <c r="C13" s="28">
        <v>2.1934837962962972E-2</v>
      </c>
      <c r="D13" s="29">
        <f>INDEX('Points Summary'!$F$4:$F$1143,G13)</f>
        <v>90.488521205766915</v>
      </c>
      <c r="E13" s="124">
        <f t="shared" si="0"/>
        <v>0.89670798833840826</v>
      </c>
      <c r="F13" s="3"/>
      <c r="G13" s="2">
        <f>MATCH(B13,'Points Summary'!$B$4:$B$1144,0)</f>
        <v>131</v>
      </c>
    </row>
    <row r="14" spans="1:7" x14ac:dyDescent="0.25">
      <c r="A14" s="42">
        <v>2</v>
      </c>
      <c r="B14" t="s">
        <v>70</v>
      </c>
      <c r="C14" s="28">
        <v>2.031608796296297E-2</v>
      </c>
      <c r="D14" s="29">
        <f>INDEX('Points Summary'!$F$4:$F$1143,G14)</f>
        <v>95.945007171519649</v>
      </c>
      <c r="E14" s="124">
        <f t="shared" si="0"/>
        <v>0.96815609679162162</v>
      </c>
      <c r="F14" s="3"/>
      <c r="G14" s="2">
        <f>MATCH(B14,'Points Summary'!$B$4:$B$1144,0)</f>
        <v>309</v>
      </c>
    </row>
    <row r="15" spans="1:7" x14ac:dyDescent="0.25">
      <c r="A15" s="42">
        <v>9</v>
      </c>
      <c r="B15" t="s">
        <v>173</v>
      </c>
      <c r="C15" s="28">
        <v>2.1159027777777784E-2</v>
      </c>
      <c r="D15" s="29">
        <f>INDEX('Points Summary'!$F$4:$F$1143,G15)</f>
        <v>87.864563738067233</v>
      </c>
      <c r="E15" s="124">
        <f t="shared" si="0"/>
        <v>0.92958639833891354</v>
      </c>
      <c r="F15" s="3"/>
      <c r="G15" s="2">
        <f>MATCH(B15,'Points Summary'!$B$4:$B$1144,0)</f>
        <v>47</v>
      </c>
    </row>
    <row r="16" spans="1:7" x14ac:dyDescent="0.25">
      <c r="A16" s="42">
        <v>7</v>
      </c>
      <c r="B16" t="s">
        <v>103</v>
      </c>
      <c r="C16" s="28">
        <v>2.2257407407407392E-2</v>
      </c>
      <c r="D16" s="29">
        <f>INDEX('Points Summary'!$F$4:$F$1143,G16)</f>
        <v>87.153898367817163</v>
      </c>
      <c r="E16" s="124">
        <f t="shared" si="0"/>
        <v>0.88371228797076662</v>
      </c>
      <c r="F16" s="3"/>
      <c r="G16" s="2">
        <f>MATCH(B16,'Points Summary'!$B$4:$B$1144,0)</f>
        <v>163</v>
      </c>
    </row>
    <row r="17" spans="1:7" x14ac:dyDescent="0.25">
      <c r="A17" s="42">
        <v>5</v>
      </c>
      <c r="B17" t="s">
        <v>102</v>
      </c>
      <c r="C17" s="28">
        <v>2.2362268518518524E-2</v>
      </c>
      <c r="D17" s="29">
        <f>INDEX('Points Summary'!$F$4:$F$1143,G17)</f>
        <v>86.807963708513867</v>
      </c>
      <c r="E17" s="124">
        <f t="shared" si="0"/>
        <v>0.87956838582852925</v>
      </c>
      <c r="F17" s="3"/>
      <c r="G17" s="2">
        <f>MATCH(B17,'Points Summary'!$B$4:$B$1144,0)</f>
        <v>128</v>
      </c>
    </row>
    <row r="18" spans="1:7" x14ac:dyDescent="0.25">
      <c r="A18" s="42">
        <v>10</v>
      </c>
      <c r="B18" t="s">
        <v>838</v>
      </c>
      <c r="C18" s="28">
        <v>2.1589583333333329E-2</v>
      </c>
      <c r="D18" s="29">
        <f>INDEX('Points Summary'!$F$4:$F$1143,G18)</f>
        <v>90.493939450526881</v>
      </c>
      <c r="E18" s="124">
        <f t="shared" si="0"/>
        <v>0.91104789382059159</v>
      </c>
      <c r="F18" s="3"/>
      <c r="G18" s="2">
        <f>MATCH(B18,'Points Summary'!$B$4:$B$1144,0)</f>
        <v>57</v>
      </c>
    </row>
    <row r="19" spans="1:7" x14ac:dyDescent="0.25">
      <c r="A19" s="42">
        <v>6</v>
      </c>
      <c r="B19" t="s">
        <v>104</v>
      </c>
      <c r="C19" s="28">
        <v>2.1999537037037054E-2</v>
      </c>
      <c r="D19" s="29">
        <f>INDEX('Points Summary'!$F$4:$F$1143,G19)</f>
        <v>89.981553251588309</v>
      </c>
      <c r="E19" s="124">
        <f t="shared" si="0"/>
        <v>0.89407083390817388</v>
      </c>
      <c r="F19" s="3"/>
      <c r="G19" s="2">
        <f>MATCH(B19,'Points Summary'!$B$4:$B$1144,0)</f>
        <v>166</v>
      </c>
    </row>
    <row r="20" spans="1:7" x14ac:dyDescent="0.25">
      <c r="A20" s="42">
        <v>11</v>
      </c>
      <c r="B20" t="s">
        <v>765</v>
      </c>
      <c r="C20" s="28">
        <v>2.161412037037036E-2</v>
      </c>
      <c r="D20" s="29">
        <f>INDEX('Points Summary'!$F$4:$F$1143,G20)</f>
        <v>89.06928922635062</v>
      </c>
      <c r="E20" s="124">
        <f t="shared" si="0"/>
        <v>0.91001364326909417</v>
      </c>
      <c r="F20" s="3"/>
      <c r="G20" s="2">
        <f>MATCH(B20,'Points Summary'!$B$4:$B$1144,0)</f>
        <v>97</v>
      </c>
    </row>
    <row r="21" spans="1:7" x14ac:dyDescent="0.25">
      <c r="A21" s="42">
        <v>1</v>
      </c>
      <c r="B21" t="s">
        <v>714</v>
      </c>
      <c r="C21" s="28">
        <v>2.2968865740740751E-2</v>
      </c>
      <c r="D21" s="29">
        <f>INDEX('Points Summary'!$F$4:$F$1143,G21)</f>
        <v>83.939036057542722</v>
      </c>
      <c r="E21" s="124">
        <f t="shared" si="0"/>
        <v>0.85633938768728857</v>
      </c>
      <c r="F21" s="3"/>
      <c r="G21" s="2">
        <f>MATCH(B21,'Points Summary'!$B$4:$B$1144,0)</f>
        <v>220</v>
      </c>
    </row>
    <row r="22" spans="1:7" x14ac:dyDescent="0.25">
      <c r="A22" s="42">
        <v>3</v>
      </c>
      <c r="B22" t="s">
        <v>713</v>
      </c>
      <c r="C22" s="28">
        <v>2.5610995370370371E-2</v>
      </c>
      <c r="D22" s="29">
        <f>INDEX('Points Summary'!$F$4:$F$1143,G22)</f>
        <v>81.547058940732953</v>
      </c>
      <c r="E22" s="124">
        <f t="shared" si="0"/>
        <v>0.76799609464038698</v>
      </c>
      <c r="F22" s="3"/>
      <c r="G22" s="2">
        <f>MATCH(B22,'Points Summary'!$B$4:$B$1144,0)</f>
        <v>77</v>
      </c>
    </row>
    <row r="23" spans="1:7" x14ac:dyDescent="0.25">
      <c r="A23" s="42">
        <v>16</v>
      </c>
      <c r="B23" t="s">
        <v>394</v>
      </c>
      <c r="C23" s="28">
        <v>2.5043518518518493E-2</v>
      </c>
      <c r="D23" s="29">
        <f>INDEX('Points Summary'!$F$4:$F$1143,G23)</f>
        <v>76.465649687424957</v>
      </c>
      <c r="E23" s="124">
        <f t="shared" si="0"/>
        <v>0.78539860162832453</v>
      </c>
      <c r="F23" s="3"/>
      <c r="G23" s="2">
        <f>MATCH(B23,'Points Summary'!$B$4:$B$1144,0)</f>
        <v>106</v>
      </c>
    </row>
    <row r="24" spans="1:7" x14ac:dyDescent="0.25">
      <c r="A24" s="42">
        <v>15</v>
      </c>
      <c r="B24" t="s">
        <v>718</v>
      </c>
      <c r="C24" s="28">
        <v>2.5909259259259299E-2</v>
      </c>
      <c r="D24" s="29">
        <f>INDEX('Points Summary'!$F$4:$F$1143,G24)</f>
        <v>81.013290109009503</v>
      </c>
      <c r="E24" s="124">
        <f t="shared" si="0"/>
        <v>0.75915502745483676</v>
      </c>
      <c r="F24" s="3"/>
      <c r="G24" s="2">
        <f>MATCH(B24,'Points Summary'!$B$4:$B$1144,0)</f>
        <v>305</v>
      </c>
    </row>
    <row r="25" spans="1:7" x14ac:dyDescent="0.25">
      <c r="A25" s="42">
        <v>17</v>
      </c>
      <c r="B25" t="s">
        <v>729</v>
      </c>
      <c r="C25" s="28">
        <v>2.8457175925925893E-2</v>
      </c>
      <c r="D25" s="29">
        <f>INDEX('Points Summary'!$F$4:$F$1143,G25)</f>
        <v>74.818918747524734</v>
      </c>
      <c r="E25" s="124">
        <f t="shared" si="0"/>
        <v>0.69118399083227067</v>
      </c>
      <c r="F25" s="3"/>
      <c r="G25" s="2">
        <f>MATCH(B25,'Points Summary'!$B$4:$B$1144,0)</f>
        <v>252</v>
      </c>
    </row>
    <row r="26" spans="1:7" x14ac:dyDescent="0.25">
      <c r="A26" s="42">
        <v>13</v>
      </c>
      <c r="B26" t="s">
        <v>429</v>
      </c>
      <c r="C26" s="28">
        <v>3.5615046296296249E-2</v>
      </c>
      <c r="D26" s="29">
        <f>INDEX('Points Summary'!$F$4:$F$1143,G26)</f>
        <v>60.167059647047935</v>
      </c>
      <c r="E26" s="124">
        <f t="shared" si="0"/>
        <v>0.55227064035412887</v>
      </c>
      <c r="F26" s="3"/>
      <c r="G26" s="2">
        <f>MATCH(B26,'Points Summary'!$B$4:$B$1144,0)</f>
        <v>40</v>
      </c>
    </row>
    <row r="27" spans="1:7" x14ac:dyDescent="0.25">
      <c r="A27" s="42">
        <v>1</v>
      </c>
      <c r="B27" t="s">
        <v>936</v>
      </c>
      <c r="C27" s="28">
        <v>2.2969444444444487E-2</v>
      </c>
      <c r="D27" s="29">
        <f>INDEX('Points Summary'!$F$4:$F$1143,G27)</f>
        <v>79.76105334129258</v>
      </c>
      <c r="E27" s="124">
        <f t="shared" si="0"/>
        <v>0.85631781264325524</v>
      </c>
      <c r="F27" s="3"/>
      <c r="G27" s="2">
        <f>MATCH(B27,'Points Summary'!$B$4:$B$1144,0)</f>
        <v>330</v>
      </c>
    </row>
    <row r="28" spans="1:7" x14ac:dyDescent="0.25">
      <c r="A28" s="42">
        <v>2</v>
      </c>
      <c r="B28" t="s">
        <v>712</v>
      </c>
      <c r="C28" s="28">
        <v>2.4081249999999998E-2</v>
      </c>
      <c r="D28" s="29">
        <f>INDEX('Points Summary'!$F$4:$F$1143,G28)</f>
        <v>74.905957502259213</v>
      </c>
      <c r="E28" s="124">
        <f t="shared" si="0"/>
        <v>0.81678253513822896</v>
      </c>
      <c r="F28" s="3"/>
      <c r="G28" s="2">
        <f>MATCH(B28,'Points Summary'!$B$4:$B$1144,0)</f>
        <v>459</v>
      </c>
    </row>
    <row r="29" spans="1:7" x14ac:dyDescent="0.25">
      <c r="A29" s="42"/>
      <c r="B29" s="3"/>
      <c r="C29" s="28"/>
      <c r="D29" s="29"/>
      <c r="E29" s="30"/>
      <c r="F29" s="3"/>
      <c r="G29" s="2"/>
    </row>
    <row r="30" spans="1:7" x14ac:dyDescent="0.25">
      <c r="A30" s="42"/>
      <c r="B30" s="3"/>
      <c r="C30" s="28"/>
      <c r="D30" s="29"/>
      <c r="E30" s="30"/>
      <c r="F30" s="3"/>
      <c r="G30" s="2"/>
    </row>
    <row r="31" spans="1:7" x14ac:dyDescent="0.25">
      <c r="A31" s="42"/>
      <c r="B31" s="3"/>
      <c r="C31" s="28"/>
      <c r="D31" s="29"/>
      <c r="E31" s="30"/>
      <c r="F31" s="3"/>
      <c r="G31" s="2"/>
    </row>
    <row r="32" spans="1:7" x14ac:dyDescent="0.25">
      <c r="A32" s="42"/>
      <c r="B32" s="3"/>
      <c r="C32" s="28"/>
      <c r="D32" s="29"/>
      <c r="E32" s="30"/>
      <c r="F32" s="3"/>
      <c r="G32" s="2"/>
    </row>
    <row r="33" spans="1:7" x14ac:dyDescent="0.25">
      <c r="A33" s="42"/>
      <c r="B33" s="3"/>
      <c r="C33" s="28"/>
      <c r="D33" s="29"/>
      <c r="E33" s="30"/>
      <c r="F33" s="3"/>
      <c r="G33" s="2"/>
    </row>
    <row r="34" spans="1:7" x14ac:dyDescent="0.25">
      <c r="A34" s="42"/>
      <c r="B34" s="3"/>
      <c r="C34" s="28"/>
      <c r="D34" s="29"/>
      <c r="E34" s="30"/>
      <c r="F34" s="3"/>
      <c r="G34" s="2"/>
    </row>
    <row r="35" spans="1:7" x14ac:dyDescent="0.25">
      <c r="A35" s="42"/>
      <c r="B35" s="3"/>
      <c r="C35" s="28"/>
      <c r="D35" s="29"/>
      <c r="E35" s="30"/>
      <c r="F35" s="3"/>
      <c r="G35" s="2"/>
    </row>
    <row r="36" spans="1:7" x14ac:dyDescent="0.25">
      <c r="A36" s="42"/>
      <c r="B36" s="3"/>
      <c r="C36" s="28"/>
      <c r="D36" s="29"/>
      <c r="E36" s="30"/>
      <c r="F36" s="3"/>
      <c r="G36" s="2"/>
    </row>
    <row r="37" spans="1:7" x14ac:dyDescent="0.25">
      <c r="A37" s="42"/>
      <c r="B37" s="3"/>
      <c r="C37" s="28"/>
      <c r="D37" s="29"/>
      <c r="E37" s="30"/>
      <c r="F37" s="3"/>
      <c r="G37" s="2"/>
    </row>
    <row r="38" spans="1:7" x14ac:dyDescent="0.25">
      <c r="A38" s="42"/>
      <c r="B38" s="3"/>
      <c r="C38" s="28"/>
      <c r="D38" s="29"/>
      <c r="E38" s="30"/>
      <c r="F38" s="3"/>
      <c r="G38" s="2"/>
    </row>
    <row r="39" spans="1:7" x14ac:dyDescent="0.25">
      <c r="A39" s="42"/>
      <c r="B39" s="3"/>
      <c r="C39" s="28"/>
      <c r="D39" s="29"/>
      <c r="E39" s="30"/>
      <c r="F39" s="3"/>
      <c r="G39" s="2"/>
    </row>
    <row r="40" spans="1:7" x14ac:dyDescent="0.25">
      <c r="A40" s="42"/>
      <c r="B40" s="3"/>
      <c r="C40" s="28"/>
      <c r="D40" s="29"/>
      <c r="E40" s="30"/>
      <c r="F40" s="3"/>
      <c r="G40" s="2"/>
    </row>
    <row r="41" spans="1:7" x14ac:dyDescent="0.25">
      <c r="A41" s="42"/>
      <c r="B41" s="3"/>
      <c r="C41" s="28"/>
      <c r="D41" s="29"/>
      <c r="E41" s="30"/>
      <c r="F41" s="3"/>
      <c r="G41" s="2"/>
    </row>
    <row r="42" spans="1:7" x14ac:dyDescent="0.25">
      <c r="A42" s="42"/>
      <c r="B42" s="3"/>
      <c r="C42" s="28"/>
      <c r="D42" s="29"/>
      <c r="E42" s="30"/>
      <c r="F42" s="3"/>
      <c r="G42" s="2"/>
    </row>
    <row r="43" spans="1:7" x14ac:dyDescent="0.25">
      <c r="A43" s="42"/>
      <c r="B43" s="3"/>
      <c r="C43" s="28"/>
      <c r="D43" s="29"/>
      <c r="E43" s="30"/>
      <c r="F43" s="3"/>
      <c r="G43" s="2"/>
    </row>
    <row r="44" spans="1:7" x14ac:dyDescent="0.25">
      <c r="A44" s="42"/>
      <c r="B44" s="3"/>
      <c r="C44" s="28"/>
      <c r="D44" s="29"/>
      <c r="E44" s="30"/>
      <c r="F44" s="3"/>
      <c r="G44" s="2"/>
    </row>
    <row r="45" spans="1:7" x14ac:dyDescent="0.25">
      <c r="A45" s="42"/>
      <c r="B45" s="3"/>
      <c r="C45" s="28"/>
      <c r="D45" s="29"/>
      <c r="E45" s="30"/>
      <c r="F45" s="3"/>
      <c r="G45" s="2"/>
    </row>
    <row r="46" spans="1:7" x14ac:dyDescent="0.25">
      <c r="A46" s="42"/>
      <c r="B46" s="3"/>
      <c r="C46" s="28"/>
      <c r="D46" s="29"/>
      <c r="E46" s="30"/>
      <c r="F46" s="3"/>
      <c r="G46" s="2"/>
    </row>
    <row r="47" spans="1:7" x14ac:dyDescent="0.25">
      <c r="A47" s="42"/>
      <c r="B47" s="3"/>
      <c r="C47" s="28"/>
      <c r="D47" s="29"/>
      <c r="E47" s="30"/>
      <c r="F47" s="3"/>
      <c r="G47" s="2"/>
    </row>
    <row r="48" spans="1:7" x14ac:dyDescent="0.25">
      <c r="A48" s="42"/>
      <c r="B48" s="3"/>
      <c r="C48" s="28"/>
      <c r="D48" s="29"/>
      <c r="E48" s="30"/>
      <c r="F48" s="3"/>
      <c r="G48" s="2"/>
    </row>
    <row r="49" spans="1:7" x14ac:dyDescent="0.25">
      <c r="A49" s="42"/>
      <c r="B49" s="3"/>
      <c r="C49" s="28"/>
      <c r="D49" s="29"/>
      <c r="E49" s="30"/>
      <c r="F49" s="3"/>
      <c r="G49" s="2"/>
    </row>
    <row r="50" spans="1:7" x14ac:dyDescent="0.25">
      <c r="A50" s="42"/>
      <c r="B50" s="3"/>
      <c r="C50" s="28"/>
      <c r="D50" s="29"/>
      <c r="E50" s="30"/>
      <c r="F50" s="3"/>
      <c r="G50" s="2"/>
    </row>
    <row r="51" spans="1:7" x14ac:dyDescent="0.25">
      <c r="A51" s="42"/>
      <c r="B51" s="3"/>
      <c r="C51" s="28"/>
      <c r="D51" s="29"/>
      <c r="E51" s="30"/>
      <c r="F51" s="3"/>
      <c r="G51" s="2"/>
    </row>
    <row r="52" spans="1:7" x14ac:dyDescent="0.25">
      <c r="A52" s="42"/>
      <c r="B52" s="3"/>
      <c r="C52" s="28"/>
      <c r="D52" s="29"/>
      <c r="E52" s="30"/>
      <c r="F52" s="3"/>
      <c r="G52" s="2"/>
    </row>
    <row r="53" spans="1:7" x14ac:dyDescent="0.25">
      <c r="A53" s="42"/>
      <c r="B53" s="3"/>
      <c r="C53" s="28"/>
      <c r="D53" s="29"/>
      <c r="E53" s="30"/>
      <c r="F53" s="3"/>
      <c r="G53" s="2"/>
    </row>
    <row r="54" spans="1:7" x14ac:dyDescent="0.25">
      <c r="A54" s="42"/>
      <c r="B54" s="3"/>
      <c r="C54" s="28"/>
      <c r="D54" s="29"/>
      <c r="E54" s="30"/>
      <c r="F54" s="3"/>
      <c r="G54" s="2"/>
    </row>
  </sheetData>
  <sortState ref="A8:G28">
    <sortCondition descending="1" ref="D8:D28"/>
  </sortState>
  <printOptions horizontalCentered="1"/>
  <pageMargins left="0.7" right="0.7" top="0.75" bottom="0.75" header="0.3" footer="0.3"/>
  <pageSetup orientation="portrait" horizontalDpi="1200" verticalDpi="1200" r:id="rId1"/>
  <headerFooter>
    <oddHeader>&amp;L&amp;"Tahoma,Bold"&amp;11U.S. Biathlon Association&amp;R&amp;"Tahoma,Bold"&amp;11 2017 Race Points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"/>
  <sheetViews>
    <sheetView topLeftCell="A4" workbookViewId="0">
      <selection activeCell="B8" sqref="B8:B26"/>
    </sheetView>
  </sheetViews>
  <sheetFormatPr defaultRowHeight="13.2" x14ac:dyDescent="0.25"/>
  <cols>
    <col min="2" max="2" width="24.6640625" customWidth="1"/>
    <col min="3" max="3" width="9.6640625" style="42" customWidth="1"/>
    <col min="4" max="7" width="9.6640625" customWidth="1"/>
  </cols>
  <sheetData>
    <row r="1" spans="1:7" x14ac:dyDescent="0.25">
      <c r="A1" s="16" t="s">
        <v>22</v>
      </c>
      <c r="B1" s="17" t="s">
        <v>1020</v>
      </c>
      <c r="C1" s="133"/>
      <c r="D1" s="18"/>
      <c r="E1" s="18"/>
      <c r="F1" s="18"/>
      <c r="G1" s="19"/>
    </row>
    <row r="2" spans="1:7" x14ac:dyDescent="0.25">
      <c r="A2" s="20" t="s">
        <v>23</v>
      </c>
      <c r="B2" s="21">
        <v>43084</v>
      </c>
      <c r="C2" s="56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56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56"/>
      <c r="D4" s="22"/>
      <c r="E4" s="22"/>
      <c r="F4" s="22"/>
      <c r="G4" s="23"/>
    </row>
    <row r="5" spans="1:7" x14ac:dyDescent="0.25">
      <c r="A5" s="20" t="s">
        <v>27</v>
      </c>
      <c r="B5" s="24" t="s">
        <v>1021</v>
      </c>
      <c r="C5" s="56"/>
      <c r="D5" s="22"/>
      <c r="E5" s="22" t="s">
        <v>55</v>
      </c>
      <c r="F5" s="38">
        <f>AVERAGE(C8:C12)*(AVERAGE(D8:D12)/100)</f>
        <v>1.5318164782697591E-2</v>
      </c>
      <c r="G5" s="23"/>
    </row>
    <row r="6" spans="1:7" x14ac:dyDescent="0.25">
      <c r="A6" s="25" t="s">
        <v>29</v>
      </c>
      <c r="B6" s="26"/>
      <c r="C6" s="134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</v>
      </c>
      <c r="B8" s="3" t="s">
        <v>50</v>
      </c>
      <c r="C8" s="51">
        <v>1.628935185185185E-2</v>
      </c>
      <c r="D8" s="29">
        <f>INDEX('Points Summary'!$H$4:$H$1143,G8)</f>
        <v>94.460912223772951</v>
      </c>
      <c r="E8" s="124">
        <f t="shared" ref="E8:E26" si="0">(AVERAGE($D$8:$D$12)/100*AVERAGE($C$8:$C$12))/C8</f>
        <v>0.94037902318109423</v>
      </c>
      <c r="F8" s="3"/>
      <c r="G8" s="2">
        <f>MATCH(B8,'Points Summary'!$B$4:$B$1144,0)</f>
        <v>104</v>
      </c>
    </row>
    <row r="9" spans="1:7" x14ac:dyDescent="0.25">
      <c r="A9" s="2">
        <v>3</v>
      </c>
      <c r="B9" s="3" t="s">
        <v>460</v>
      </c>
      <c r="C9" s="51">
        <v>1.6633101851851854E-2</v>
      </c>
      <c r="D9" s="29">
        <f>INDEX('Points Summary'!$H$4:$H$1143,G9)</f>
        <v>92.189833981686178</v>
      </c>
      <c r="E9" s="124">
        <f t="shared" si="0"/>
        <v>0.92094456699260441</v>
      </c>
      <c r="F9" s="3"/>
      <c r="G9" s="2">
        <f>MATCH(B9,'Points Summary'!$B$4:$B$1144,0)</f>
        <v>139</v>
      </c>
    </row>
    <row r="10" spans="1:7" x14ac:dyDescent="0.25">
      <c r="A10" s="2">
        <v>2</v>
      </c>
      <c r="B10" s="3" t="s">
        <v>795</v>
      </c>
      <c r="C10" s="51">
        <v>1.6587962962962964E-2</v>
      </c>
      <c r="D10" s="29">
        <f>INDEX('Points Summary'!$H$4:$H$1143,G10)</f>
        <v>91.99586802493603</v>
      </c>
      <c r="E10" s="124">
        <f t="shared" si="0"/>
        <v>0.92345062602921557</v>
      </c>
      <c r="F10" s="3"/>
      <c r="G10" s="2">
        <f>MATCH(B10,'Points Summary'!$B$4:$B$1144,0)</f>
        <v>201</v>
      </c>
    </row>
    <row r="11" spans="1:7" x14ac:dyDescent="0.25">
      <c r="A11" s="2">
        <v>4</v>
      </c>
      <c r="B11" s="3" t="s">
        <v>838</v>
      </c>
      <c r="C11" s="51">
        <v>1.687962962962963E-2</v>
      </c>
      <c r="D11" s="29">
        <f>INDEX('Points Summary'!$H$4:$H$1143,G11)</f>
        <v>90.307748533563512</v>
      </c>
      <c r="E11" s="124">
        <f t="shared" si="0"/>
        <v>0.90749412865131096</v>
      </c>
      <c r="F11" s="3"/>
      <c r="G11" s="2">
        <f>MATCH(B11,'Points Summary'!$B$4:$B$1144,0)</f>
        <v>57</v>
      </c>
    </row>
    <row r="12" spans="1:7" x14ac:dyDescent="0.25">
      <c r="A12" s="2">
        <v>7</v>
      </c>
      <c r="B12" s="39" t="s">
        <v>759</v>
      </c>
      <c r="C12" s="51">
        <v>1.7040509259259259E-2</v>
      </c>
      <c r="D12" s="29">
        <f>INDEX('Points Summary'!$H$4:$H$1143,G12)</f>
        <v>90.055069712413157</v>
      </c>
      <c r="E12" s="124">
        <f t="shared" si="0"/>
        <v>0.89892646690557088</v>
      </c>
      <c r="F12" s="3"/>
      <c r="G12" s="2">
        <f>MATCH(B12,'Points Summary'!$B$4:$B$1144,0)</f>
        <v>131</v>
      </c>
    </row>
    <row r="13" spans="1:7" x14ac:dyDescent="0.25">
      <c r="A13" s="2">
        <v>8</v>
      </c>
      <c r="B13" s="39" t="s">
        <v>103</v>
      </c>
      <c r="C13" s="51">
        <v>1.7172453703703704E-2</v>
      </c>
      <c r="D13" s="29">
        <f>INDEX('Points Summary'!$H$4:$H$1143,G13)</f>
        <v>89.964188620219048</v>
      </c>
      <c r="E13" s="124">
        <f t="shared" si="0"/>
        <v>0.89201957081962113</v>
      </c>
      <c r="F13" s="3"/>
      <c r="G13" s="2">
        <f>MATCH(B13,'Points Summary'!$B$4:$B$1144,0)</f>
        <v>163</v>
      </c>
    </row>
    <row r="14" spans="1:7" x14ac:dyDescent="0.25">
      <c r="A14" s="2">
        <v>10</v>
      </c>
      <c r="B14" s="3" t="s">
        <v>173</v>
      </c>
      <c r="C14" s="51">
        <v>1.7204861111111112E-2</v>
      </c>
      <c r="D14" s="29">
        <f>INDEX('Points Summary'!$H$4:$H$1143,G14)</f>
        <v>89.585588407213393</v>
      </c>
      <c r="E14" s="124">
        <f t="shared" si="0"/>
        <v>0.89033934559372474</v>
      </c>
      <c r="F14" s="3"/>
      <c r="G14" s="2">
        <f>MATCH(B14,'Points Summary'!$B$4:$B$1144,0)</f>
        <v>47</v>
      </c>
    </row>
    <row r="15" spans="1:7" x14ac:dyDescent="0.25">
      <c r="A15" s="2">
        <v>9</v>
      </c>
      <c r="B15" s="3" t="s">
        <v>765</v>
      </c>
      <c r="C15" s="51">
        <v>1.7175925925925924E-2</v>
      </c>
      <c r="D15" s="29">
        <f>INDEX('Points Summary'!$H$4:$H$1143,G15)</f>
        <v>87.998149406139206</v>
      </c>
      <c r="E15" s="124">
        <f t="shared" si="0"/>
        <v>0.89183924341312126</v>
      </c>
      <c r="F15" s="3"/>
      <c r="G15" s="2">
        <f>MATCH(B15,'Points Summary'!$B$4:$B$1144,0)</f>
        <v>97</v>
      </c>
    </row>
    <row r="16" spans="1:7" x14ac:dyDescent="0.25">
      <c r="A16" s="2">
        <v>6</v>
      </c>
      <c r="B16" s="3" t="s">
        <v>104</v>
      </c>
      <c r="C16" s="51">
        <v>1.7040509259259259E-2</v>
      </c>
      <c r="D16" s="29">
        <f>INDEX('Points Summary'!$H$4:$H$1143,G16)</f>
        <v>87.280515799112706</v>
      </c>
      <c r="E16" s="124">
        <f t="shared" si="0"/>
        <v>0.89892646690557088</v>
      </c>
      <c r="F16" s="3"/>
      <c r="G16" s="2">
        <f>MATCH(B16,'Points Summary'!$B$4:$B$1144,0)</f>
        <v>166</v>
      </c>
    </row>
    <row r="17" spans="1:7" x14ac:dyDescent="0.25">
      <c r="A17" s="2">
        <v>14</v>
      </c>
      <c r="B17" s="39" t="s">
        <v>714</v>
      </c>
      <c r="C17" s="51">
        <v>1.9254629629629628E-2</v>
      </c>
      <c r="D17" s="29">
        <f>INDEX('Points Summary'!$H$4:$H$1143,G17)</f>
        <v>87.176205670220071</v>
      </c>
      <c r="E17" s="124">
        <f t="shared" si="0"/>
        <v>0.7955574881131714</v>
      </c>
      <c r="F17" s="3"/>
      <c r="G17" s="2">
        <f>MATCH(B17,'Points Summary'!$B$4:$B$1144,0)</f>
        <v>220</v>
      </c>
    </row>
    <row r="18" spans="1:7" x14ac:dyDescent="0.25">
      <c r="A18" s="2">
        <v>5</v>
      </c>
      <c r="B18" s="3" t="s">
        <v>756</v>
      </c>
      <c r="C18" s="51">
        <v>1.6938657407407406E-2</v>
      </c>
      <c r="D18" s="29">
        <f>INDEX('Points Summary'!$H$4:$H$1143,G18)</f>
        <v>85.052444447965044</v>
      </c>
      <c r="E18" s="124">
        <f t="shared" si="0"/>
        <v>0.90433169608819408</v>
      </c>
      <c r="F18" s="3"/>
      <c r="G18" s="2">
        <f>MATCH(B18,'Points Summary'!$B$4:$B$1144,0)</f>
        <v>80</v>
      </c>
    </row>
    <row r="19" spans="1:7" x14ac:dyDescent="0.25">
      <c r="A19" s="2">
        <v>12</v>
      </c>
      <c r="B19" s="3" t="s">
        <v>718</v>
      </c>
      <c r="C19" s="51">
        <v>1.8693287037037036E-2</v>
      </c>
      <c r="D19" s="29">
        <f>INDEX('Points Summary'!$H$4:$H$1143,G19)</f>
        <v>79.62720219965918</v>
      </c>
      <c r="E19" s="124">
        <f t="shared" si="0"/>
        <v>0.81944736377008975</v>
      </c>
      <c r="F19" s="3"/>
      <c r="G19" s="2">
        <f>MATCH(B19,'Points Summary'!$B$4:$B$1144,0)</f>
        <v>305</v>
      </c>
    </row>
    <row r="20" spans="1:7" x14ac:dyDescent="0.25">
      <c r="A20" s="2">
        <v>13</v>
      </c>
      <c r="B20" s="3" t="s">
        <v>936</v>
      </c>
      <c r="C20" s="51">
        <v>1.9127314814814816E-2</v>
      </c>
      <c r="D20" s="29">
        <f>INDEX('Points Summary'!$H$4:$H$1143,G20)</f>
        <v>79.01318682809638</v>
      </c>
      <c r="E20" s="124">
        <f t="shared" si="0"/>
        <v>0.80085286047747295</v>
      </c>
      <c r="F20" s="3"/>
      <c r="G20" s="2">
        <f>MATCH(B20,'Points Summary'!$B$4:$B$1144,0)</f>
        <v>330</v>
      </c>
    </row>
    <row r="21" spans="1:7" x14ac:dyDescent="0.25">
      <c r="A21" s="2">
        <v>19</v>
      </c>
      <c r="B21" s="3" t="s">
        <v>713</v>
      </c>
      <c r="C21" s="51">
        <v>2.1072916666666667E-2</v>
      </c>
      <c r="D21" s="29">
        <f>INDEX('Points Summary'!$H$4:$H$1143,G21)</f>
        <v>78.60794886388625</v>
      </c>
      <c r="E21" s="124">
        <f t="shared" si="0"/>
        <v>0.72691241677655405</v>
      </c>
      <c r="F21" s="3"/>
      <c r="G21" s="2">
        <f>MATCH(B21,'Points Summary'!$B$4:$B$1144,0)</f>
        <v>77</v>
      </c>
    </row>
    <row r="22" spans="1:7" x14ac:dyDescent="0.25">
      <c r="A22" s="2">
        <v>16</v>
      </c>
      <c r="B22" s="3" t="s">
        <v>846</v>
      </c>
      <c r="C22" s="51">
        <v>2.0072916666666666E-2</v>
      </c>
      <c r="D22" s="29">
        <f>INDEX('Points Summary'!$H$4:$H$1143,G22)</f>
        <v>72.812737226805623</v>
      </c>
      <c r="E22" s="124">
        <f t="shared" si="0"/>
        <v>0.76312600889411975</v>
      </c>
      <c r="F22" s="3"/>
      <c r="G22" s="2">
        <f>MATCH(B22,'Points Summary'!$B$4:$B$1144,0)</f>
        <v>168</v>
      </c>
    </row>
    <row r="23" spans="1:7" x14ac:dyDescent="0.25">
      <c r="A23" s="2">
        <v>15</v>
      </c>
      <c r="B23" s="3" t="s">
        <v>730</v>
      </c>
      <c r="C23" s="51">
        <v>1.967361111111111E-2</v>
      </c>
      <c r="D23" s="29">
        <f>INDEX('Points Summary'!$H$4:$H$1143,G23)</f>
        <v>69.065089787713617</v>
      </c>
      <c r="E23" s="124">
        <f t="shared" si="0"/>
        <v>0.77861480010887862</v>
      </c>
      <c r="F23" s="3"/>
      <c r="G23" s="2">
        <f>MATCH(B23,'Points Summary'!$B$4:$B$1144,0)</f>
        <v>355</v>
      </c>
    </row>
    <row r="24" spans="1:7" x14ac:dyDescent="0.25">
      <c r="A24" s="2">
        <v>18</v>
      </c>
      <c r="B24" s="75" t="s">
        <v>729</v>
      </c>
      <c r="C24" s="51">
        <v>2.0652777777777777E-2</v>
      </c>
      <c r="D24" s="29">
        <f>INDEX('Points Summary'!$H$4:$H$1143,G24)</f>
        <v>68.642687944653403</v>
      </c>
      <c r="E24" s="124">
        <f t="shared" si="0"/>
        <v>0.74169997602839721</v>
      </c>
      <c r="F24" s="3"/>
      <c r="G24" s="2">
        <f>MATCH(B24,'Points Summary'!$B$4:$B$1144,0)</f>
        <v>252</v>
      </c>
    </row>
    <row r="25" spans="1:7" x14ac:dyDescent="0.25">
      <c r="A25" s="2">
        <v>17</v>
      </c>
      <c r="B25" s="3" t="s">
        <v>847</v>
      </c>
      <c r="C25" s="51">
        <v>2.0650462962962964E-2</v>
      </c>
      <c r="D25" s="29">
        <f>INDEX('Points Summary'!$H$4:$H$1143,G25)</f>
        <v>64.150558601474174</v>
      </c>
      <c r="E25" s="124">
        <f t="shared" si="0"/>
        <v>0.74178311692919618</v>
      </c>
      <c r="F25" s="3"/>
      <c r="G25" s="2">
        <f>MATCH(B25,'Points Summary'!$B$4:$B$1144,0)</f>
        <v>446</v>
      </c>
    </row>
    <row r="26" spans="1:7" x14ac:dyDescent="0.25">
      <c r="A26" s="2">
        <v>11</v>
      </c>
      <c r="B26" s="3" t="s">
        <v>1022</v>
      </c>
      <c r="C26" s="51">
        <v>1.761226851851852E-2</v>
      </c>
      <c r="D26" s="29">
        <f>INDEX('Points Summary'!$H$4:$H$1143,G26)</f>
        <v>0</v>
      </c>
      <c r="E26" s="124">
        <f t="shared" si="0"/>
        <v>0.86974399502206201</v>
      </c>
      <c r="F26" s="3"/>
      <c r="G26" s="2">
        <f>MATCH(B26,'Points Summary'!$B$4:$B$1144,0)</f>
        <v>222</v>
      </c>
    </row>
    <row r="27" spans="1:7" x14ac:dyDescent="0.25">
      <c r="A27" s="2"/>
      <c r="B27" s="3"/>
      <c r="C27" s="51"/>
      <c r="D27" s="29"/>
      <c r="E27" s="30"/>
      <c r="F27" s="3"/>
      <c r="G27" s="2"/>
    </row>
    <row r="28" spans="1:7" x14ac:dyDescent="0.25">
      <c r="A28" s="2"/>
      <c r="B28" s="3"/>
      <c r="C28" s="51"/>
      <c r="D28" s="29"/>
      <c r="E28" s="30"/>
      <c r="F28" s="3"/>
      <c r="G28" s="2"/>
    </row>
    <row r="29" spans="1:7" x14ac:dyDescent="0.25">
      <c r="A29" s="2"/>
      <c r="B29" s="3"/>
      <c r="C29" s="51"/>
      <c r="D29" s="29"/>
      <c r="E29" s="30"/>
      <c r="F29" s="3"/>
      <c r="G29" s="2"/>
    </row>
    <row r="30" spans="1:7" x14ac:dyDescent="0.25">
      <c r="A30" s="2"/>
      <c r="B30" s="3"/>
      <c r="C30" s="51"/>
      <c r="D30" s="29"/>
      <c r="E30" s="30"/>
      <c r="F30" s="3"/>
      <c r="G30" s="2"/>
    </row>
    <row r="31" spans="1:7" x14ac:dyDescent="0.25">
      <c r="A31" s="2"/>
      <c r="B31" s="3"/>
      <c r="C31" s="51"/>
      <c r="D31" s="29"/>
      <c r="E31" s="30"/>
      <c r="F31" s="3"/>
      <c r="G31" s="2"/>
    </row>
    <row r="32" spans="1:7" x14ac:dyDescent="0.25">
      <c r="A32" s="2"/>
      <c r="B32" s="3"/>
      <c r="C32" s="51"/>
      <c r="D32" s="29"/>
      <c r="E32" s="30"/>
      <c r="F32" s="3"/>
      <c r="G32" s="2"/>
    </row>
    <row r="33" spans="1:7" x14ac:dyDescent="0.25">
      <c r="A33" s="2"/>
      <c r="B33" s="3"/>
      <c r="C33" s="51"/>
      <c r="D33" s="29"/>
      <c r="E33" s="30"/>
      <c r="F33" s="3"/>
      <c r="G33" s="2"/>
    </row>
    <row r="34" spans="1:7" x14ac:dyDescent="0.25">
      <c r="B34" s="3"/>
      <c r="C34" s="51"/>
    </row>
    <row r="35" spans="1:7" x14ac:dyDescent="0.25">
      <c r="B35" s="3"/>
      <c r="C35" s="51"/>
    </row>
    <row r="36" spans="1:7" x14ac:dyDescent="0.25">
      <c r="B36" s="3"/>
      <c r="C36" s="51"/>
    </row>
    <row r="37" spans="1:7" x14ac:dyDescent="0.25">
      <c r="B37" s="3"/>
      <c r="C37" s="51"/>
    </row>
    <row r="38" spans="1:7" x14ac:dyDescent="0.25">
      <c r="B38" s="3"/>
      <c r="C38" s="51"/>
    </row>
  </sheetData>
  <sortState ref="A8:G26">
    <sortCondition descending="1" ref="D8:D26"/>
  </sortState>
  <phoneticPr fontId="0" type="noConversion"/>
  <printOptions horizontalCentered="1"/>
  <pageMargins left="0.75" right="0.75" top="1" bottom="1" header="0.5" footer="0.5"/>
  <pageSetup orientation="portrait" r:id="rId1"/>
  <headerFooter alignWithMargins="0">
    <oddHeader>&amp;L&amp;"Tahoma,Bold"U.S. Biathlon Association&amp;R&amp;"Tahoma,Bold"2018 Race Points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/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42818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833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115</v>
      </c>
      <c r="C5" s="22"/>
      <c r="D5" s="22"/>
      <c r="E5" s="22" t="s">
        <v>55</v>
      </c>
      <c r="F5" s="38">
        <f>AVERAGE(C8:C12)*(AVERAGE(D8:D12)/100)</f>
        <v>1.400835897113342E-2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2</v>
      </c>
      <c r="B8" s="3" t="s">
        <v>764</v>
      </c>
      <c r="C8" s="28">
        <v>1.7922453703703711E-2</v>
      </c>
      <c r="D8" s="29">
        <f>INDEX('Points Summary'!$F$4:$F$1143,G8)</f>
        <v>74.876431909943179</v>
      </c>
      <c r="E8" s="124">
        <f t="shared" ref="E8:E35" si="0">(AVERAGE($D$8:$D$12)/100*AVERAGE($C$8:$C$12))/C8</f>
        <v>0.78160943823437323</v>
      </c>
      <c r="F8" s="3"/>
      <c r="G8" s="2">
        <f>MATCH(B8,'Points Summary'!$B$4:$B$1144,0)</f>
        <v>228</v>
      </c>
    </row>
    <row r="9" spans="1:7" x14ac:dyDescent="0.25">
      <c r="A9" s="2">
        <v>2</v>
      </c>
      <c r="B9" t="s">
        <v>8</v>
      </c>
      <c r="C9" s="28">
        <v>1.9337731481481435E-2</v>
      </c>
      <c r="D9" s="29">
        <f>INDEX('Points Summary'!$F$4:$F$1143,G9)</f>
        <v>67.132561141984624</v>
      </c>
      <c r="E9" s="124">
        <f t="shared" si="0"/>
        <v>0.72440549629869311</v>
      </c>
      <c r="F9" s="3"/>
      <c r="G9" s="2">
        <f>MATCH(B9,'Points Summary'!$B$4:$B$1144,0)</f>
        <v>89</v>
      </c>
    </row>
    <row r="10" spans="1:7" x14ac:dyDescent="0.25">
      <c r="A10" s="2">
        <v>1</v>
      </c>
      <c r="B10" t="s">
        <v>9</v>
      </c>
      <c r="C10" s="28">
        <v>1.8156249999999985E-2</v>
      </c>
      <c r="D10" s="29">
        <f>INDEX('Points Summary'!$F$4:$F$1143,G10)</f>
        <v>81.414794603727941</v>
      </c>
      <c r="E10" s="124">
        <f t="shared" si="0"/>
        <v>0.77154472818635078</v>
      </c>
      <c r="F10" s="3"/>
      <c r="G10" s="2">
        <f>MATCH(B10,'Points Summary'!$B$4:$B$1144,0)</f>
        <v>124</v>
      </c>
    </row>
    <row r="11" spans="1:7" x14ac:dyDescent="0.25">
      <c r="A11" s="2">
        <v>1</v>
      </c>
      <c r="B11" s="3" t="s">
        <v>846</v>
      </c>
      <c r="C11" s="28">
        <v>1.7799074074074051E-2</v>
      </c>
      <c r="D11" s="29">
        <f>INDEX('Points Summary'!$F$4:$F$1143,G11)</f>
        <v>80.041551324306269</v>
      </c>
      <c r="E11" s="124">
        <f t="shared" si="0"/>
        <v>0.78702739888800466</v>
      </c>
      <c r="F11" s="3"/>
      <c r="G11" s="2">
        <f>MATCH(B11,'Points Summary'!$B$4:$B$1144,0)</f>
        <v>168</v>
      </c>
    </row>
    <row r="12" spans="1:7" x14ac:dyDescent="0.25">
      <c r="A12" s="2">
        <v>1</v>
      </c>
      <c r="B12" s="3" t="s">
        <v>107</v>
      </c>
      <c r="C12" s="28">
        <v>1.9125000000000003E-2</v>
      </c>
      <c r="D12" s="29">
        <f>INDEX('Points Summary'!$F$4:$F$1143,G12)</f>
        <v>75.792883752028487</v>
      </c>
      <c r="E12" s="124">
        <f t="shared" si="0"/>
        <v>0.73246321417691074</v>
      </c>
      <c r="F12" s="3"/>
      <c r="G12" s="2">
        <f>MATCH(B12,'Points Summary'!$B$4:$B$1144,0)</f>
        <v>125</v>
      </c>
    </row>
    <row r="13" spans="1:7" x14ac:dyDescent="0.25">
      <c r="A13" s="2">
        <v>3</v>
      </c>
      <c r="B13" s="3" t="s">
        <v>772</v>
      </c>
      <c r="C13" s="28">
        <v>1.8123263888888852E-2</v>
      </c>
      <c r="D13" s="29">
        <f>INDEX('Points Summary'!$F$4:$F$1143,G13)</f>
        <v>81.785334346671192</v>
      </c>
      <c r="E13" s="124">
        <f t="shared" si="0"/>
        <v>0.77294901497967872</v>
      </c>
      <c r="F13" s="3"/>
      <c r="G13" s="2">
        <f>MATCH(B13,'Points Summary'!$B$4:$B$1144,0)</f>
        <v>90</v>
      </c>
    </row>
    <row r="14" spans="1:7" x14ac:dyDescent="0.25">
      <c r="A14" s="2">
        <v>4</v>
      </c>
      <c r="B14" t="s">
        <v>398</v>
      </c>
      <c r="C14" s="28">
        <v>2.3720601851851819E-2</v>
      </c>
      <c r="D14" s="29">
        <f>INDEX('Points Summary'!$F$4:$F$1143,G14)</f>
        <v>62.171754655505893</v>
      </c>
      <c r="E14" s="124">
        <f t="shared" si="0"/>
        <v>0.59055664180122047</v>
      </c>
      <c r="F14" s="3"/>
      <c r="G14" s="2">
        <f>MATCH(B14,'Points Summary'!$B$4:$B$1144,0)</f>
        <v>119</v>
      </c>
    </row>
    <row r="15" spans="1:7" x14ac:dyDescent="0.25">
      <c r="A15" s="2">
        <v>2</v>
      </c>
      <c r="B15" t="s">
        <v>155</v>
      </c>
      <c r="C15" s="28">
        <v>1.9678356481481474E-2</v>
      </c>
      <c r="D15" s="29">
        <f>INDEX('Points Summary'!$F$4:$F$1143,G15)</f>
        <v>66.28283754655763</v>
      </c>
      <c r="E15" s="124">
        <f t="shared" si="0"/>
        <v>0.71186630775370574</v>
      </c>
      <c r="F15" s="3"/>
      <c r="G15" s="2">
        <f>MATCH(B15,'Points Summary'!$B$4:$B$1144,0)</f>
        <v>204</v>
      </c>
    </row>
    <row r="16" spans="1:7" x14ac:dyDescent="0.25">
      <c r="A16" s="2">
        <v>4</v>
      </c>
      <c r="B16" s="3" t="s">
        <v>808</v>
      </c>
      <c r="C16" s="28">
        <v>1.9451851851851776E-2</v>
      </c>
      <c r="D16" s="29">
        <f>INDEX('Points Summary'!$F$4:$F$1143,G16)</f>
        <v>80.557714578078887</v>
      </c>
      <c r="E16" s="124">
        <f t="shared" si="0"/>
        <v>0.72015554497449319</v>
      </c>
      <c r="F16" s="3"/>
      <c r="G16" s="2">
        <f>MATCH(B16,'Points Summary'!$B$4:$B$1144,0)</f>
        <v>441</v>
      </c>
    </row>
    <row r="17" spans="1:7" x14ac:dyDescent="0.25">
      <c r="A17" s="2">
        <v>2</v>
      </c>
      <c r="B17" s="3" t="s">
        <v>733</v>
      </c>
      <c r="C17" s="28">
        <v>1.975567129629624E-2</v>
      </c>
      <c r="D17" s="29">
        <f>INDEX('Points Summary'!$F$4:$F$1143,G17)</f>
        <v>66.595123596656933</v>
      </c>
      <c r="E17" s="124">
        <f t="shared" si="0"/>
        <v>0.70908038309787447</v>
      </c>
      <c r="F17" s="3"/>
      <c r="G17" s="2">
        <f>MATCH(B17,'Points Summary'!$B$4:$B$1144,0)</f>
        <v>33</v>
      </c>
    </row>
    <row r="18" spans="1:7" x14ac:dyDescent="0.25">
      <c r="A18" s="2">
        <v>1</v>
      </c>
      <c r="B18" t="s">
        <v>11</v>
      </c>
      <c r="C18" s="28">
        <v>1.9396296296296245E-2</v>
      </c>
      <c r="D18" s="29">
        <f>INDEX('Points Summary'!$F$4:$F$1143,G18)</f>
        <v>67.873704983306368</v>
      </c>
      <c r="E18" s="124">
        <f t="shared" si="0"/>
        <v>0.72221823987130673</v>
      </c>
      <c r="F18" s="3"/>
      <c r="G18" s="2">
        <f>MATCH(B18,'Points Summary'!$B$4:$B$1144,0)</f>
        <v>426</v>
      </c>
    </row>
    <row r="19" spans="1:7" x14ac:dyDescent="0.25">
      <c r="A19" s="2">
        <v>3</v>
      </c>
      <c r="B19" t="s">
        <v>818</v>
      </c>
      <c r="C19" s="51">
        <v>2.1174189814814781E-2</v>
      </c>
      <c r="D19" s="29">
        <f>INDEX('Points Summary'!$F$4:$F$1143,G19)</f>
        <v>62.817150612854775</v>
      </c>
      <c r="E19" s="124">
        <f t="shared" si="0"/>
        <v>0.66157709426654432</v>
      </c>
      <c r="F19" s="3"/>
      <c r="G19" s="2">
        <f>MATCH(B19,'Points Summary'!$B$4:$B$1144,0)</f>
        <v>31</v>
      </c>
    </row>
    <row r="20" spans="1:7" x14ac:dyDescent="0.25">
      <c r="A20" s="2">
        <v>9</v>
      </c>
      <c r="B20" t="s">
        <v>12</v>
      </c>
      <c r="C20" s="28">
        <v>2.4838425925925889E-2</v>
      </c>
      <c r="D20" s="29">
        <f>INDEX('Points Summary'!$F$4:$F$1143,G20)</f>
        <v>59.284937701582372</v>
      </c>
      <c r="E20" s="124">
        <f t="shared" si="0"/>
        <v>0.56397933640842168</v>
      </c>
      <c r="F20" s="3"/>
      <c r="G20" s="2">
        <f>MATCH(B20,'Points Summary'!$B$4:$B$1144,0)</f>
        <v>292</v>
      </c>
    </row>
    <row r="21" spans="1:7" x14ac:dyDescent="0.25">
      <c r="A21" s="2">
        <v>4</v>
      </c>
      <c r="B21" t="s">
        <v>361</v>
      </c>
      <c r="C21" s="51">
        <v>2.2577199074074072E-2</v>
      </c>
      <c r="D21" s="29">
        <f>INDEX('Points Summary'!$F$4:$F$1143,G21)</f>
        <v>58.583301661311417</v>
      </c>
      <c r="E21" s="124">
        <f t="shared" si="0"/>
        <v>0.62046487366183289</v>
      </c>
      <c r="F21" s="3"/>
      <c r="G21" s="2">
        <f>MATCH(B21,'Points Summary'!$B$4:$B$1144,0)</f>
        <v>82</v>
      </c>
    </row>
    <row r="22" spans="1:7" x14ac:dyDescent="0.25">
      <c r="A22" s="2">
        <v>6</v>
      </c>
      <c r="B22" t="s">
        <v>826</v>
      </c>
      <c r="C22" s="28">
        <v>2.3101388888888907E-2</v>
      </c>
      <c r="D22" s="29">
        <f>INDEX('Points Summary'!$F$4:$F$1143,G22)</f>
        <v>57.37225017169083</v>
      </c>
      <c r="E22" s="124">
        <f t="shared" si="0"/>
        <v>0.60638600728768444</v>
      </c>
      <c r="F22" s="3"/>
      <c r="G22" s="2">
        <f>MATCH(B22,'Points Summary'!$B$4:$B$1144,0)</f>
        <v>296</v>
      </c>
    </row>
    <row r="23" spans="1:7" x14ac:dyDescent="0.25">
      <c r="A23" s="2">
        <v>7</v>
      </c>
      <c r="B23" t="s">
        <v>362</v>
      </c>
      <c r="C23" s="28">
        <v>2.6999537037037058E-2</v>
      </c>
      <c r="D23" s="29">
        <f>INDEX('Points Summary'!$F$4:$F$1143,G23)</f>
        <v>51.583230225978319</v>
      </c>
      <c r="E23" s="124">
        <f t="shared" si="0"/>
        <v>0.51883700642411845</v>
      </c>
      <c r="F23" s="3"/>
      <c r="G23" s="2">
        <f>MATCH(B23,'Points Summary'!$B$4:$B$1144,0)</f>
        <v>452</v>
      </c>
    </row>
    <row r="24" spans="1:7" x14ac:dyDescent="0.25">
      <c r="A24" s="2">
        <v>5</v>
      </c>
      <c r="B24" t="s">
        <v>481</v>
      </c>
      <c r="C24" s="28">
        <v>2.2845486111111091E-2</v>
      </c>
      <c r="D24" s="29">
        <f>INDEX('Points Summary'!$F$4:$F$1143,G24)</f>
        <v>53.741619608532481</v>
      </c>
      <c r="E24" s="124">
        <f t="shared" si="0"/>
        <v>0.61317841533344919</v>
      </c>
      <c r="F24" s="3"/>
      <c r="G24" s="2">
        <f>MATCH(B24,'Points Summary'!$B$4:$B$1144,0)</f>
        <v>130</v>
      </c>
    </row>
    <row r="25" spans="1:7" x14ac:dyDescent="0.25">
      <c r="A25" s="2">
        <v>8</v>
      </c>
      <c r="B25" t="s">
        <v>726</v>
      </c>
      <c r="C25" s="28">
        <v>2.4332060185185134E-2</v>
      </c>
      <c r="D25" s="29">
        <f>INDEX('Points Summary'!$F$4:$F$1143,G25)</f>
        <v>60.110931808965049</v>
      </c>
      <c r="E25" s="124">
        <f t="shared" si="0"/>
        <v>0.57571610724777744</v>
      </c>
      <c r="F25" s="3"/>
      <c r="G25" s="2">
        <f>MATCH(B25,'Points Summary'!$B$4:$B$1144,0)</f>
        <v>51</v>
      </c>
    </row>
    <row r="26" spans="1:7" x14ac:dyDescent="0.25">
      <c r="A26" s="2">
        <v>4</v>
      </c>
      <c r="B26" t="s">
        <v>734</v>
      </c>
      <c r="C26" s="28">
        <v>3.1222800925925887E-2</v>
      </c>
      <c r="D26" s="29">
        <f>INDEX('Points Summary'!$F$4:$F$1143,G26)</f>
        <v>48.468714646250653</v>
      </c>
      <c r="E26" s="124">
        <f t="shared" si="0"/>
        <v>0.44865798569344767</v>
      </c>
      <c r="F26" s="3"/>
      <c r="G26" s="2">
        <f>MATCH(B26,'Points Summary'!$B$4:$B$1144,0)</f>
        <v>418</v>
      </c>
    </row>
    <row r="27" spans="1:7" x14ac:dyDescent="0.25">
      <c r="A27" s="2">
        <v>5</v>
      </c>
      <c r="B27" t="s">
        <v>140</v>
      </c>
      <c r="C27" s="28">
        <v>3.1915625000000003E-2</v>
      </c>
      <c r="D27" s="29">
        <f>INDEX('Points Summary'!$F$4:$F$1143,G27)</f>
        <v>43.796149464140271</v>
      </c>
      <c r="E27" s="124">
        <f t="shared" si="0"/>
        <v>0.4389185225460388</v>
      </c>
      <c r="F27" s="3"/>
      <c r="G27" s="2">
        <f>MATCH(B27,'Points Summary'!$B$4:$B$1144,0)</f>
        <v>393</v>
      </c>
    </row>
    <row r="28" spans="1:7" x14ac:dyDescent="0.25">
      <c r="A28" s="2">
        <v>3</v>
      </c>
      <c r="B28" t="s">
        <v>160</v>
      </c>
      <c r="C28" s="28">
        <v>3.0142592592592554E-2</v>
      </c>
      <c r="D28" s="29">
        <f>INDEX('Points Summary'!$F$4:$F$1143,G28)</f>
        <v>40.49298808723082</v>
      </c>
      <c r="E28" s="124">
        <f t="shared" si="0"/>
        <v>0.46473636692339232</v>
      </c>
      <c r="F28" s="3"/>
      <c r="G28" s="2">
        <f>MATCH(B28,'Points Summary'!$B$4:$B$1144,0)</f>
        <v>207</v>
      </c>
    </row>
    <row r="29" spans="1:7" x14ac:dyDescent="0.25">
      <c r="A29" s="2">
        <v>8</v>
      </c>
      <c r="B29" t="s">
        <v>773</v>
      </c>
      <c r="C29" s="28">
        <v>3.2865740740740723E-2</v>
      </c>
      <c r="D29" s="29">
        <f>INDEX('Points Summary'!$F$4:$F$1143,G29)</f>
        <v>52.599685351480908</v>
      </c>
      <c r="E29" s="124">
        <f t="shared" si="0"/>
        <v>0.42622982642130164</v>
      </c>
      <c r="F29" s="3"/>
      <c r="G29" s="2">
        <f>MATCH(B29,'Points Summary'!$B$4:$B$1144,0)</f>
        <v>123</v>
      </c>
    </row>
    <row r="30" spans="1:7" x14ac:dyDescent="0.25">
      <c r="A30" s="2">
        <v>10</v>
      </c>
      <c r="B30" t="s">
        <v>874</v>
      </c>
      <c r="C30" s="28">
        <v>2.7633217592592574E-2</v>
      </c>
      <c r="D30" s="29" t="e">
        <f>INDEX('Points Summary'!$F$4:$F$1143,G30)</f>
        <v>#N/A</v>
      </c>
      <c r="E30" s="124">
        <f t="shared" si="0"/>
        <v>0.50693911862397578</v>
      </c>
      <c r="F30" s="3"/>
      <c r="G30" s="2" t="e">
        <f>MATCH(B30,'Points Summary'!$B$4:$B$1144,0)</f>
        <v>#N/A</v>
      </c>
    </row>
    <row r="31" spans="1:7" x14ac:dyDescent="0.25">
      <c r="A31" s="2">
        <v>1</v>
      </c>
      <c r="B31" t="s">
        <v>491</v>
      </c>
      <c r="C31" s="28">
        <v>2.4069675925925904E-2</v>
      </c>
      <c r="D31" s="29">
        <f>INDEX('Points Summary'!$F$4:$F$1143,G31)</f>
        <v>60.524290845204135</v>
      </c>
      <c r="E31" s="124">
        <f t="shared" si="0"/>
        <v>0.58199200580198718</v>
      </c>
      <c r="F31" s="3"/>
      <c r="G31" s="2">
        <f>MATCH(B31,'Points Summary'!$B$4:$B$1144,0)</f>
        <v>54</v>
      </c>
    </row>
    <row r="32" spans="1:7" x14ac:dyDescent="0.25">
      <c r="A32" s="2">
        <v>5</v>
      </c>
      <c r="B32" s="3" t="s">
        <v>774</v>
      </c>
      <c r="C32" s="28">
        <v>2.1666782407407381E-2</v>
      </c>
      <c r="D32" s="29">
        <f>INDEX('Points Summary'!$F$4:$F$1143,G32)</f>
        <v>71.319535937863435</v>
      </c>
      <c r="E32" s="124">
        <f t="shared" si="0"/>
        <v>0.64653619110257365</v>
      </c>
      <c r="F32" s="3"/>
      <c r="G32" s="2">
        <f>MATCH(B32,'Points Summary'!$B$4:$B$1144,0)</f>
        <v>258</v>
      </c>
    </row>
    <row r="33" spans="1:7" x14ac:dyDescent="0.25">
      <c r="A33" s="2">
        <v>3</v>
      </c>
      <c r="B33" s="3" t="s">
        <v>888</v>
      </c>
      <c r="C33" s="28">
        <v>2.466782407407403E-2</v>
      </c>
      <c r="D33" s="29">
        <f>INDEX('Points Summary'!$F$4:$F$1143,G33)</f>
        <v>57.730080619711707</v>
      </c>
      <c r="E33" s="124">
        <f t="shared" si="0"/>
        <v>0.56787979876410155</v>
      </c>
      <c r="F33" s="3"/>
      <c r="G33" s="2">
        <f>MATCH(B33,'Points Summary'!$B$4:$B$1144,0)</f>
        <v>422</v>
      </c>
    </row>
    <row r="34" spans="1:7" x14ac:dyDescent="0.25">
      <c r="A34" s="2">
        <v>2</v>
      </c>
      <c r="B34" t="s">
        <v>787</v>
      </c>
      <c r="C34" s="28">
        <v>2.9486574074074078E-2</v>
      </c>
      <c r="D34" s="29" t="e">
        <f>INDEX('Points Summary'!$F$4:$F$1143,G34)</f>
        <v>#N/A</v>
      </c>
      <c r="E34" s="124">
        <f t="shared" si="0"/>
        <v>0.47507584081971055</v>
      </c>
      <c r="F34" s="3"/>
      <c r="G34" s="2" t="e">
        <f>MATCH(B34,'Points Summary'!$B$4:$B$1144,0)</f>
        <v>#N/A</v>
      </c>
    </row>
    <row r="35" spans="1:7" x14ac:dyDescent="0.25">
      <c r="A35" s="2">
        <v>6</v>
      </c>
      <c r="B35" t="s">
        <v>939</v>
      </c>
      <c r="C35" s="28">
        <v>2.5110300925925921E-2</v>
      </c>
      <c r="D35" s="29">
        <f>INDEX('Points Summary'!$F$4:$F$1143,G35)</f>
        <v>50.943424350252634</v>
      </c>
      <c r="E35" s="124">
        <f t="shared" si="0"/>
        <v>0.55787300249635996</v>
      </c>
      <c r="F35" s="3"/>
      <c r="G35" s="2">
        <f>MATCH(B35,'Points Summary'!$B$4:$B$1144,0)</f>
        <v>147</v>
      </c>
    </row>
    <row r="36" spans="1:7" x14ac:dyDescent="0.25">
      <c r="A36" s="2"/>
      <c r="B36" s="114"/>
      <c r="C36" s="28"/>
      <c r="D36" s="29"/>
      <c r="E36" s="30"/>
      <c r="F36" s="3"/>
      <c r="G36" s="2"/>
    </row>
    <row r="37" spans="1:7" x14ac:dyDescent="0.25">
      <c r="A37" s="2"/>
      <c r="B37" s="114"/>
      <c r="C37" s="28"/>
      <c r="D37" s="29"/>
      <c r="E37" s="30"/>
      <c r="F37" s="3"/>
      <c r="G37" s="2"/>
    </row>
    <row r="38" spans="1:7" x14ac:dyDescent="0.25">
      <c r="A38" s="2"/>
      <c r="B38" s="115"/>
      <c r="C38" s="28"/>
      <c r="D38" s="29"/>
      <c r="E38" s="30"/>
      <c r="F38" s="3"/>
      <c r="G38" s="2"/>
    </row>
    <row r="39" spans="1:7" x14ac:dyDescent="0.25">
      <c r="A39" s="2"/>
      <c r="B39" s="114"/>
      <c r="C39" s="28"/>
      <c r="D39" s="29"/>
      <c r="E39" s="30"/>
      <c r="F39" s="3"/>
      <c r="G39" s="2"/>
    </row>
    <row r="40" spans="1:7" x14ac:dyDescent="0.25">
      <c r="A40" s="2"/>
      <c r="B40" s="114"/>
      <c r="C40" s="28"/>
      <c r="D40" s="29"/>
      <c r="E40" s="30"/>
      <c r="F40" s="3"/>
      <c r="G40" s="2"/>
    </row>
    <row r="41" spans="1:7" x14ac:dyDescent="0.25">
      <c r="A41" s="2"/>
      <c r="B41" s="115"/>
      <c r="C41" s="28"/>
      <c r="D41" s="29"/>
      <c r="E41" s="30"/>
      <c r="F41" s="3"/>
      <c r="G41" s="2"/>
    </row>
    <row r="42" spans="1:7" x14ac:dyDescent="0.25">
      <c r="A42" s="2"/>
      <c r="B42" s="115"/>
      <c r="C42" s="28"/>
      <c r="D42" s="29"/>
      <c r="E42" s="30"/>
      <c r="F42" s="3"/>
      <c r="G42" s="2"/>
    </row>
    <row r="43" spans="1:7" x14ac:dyDescent="0.25">
      <c r="A43" s="2"/>
      <c r="B43" s="115"/>
      <c r="C43" s="28"/>
      <c r="D43" s="29"/>
      <c r="E43" s="30"/>
      <c r="F43" s="3"/>
      <c r="G43" s="2"/>
    </row>
    <row r="44" spans="1:7" x14ac:dyDescent="0.25">
      <c r="A44" s="2"/>
      <c r="B44" s="115"/>
      <c r="C44" s="28"/>
      <c r="D44" s="29"/>
      <c r="E44" s="30"/>
      <c r="F44" s="3"/>
      <c r="G44" s="2"/>
    </row>
    <row r="45" spans="1:7" x14ac:dyDescent="0.25">
      <c r="A45" s="2"/>
      <c r="B45" s="114"/>
      <c r="C45" s="28"/>
      <c r="D45" s="29"/>
      <c r="E45" s="30"/>
      <c r="F45" s="3"/>
      <c r="G45" s="2"/>
    </row>
    <row r="46" spans="1:7" x14ac:dyDescent="0.25">
      <c r="A46" s="2"/>
      <c r="B46" s="114"/>
      <c r="C46" s="28"/>
      <c r="D46" s="29"/>
      <c r="E46" s="30"/>
      <c r="F46" s="3"/>
      <c r="G46" s="2"/>
    </row>
    <row r="47" spans="1:7" x14ac:dyDescent="0.25">
      <c r="A47" s="2"/>
      <c r="B47" s="114"/>
      <c r="C47" s="28"/>
      <c r="D47" s="29"/>
      <c r="E47" s="30"/>
      <c r="F47" s="3"/>
      <c r="G47" s="2"/>
    </row>
    <row r="48" spans="1:7" x14ac:dyDescent="0.25">
      <c r="A48" s="2"/>
      <c r="B48" s="114"/>
      <c r="C48" s="28"/>
      <c r="D48" s="29"/>
      <c r="E48" s="30"/>
      <c r="F48" s="3"/>
      <c r="G48" s="2"/>
    </row>
    <row r="49" spans="1:7" x14ac:dyDescent="0.25">
      <c r="A49" s="2"/>
      <c r="B49" s="115"/>
      <c r="C49" s="28"/>
      <c r="D49" s="29"/>
      <c r="E49" s="30"/>
      <c r="F49" s="3"/>
      <c r="G49" s="2"/>
    </row>
    <row r="50" spans="1:7" x14ac:dyDescent="0.25">
      <c r="C50" s="28"/>
      <c r="D50" s="29"/>
      <c r="E50" s="30"/>
      <c r="F50" s="3"/>
    </row>
    <row r="51" spans="1:7" x14ac:dyDescent="0.25">
      <c r="C51" s="28"/>
      <c r="D51" s="29"/>
      <c r="E51" s="30"/>
      <c r="F51" s="3"/>
    </row>
    <row r="52" spans="1:7" x14ac:dyDescent="0.25">
      <c r="C52" s="28"/>
      <c r="D52" s="29"/>
      <c r="E52" s="30"/>
      <c r="F52" s="3"/>
    </row>
    <row r="53" spans="1:7" x14ac:dyDescent="0.25">
      <c r="C53" s="28"/>
      <c r="D53" s="29"/>
      <c r="E53" s="30"/>
      <c r="F53" s="3"/>
    </row>
    <row r="54" spans="1:7" x14ac:dyDescent="0.25">
      <c r="C54" s="28"/>
      <c r="D54" s="29"/>
      <c r="E54" s="30"/>
      <c r="F54" s="3"/>
    </row>
    <row r="55" spans="1:7" x14ac:dyDescent="0.25">
      <c r="C55" s="28"/>
      <c r="D55" s="29"/>
      <c r="E55" s="30"/>
      <c r="F55" s="3"/>
    </row>
    <row r="56" spans="1:7" x14ac:dyDescent="0.25">
      <c r="C56" s="28"/>
      <c r="D56" s="29"/>
      <c r="E56" s="30"/>
      <c r="F56" s="3"/>
    </row>
  </sheetData>
  <sortState ref="A8:G35">
    <sortCondition descending="1" ref="D8:D35"/>
  </sortState>
  <printOptions horizontalCentered="1"/>
  <pageMargins left="0.7" right="0.7" top="0.75" bottom="0.75" header="0.3" footer="0.3"/>
  <pageSetup orientation="portrait" r:id="rId1"/>
  <headerFooter>
    <oddHeader>&amp;L&amp;"Tahoma,Bold"&amp;11U.S. Biathlon Association&amp;R&amp;"Tahoma,Bold"&amp;11 2017 Race Points</oddHeader>
    <oddFooter>&amp;R&amp;"Tahoma,Regular"Page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9" x14ac:dyDescent="0.25">
      <c r="A1" s="16" t="s">
        <v>22</v>
      </c>
      <c r="B1" s="17"/>
      <c r="C1" s="18"/>
      <c r="D1" s="18"/>
      <c r="E1" s="18"/>
      <c r="F1" s="18"/>
      <c r="G1" s="19"/>
    </row>
    <row r="2" spans="1:9" x14ac:dyDescent="0.25">
      <c r="A2" s="20" t="s">
        <v>23</v>
      </c>
      <c r="B2" s="21">
        <v>42819</v>
      </c>
      <c r="C2" s="22"/>
      <c r="D2" s="22"/>
      <c r="E2" s="22"/>
      <c r="F2" s="22"/>
      <c r="G2" s="23"/>
    </row>
    <row r="3" spans="1:9" x14ac:dyDescent="0.25">
      <c r="A3" s="20" t="s">
        <v>24</v>
      </c>
      <c r="B3" s="24" t="s">
        <v>899</v>
      </c>
      <c r="C3" s="22"/>
      <c r="D3" s="22"/>
      <c r="E3" s="22"/>
      <c r="F3" s="22"/>
      <c r="G3" s="23"/>
    </row>
    <row r="4" spans="1:9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9" x14ac:dyDescent="0.25">
      <c r="A5" s="20" t="s">
        <v>27</v>
      </c>
      <c r="B5" s="24" t="s">
        <v>115</v>
      </c>
      <c r="C5" s="22"/>
      <c r="D5" s="22"/>
      <c r="E5" s="22" t="s">
        <v>55</v>
      </c>
      <c r="F5" s="38">
        <f>AVERAGE(C8:C12)*(AVERAGE(D8:D12)/100)</f>
        <v>2.2709690073604745E-2</v>
      </c>
      <c r="G5" s="23"/>
    </row>
    <row r="6" spans="1:9" x14ac:dyDescent="0.25">
      <c r="A6" s="25" t="s">
        <v>29</v>
      </c>
      <c r="B6" s="26"/>
      <c r="C6" s="26"/>
      <c r="D6" s="26"/>
      <c r="E6" s="26"/>
      <c r="F6" s="26"/>
      <c r="G6" s="27"/>
    </row>
    <row r="7" spans="1:9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9" x14ac:dyDescent="0.25">
      <c r="A8" s="2">
        <v>1</v>
      </c>
      <c r="B8" s="3" t="s">
        <v>84</v>
      </c>
      <c r="C8" s="51">
        <v>2.165763888888883E-2</v>
      </c>
      <c r="D8" s="29">
        <f>INDEX('Points Summary'!$F$4:$F$1143,G8)</f>
        <v>99.460903353359868</v>
      </c>
      <c r="E8" s="124">
        <f t="shared" ref="E8:E28" si="0">(AVERAGE($D$8:$D$12)/100*AVERAGE($C$8:$C$12))/C8</f>
        <v>1.0485764487123135</v>
      </c>
      <c r="F8" s="3"/>
      <c r="G8" s="2">
        <f>MATCH(B8,'Points Summary'!$B$4:$B$1144,0)</f>
        <v>13</v>
      </c>
      <c r="I8" s="197"/>
    </row>
    <row r="9" spans="1:9" x14ac:dyDescent="0.25">
      <c r="A9" s="2">
        <v>3</v>
      </c>
      <c r="B9" s="3" t="s">
        <v>50</v>
      </c>
      <c r="C9" s="51">
        <v>2.3608217592592573E-2</v>
      </c>
      <c r="D9" s="29">
        <f>INDEX('Points Summary'!$F$4:$F$1143,G9)</f>
        <v>95.089327975174797</v>
      </c>
      <c r="E9" s="124">
        <f t="shared" si="0"/>
        <v>0.96194005263363236</v>
      </c>
      <c r="F9" s="3"/>
      <c r="G9" s="2">
        <f>MATCH(B9,'Points Summary'!$B$4:$B$1144,0)</f>
        <v>104</v>
      </c>
      <c r="I9" s="197"/>
    </row>
    <row r="10" spans="1:9" x14ac:dyDescent="0.25">
      <c r="A10" s="2">
        <v>4</v>
      </c>
      <c r="B10" s="3" t="s">
        <v>762</v>
      </c>
      <c r="C10" s="51">
        <v>2.3424652777777777E-2</v>
      </c>
      <c r="D10" s="29">
        <f>INDEX('Points Summary'!$F$4:$F$1143,G10)</f>
        <v>93.60112568228071</v>
      </c>
      <c r="E10" s="124">
        <f t="shared" si="0"/>
        <v>0.96947819415059611</v>
      </c>
      <c r="F10" s="3"/>
      <c r="G10" s="2">
        <f>MATCH(B10,'Points Summary'!$B$4:$B$1144,0)</f>
        <v>366</v>
      </c>
      <c r="I10" s="197"/>
    </row>
    <row r="11" spans="1:9" x14ac:dyDescent="0.25">
      <c r="A11" s="2">
        <v>7</v>
      </c>
      <c r="B11" s="3" t="s">
        <v>460</v>
      </c>
      <c r="C11" s="51">
        <v>2.4601851851851819E-2</v>
      </c>
      <c r="D11" s="29">
        <f>INDEX('Points Summary'!$F$4:$F$1143,G11)</f>
        <v>92.885416008196273</v>
      </c>
      <c r="E11" s="124">
        <f t="shared" si="0"/>
        <v>0.92308864431664117</v>
      </c>
      <c r="F11" s="3"/>
      <c r="G11" s="2">
        <f>MATCH(B11,'Points Summary'!$B$4:$B$1144,0)</f>
        <v>139</v>
      </c>
      <c r="I11" s="197"/>
    </row>
    <row r="12" spans="1:9" x14ac:dyDescent="0.25">
      <c r="A12" s="42">
        <v>12</v>
      </c>
      <c r="B12" s="3" t="s">
        <v>795</v>
      </c>
      <c r="C12" s="51">
        <v>2.6557523148148188E-2</v>
      </c>
      <c r="D12" s="29">
        <f>INDEX('Points Summary'!$F$4:$F$1143,G12)</f>
        <v>92.674366002181756</v>
      </c>
      <c r="E12" s="124">
        <f t="shared" si="0"/>
        <v>0.85511325536350913</v>
      </c>
      <c r="F12" s="3"/>
      <c r="G12" s="2">
        <f>MATCH(B12,'Points Summary'!$B$4:$B$1144,0)</f>
        <v>201</v>
      </c>
      <c r="I12" s="197"/>
    </row>
    <row r="13" spans="1:9" x14ac:dyDescent="0.25">
      <c r="A13" s="42">
        <v>9</v>
      </c>
      <c r="B13" s="3" t="s">
        <v>759</v>
      </c>
      <c r="C13" s="51">
        <v>2.490601851851848E-2</v>
      </c>
      <c r="D13" s="29">
        <f>INDEX('Points Summary'!$F$4:$F$1143,G13)</f>
        <v>90.488521205766915</v>
      </c>
      <c r="E13" s="124">
        <f t="shared" si="0"/>
        <v>0.91181535325364471</v>
      </c>
      <c r="F13" s="3"/>
      <c r="G13" s="2">
        <f>MATCH(B13,'Points Summary'!$B$4:$B$1144,0)</f>
        <v>131</v>
      </c>
      <c r="I13" s="197"/>
    </row>
    <row r="14" spans="1:9" x14ac:dyDescent="0.25">
      <c r="A14" s="2">
        <v>2</v>
      </c>
      <c r="B14" s="3" t="s">
        <v>70</v>
      </c>
      <c r="C14" s="51">
        <v>2.298055555555556E-2</v>
      </c>
      <c r="D14" s="29">
        <f>INDEX('Points Summary'!$F$4:$F$1143,G14)</f>
        <v>95.945007171519649</v>
      </c>
      <c r="E14" s="124">
        <f t="shared" si="0"/>
        <v>0.98821327529284497</v>
      </c>
      <c r="F14" s="3"/>
      <c r="G14" s="2">
        <f>MATCH(B14,'Points Summary'!$B$4:$B$1144,0)</f>
        <v>309</v>
      </c>
      <c r="I14" s="197"/>
    </row>
    <row r="15" spans="1:9" x14ac:dyDescent="0.25">
      <c r="A15" s="42">
        <v>11</v>
      </c>
      <c r="B15" s="3" t="s">
        <v>173</v>
      </c>
      <c r="C15" s="51">
        <v>2.6517476851851796E-2</v>
      </c>
      <c r="D15" s="29">
        <f>INDEX('Points Summary'!$F$4:$F$1143,G15)</f>
        <v>87.864563738067233</v>
      </c>
      <c r="E15" s="124">
        <f t="shared" si="0"/>
        <v>0.85640463459172811</v>
      </c>
      <c r="F15" s="3"/>
      <c r="G15" s="2">
        <f>MATCH(B15,'Points Summary'!$B$4:$B$1144,0)</f>
        <v>47</v>
      </c>
      <c r="I15" s="197"/>
    </row>
    <row r="16" spans="1:9" x14ac:dyDescent="0.25">
      <c r="A16" s="2">
        <v>8</v>
      </c>
      <c r="B16" s="3" t="s">
        <v>103</v>
      </c>
      <c r="C16" s="51">
        <v>2.4516319444444434E-2</v>
      </c>
      <c r="D16" s="29">
        <f>INDEX('Points Summary'!$F$4:$F$1143,G16)</f>
        <v>87.153898367817163</v>
      </c>
      <c r="E16" s="124">
        <f t="shared" si="0"/>
        <v>0.9263091111643561</v>
      </c>
      <c r="F16" s="3"/>
      <c r="G16" s="2">
        <f>MATCH(B16,'Points Summary'!$B$4:$B$1144,0)</f>
        <v>163</v>
      </c>
      <c r="I16" s="196"/>
    </row>
    <row r="17" spans="1:7" x14ac:dyDescent="0.25">
      <c r="A17" s="42">
        <v>14</v>
      </c>
      <c r="B17" s="3" t="s">
        <v>102</v>
      </c>
      <c r="C17" s="51">
        <v>2.7364467592592534E-2</v>
      </c>
      <c r="D17" s="29">
        <f>INDEX('Points Summary'!$F$4:$F$1143,G17)</f>
        <v>86.807963708513867</v>
      </c>
      <c r="E17" s="124">
        <f t="shared" si="0"/>
        <v>0.82989701870728805</v>
      </c>
      <c r="F17" s="3"/>
      <c r="G17" s="2">
        <f>MATCH(B17,'Points Summary'!$B$4:$B$1144,0)</f>
        <v>128</v>
      </c>
    </row>
    <row r="18" spans="1:7" x14ac:dyDescent="0.25">
      <c r="A18" s="2">
        <v>6</v>
      </c>
      <c r="B18" s="3" t="s">
        <v>838</v>
      </c>
      <c r="C18" s="51">
        <v>2.4362384259259184E-2</v>
      </c>
      <c r="D18" s="29">
        <f>INDEX('Points Summary'!$F$4:$F$1143,G18)</f>
        <v>90.493939450526881</v>
      </c>
      <c r="E18" s="124">
        <f t="shared" si="0"/>
        <v>0.93216205080476411</v>
      </c>
      <c r="F18" s="3"/>
      <c r="G18" s="2">
        <f>MATCH(B18,'Points Summary'!$B$4:$B$1144,0)</f>
        <v>57</v>
      </c>
    </row>
    <row r="19" spans="1:7" x14ac:dyDescent="0.25">
      <c r="A19" s="42">
        <v>10</v>
      </c>
      <c r="B19" s="3" t="s">
        <v>104</v>
      </c>
      <c r="C19" s="51">
        <v>2.550254629629628E-2</v>
      </c>
      <c r="D19" s="29">
        <f>INDEX('Points Summary'!$F$4:$F$1143,G19)</f>
        <v>89.981553251588309</v>
      </c>
      <c r="E19" s="124">
        <f t="shared" si="0"/>
        <v>0.89048716193891819</v>
      </c>
      <c r="F19" s="3"/>
      <c r="G19" s="2">
        <f>MATCH(B19,'Points Summary'!$B$4:$B$1144,0)</f>
        <v>166</v>
      </c>
    </row>
    <row r="20" spans="1:7" x14ac:dyDescent="0.25">
      <c r="A20" s="2">
        <v>5</v>
      </c>
      <c r="B20" s="3" t="s">
        <v>765</v>
      </c>
      <c r="C20" s="51">
        <v>2.4330439814814808E-2</v>
      </c>
      <c r="D20" s="29">
        <f>INDEX('Points Summary'!$F$4:$F$1143,G20)</f>
        <v>89.06928922635062</v>
      </c>
      <c r="E20" s="124">
        <f t="shared" si="0"/>
        <v>0.93338592505741769</v>
      </c>
      <c r="F20" s="3"/>
      <c r="G20" s="2">
        <f>MATCH(B20,'Points Summary'!$B$4:$B$1144,0)</f>
        <v>97</v>
      </c>
    </row>
    <row r="21" spans="1:7" x14ac:dyDescent="0.25">
      <c r="A21" s="42">
        <v>1</v>
      </c>
      <c r="B21" s="3" t="s">
        <v>714</v>
      </c>
      <c r="C21" s="28">
        <v>2.4672800925925942E-2</v>
      </c>
      <c r="D21" s="29">
        <f>INDEX('Points Summary'!$F$4:$F$1143,G21)</f>
        <v>83.939036057542722</v>
      </c>
      <c r="E21" s="124">
        <f t="shared" si="0"/>
        <v>0.92043421181831131</v>
      </c>
      <c r="F21" s="3"/>
      <c r="G21" s="2">
        <f>MATCH(B21,'Points Summary'!$B$4:$B$1144,0)</f>
        <v>220</v>
      </c>
    </row>
    <row r="22" spans="1:7" x14ac:dyDescent="0.25">
      <c r="A22" s="42">
        <v>3</v>
      </c>
      <c r="B22" s="3" t="s">
        <v>713</v>
      </c>
      <c r="C22" s="28">
        <v>2.9645254629629691E-2</v>
      </c>
      <c r="D22" s="29">
        <f>INDEX('Points Summary'!$F$4:$F$1143,G22)</f>
        <v>81.547058940732953</v>
      </c>
      <c r="E22" s="124">
        <f t="shared" si="0"/>
        <v>0.76604806932260172</v>
      </c>
      <c r="F22" s="3"/>
      <c r="G22" s="2">
        <f>MATCH(B22,'Points Summary'!$B$4:$B$1144,0)</f>
        <v>77</v>
      </c>
    </row>
    <row r="23" spans="1:7" x14ac:dyDescent="0.25">
      <c r="A23" s="42">
        <v>16</v>
      </c>
      <c r="B23" s="3" t="s">
        <v>394</v>
      </c>
      <c r="C23" s="51">
        <v>2.8020833333333273E-2</v>
      </c>
      <c r="D23" s="29">
        <f>INDEX('Points Summary'!$F$4:$F$1143,G23)</f>
        <v>76.465649687424957</v>
      </c>
      <c r="E23" s="124">
        <f t="shared" si="0"/>
        <v>0.81045734091675103</v>
      </c>
      <c r="F23" s="3"/>
      <c r="G23" s="2">
        <f>MATCH(B23,'Points Summary'!$B$4:$B$1144,0)</f>
        <v>106</v>
      </c>
    </row>
    <row r="24" spans="1:7" x14ac:dyDescent="0.25">
      <c r="A24" s="42">
        <v>15</v>
      </c>
      <c r="B24" s="3" t="s">
        <v>718</v>
      </c>
      <c r="C24" s="51">
        <v>2.7851851851851794E-2</v>
      </c>
      <c r="D24" s="29">
        <f>INDEX('Points Summary'!$F$4:$F$1143,G24)</f>
        <v>81.013290109009503</v>
      </c>
      <c r="E24" s="124">
        <f t="shared" si="0"/>
        <v>0.81537451062144861</v>
      </c>
      <c r="F24" s="3"/>
      <c r="G24" s="2">
        <f>MATCH(B24,'Points Summary'!$B$4:$B$1144,0)</f>
        <v>305</v>
      </c>
    </row>
    <row r="25" spans="1:7" x14ac:dyDescent="0.25">
      <c r="A25" s="42">
        <v>13</v>
      </c>
      <c r="B25" s="3" t="s">
        <v>292</v>
      </c>
      <c r="C25" s="51">
        <v>2.6808564814814861E-2</v>
      </c>
      <c r="D25" s="29">
        <f>INDEX('Points Summary'!$F$4:$F$1143,G25)</f>
        <v>87.317796744326898</v>
      </c>
      <c r="E25" s="124">
        <f t="shared" si="0"/>
        <v>0.84710577498184425</v>
      </c>
      <c r="F25" s="3"/>
      <c r="G25" s="2">
        <f>MATCH(B25,'Points Summary'!$B$4:$B$1144,0)</f>
        <v>182</v>
      </c>
    </row>
    <row r="26" spans="1:7" x14ac:dyDescent="0.25">
      <c r="A26" s="42">
        <v>18</v>
      </c>
      <c r="B26" s="3" t="s">
        <v>729</v>
      </c>
      <c r="C26" s="51">
        <v>3.2033333333333303E-2</v>
      </c>
      <c r="D26" s="29">
        <f>INDEX('Points Summary'!$F$4:$F$1143,G26)</f>
        <v>74.818918747524734</v>
      </c>
      <c r="E26" s="124">
        <f t="shared" si="0"/>
        <v>0.70893933632481065</v>
      </c>
      <c r="F26" s="3"/>
      <c r="G26" s="2">
        <f>MATCH(B26,'Points Summary'!$B$4:$B$1144,0)</f>
        <v>252</v>
      </c>
    </row>
    <row r="27" spans="1:7" x14ac:dyDescent="0.25">
      <c r="A27" s="42">
        <v>17</v>
      </c>
      <c r="B27" s="3" t="s">
        <v>936</v>
      </c>
      <c r="C27" s="51">
        <v>2.8986805555555606E-2</v>
      </c>
      <c r="D27" s="29">
        <f>INDEX('Points Summary'!$F$4:$F$1143,G27)</f>
        <v>79.76105334129258</v>
      </c>
      <c r="E27" s="124">
        <f t="shared" si="0"/>
        <v>0.78344921554324942</v>
      </c>
      <c r="F27" s="3"/>
      <c r="G27" s="2">
        <f>MATCH(B27,'Points Summary'!$B$4:$B$1144,0)</f>
        <v>330</v>
      </c>
    </row>
    <row r="28" spans="1:7" x14ac:dyDescent="0.25">
      <c r="A28" s="42">
        <v>2</v>
      </c>
      <c r="B28" s="3" t="s">
        <v>712</v>
      </c>
      <c r="C28" s="28">
        <v>2.8537615740740707E-2</v>
      </c>
      <c r="D28" s="29">
        <f>INDEX('Points Summary'!$F$4:$F$1143,G28)</f>
        <v>74.905957502259213</v>
      </c>
      <c r="E28" s="124">
        <f t="shared" si="0"/>
        <v>0.79578091876764845</v>
      </c>
      <c r="F28" s="3"/>
      <c r="G28" s="2">
        <f>MATCH(B28,'Points Summary'!$B$4:$B$1144,0)</f>
        <v>459</v>
      </c>
    </row>
    <row r="29" spans="1:7" x14ac:dyDescent="0.25">
      <c r="A29" s="42"/>
      <c r="B29" s="3"/>
      <c r="C29" s="28"/>
      <c r="D29" s="29"/>
      <c r="E29" s="124"/>
      <c r="F29" s="3"/>
      <c r="G29" s="2"/>
    </row>
    <row r="30" spans="1:7" x14ac:dyDescent="0.25">
      <c r="A30" s="42"/>
      <c r="B30" s="3"/>
      <c r="C30" s="28"/>
      <c r="D30" s="29"/>
      <c r="E30" s="30"/>
      <c r="F30" s="3"/>
      <c r="G30" s="2"/>
    </row>
    <row r="31" spans="1:7" x14ac:dyDescent="0.25">
      <c r="A31" s="42"/>
      <c r="B31" s="3"/>
      <c r="C31" s="28"/>
      <c r="D31" s="29"/>
      <c r="E31" s="30"/>
      <c r="F31" s="3"/>
      <c r="G31" s="2"/>
    </row>
    <row r="32" spans="1:7" x14ac:dyDescent="0.25">
      <c r="A32" s="42"/>
      <c r="B32" s="3"/>
      <c r="C32" s="28"/>
      <c r="D32" s="29"/>
      <c r="E32" s="30"/>
      <c r="F32" s="3"/>
      <c r="G32" s="2"/>
    </row>
    <row r="33" spans="1:7" x14ac:dyDescent="0.25">
      <c r="A33" s="42"/>
      <c r="B33" s="3"/>
      <c r="C33" s="28"/>
      <c r="D33" s="29"/>
      <c r="E33" s="30"/>
      <c r="F33" s="3"/>
      <c r="G33" s="2"/>
    </row>
    <row r="34" spans="1:7" x14ac:dyDescent="0.25">
      <c r="A34" s="42"/>
      <c r="B34" s="3"/>
      <c r="C34" s="28"/>
      <c r="D34" s="29"/>
      <c r="E34" s="30"/>
      <c r="F34" s="3"/>
      <c r="G34" s="2"/>
    </row>
    <row r="35" spans="1:7" x14ac:dyDescent="0.25">
      <c r="A35" s="42"/>
      <c r="B35" s="3"/>
      <c r="C35" s="28"/>
      <c r="D35" s="29"/>
      <c r="E35" s="30"/>
      <c r="F35" s="3"/>
      <c r="G35" s="2"/>
    </row>
    <row r="36" spans="1:7" x14ac:dyDescent="0.25">
      <c r="A36" s="42"/>
      <c r="B36" s="3"/>
      <c r="C36" s="28"/>
      <c r="D36" s="29"/>
      <c r="E36" s="30"/>
      <c r="F36" s="3"/>
      <c r="G36" s="2"/>
    </row>
    <row r="37" spans="1:7" x14ac:dyDescent="0.25">
      <c r="A37" s="42"/>
      <c r="B37" s="3"/>
      <c r="C37" s="28"/>
      <c r="D37" s="29"/>
      <c r="E37" s="30"/>
      <c r="F37" s="3"/>
      <c r="G37" s="2"/>
    </row>
    <row r="38" spans="1:7" x14ac:dyDescent="0.25">
      <c r="A38" s="42"/>
      <c r="B38" s="3"/>
      <c r="C38" s="28"/>
      <c r="D38" s="29"/>
      <c r="E38" s="30"/>
      <c r="F38" s="3"/>
      <c r="G38" s="2"/>
    </row>
  </sheetData>
  <sortState ref="A8:G28">
    <sortCondition descending="1" ref="D8:D28"/>
  </sortState>
  <printOptions horizontalCentered="1"/>
  <pageMargins left="0.7" right="0.7" top="0.75" bottom="0.75" header="0.3" footer="0.3"/>
  <pageSetup orientation="portrait" r:id="rId1"/>
  <headerFooter>
    <oddHeader>&amp;L&amp;"Tahoma,Bold"&amp;11U.S. Biathlon Association&amp;R&amp;"Tahoma,Bold"&amp;11 2017 Race Points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/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42819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899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940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115</v>
      </c>
      <c r="C5" s="22"/>
      <c r="D5" s="22"/>
      <c r="E5" s="22" t="s">
        <v>55</v>
      </c>
      <c r="F5" s="38">
        <f>AVERAGE(C8:C12)*(AVERAGE(D8:D12)/100)</f>
        <v>1.8805363980406123E-2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42">
        <v>3</v>
      </c>
      <c r="B8" s="3" t="s">
        <v>8</v>
      </c>
      <c r="C8" s="28">
        <v>2.6442013888888893E-2</v>
      </c>
      <c r="D8" s="29">
        <f>INDEX('Points Summary'!$F$4:$F$1143,G8)</f>
        <v>67.132561141984624</v>
      </c>
      <c r="E8" s="124">
        <f t="shared" ref="E8:E35" si="0">(AVERAGE($D$8:$D$12)/100*AVERAGE($C$8:$C$12))/C8</f>
        <v>0.71119257630782273</v>
      </c>
      <c r="F8" s="3"/>
      <c r="G8" s="2">
        <f>MATCH(B8,'Points Summary'!$B$4:$B$1144,0)</f>
        <v>89</v>
      </c>
    </row>
    <row r="9" spans="1:7" x14ac:dyDescent="0.25">
      <c r="A9" s="42">
        <v>1</v>
      </c>
      <c r="B9" s="3" t="s">
        <v>9</v>
      </c>
      <c r="C9" s="28">
        <v>2.3988657407407354E-2</v>
      </c>
      <c r="D9" s="29">
        <f>INDEX('Points Summary'!$F$4:$F$1143,G9)</f>
        <v>81.414794603727941</v>
      </c>
      <c r="E9" s="124">
        <f t="shared" si="0"/>
        <v>0.78392732286048217</v>
      </c>
      <c r="F9" s="3"/>
      <c r="G9" s="2">
        <f>MATCH(B9,'Points Summary'!$B$4:$B$1144,0)</f>
        <v>124</v>
      </c>
    </row>
    <row r="10" spans="1:7" x14ac:dyDescent="0.25">
      <c r="A10" s="2">
        <v>2</v>
      </c>
      <c r="B10" s="3" t="s">
        <v>846</v>
      </c>
      <c r="C10" s="28">
        <v>2.4684722222222177E-2</v>
      </c>
      <c r="D10" s="29">
        <f>INDEX('Points Summary'!$F$4:$F$1143,G10)</f>
        <v>80.041551324306269</v>
      </c>
      <c r="E10" s="124">
        <f t="shared" si="0"/>
        <v>0.76182198086380648</v>
      </c>
      <c r="F10" s="3"/>
      <c r="G10" s="2">
        <f>MATCH(B10,'Points Summary'!$B$4:$B$1144,0)</f>
        <v>168</v>
      </c>
    </row>
    <row r="11" spans="1:7" x14ac:dyDescent="0.25">
      <c r="A11" s="2">
        <v>1</v>
      </c>
      <c r="B11" s="3" t="s">
        <v>772</v>
      </c>
      <c r="C11" s="28">
        <v>2.3654398148148181E-2</v>
      </c>
      <c r="D11" s="29">
        <f>INDEX('Points Summary'!$F$4:$F$1143,G11)</f>
        <v>81.785334346671192</v>
      </c>
      <c r="E11" s="124">
        <f t="shared" si="0"/>
        <v>0.79500496536109622</v>
      </c>
      <c r="F11" s="3"/>
      <c r="G11" s="2">
        <f>MATCH(B11,'Points Summary'!$B$4:$B$1144,0)</f>
        <v>90</v>
      </c>
    </row>
    <row r="12" spans="1:7" x14ac:dyDescent="0.25">
      <c r="A12" s="2">
        <v>4</v>
      </c>
      <c r="B12" s="3" t="s">
        <v>848</v>
      </c>
      <c r="C12" s="28">
        <v>2.6811805555555512E-2</v>
      </c>
      <c r="D12" s="29">
        <f>INDEX('Points Summary'!$F$4:$F$1143,G12)</f>
        <v>63.991198989542667</v>
      </c>
      <c r="E12" s="124">
        <f t="shared" si="0"/>
        <v>0.70138372223535606</v>
      </c>
      <c r="F12" s="3"/>
      <c r="G12" s="2">
        <f>MATCH(B12,'Points Summary'!$B$4:$B$1144,0)</f>
        <v>183</v>
      </c>
    </row>
    <row r="13" spans="1:7" x14ac:dyDescent="0.25">
      <c r="A13" s="2">
        <v>2</v>
      </c>
      <c r="B13" s="3" t="s">
        <v>155</v>
      </c>
      <c r="C13" s="28">
        <v>2.6811342592592546E-2</v>
      </c>
      <c r="D13" s="29">
        <f>INDEX('Points Summary'!$F$4:$F$1143,G13)</f>
        <v>66.28283754655763</v>
      </c>
      <c r="E13" s="124">
        <f t="shared" si="0"/>
        <v>0.70139583332919997</v>
      </c>
      <c r="F13" s="3"/>
      <c r="G13" s="2">
        <f>MATCH(B13,'Points Summary'!$B$4:$B$1144,0)</f>
        <v>204</v>
      </c>
    </row>
    <row r="14" spans="1:7" x14ac:dyDescent="0.25">
      <c r="A14" s="2">
        <v>3</v>
      </c>
      <c r="B14" s="3" t="s">
        <v>808</v>
      </c>
      <c r="C14" s="28">
        <v>2.5560069444444389E-2</v>
      </c>
      <c r="D14" s="29">
        <f>INDEX('Points Summary'!$F$4:$F$1143,G14)</f>
        <v>80.557714578078887</v>
      </c>
      <c r="E14" s="124">
        <f t="shared" si="0"/>
        <v>0.73573211611494915</v>
      </c>
      <c r="F14" s="3"/>
      <c r="G14" s="2">
        <f>MATCH(B14,'Points Summary'!$B$4:$B$1144,0)</f>
        <v>441</v>
      </c>
    </row>
    <row r="15" spans="1:7" x14ac:dyDescent="0.25">
      <c r="A15" s="2">
        <v>1</v>
      </c>
      <c r="B15" s="3" t="s">
        <v>733</v>
      </c>
      <c r="C15" s="28">
        <v>2.7724537037036978E-2</v>
      </c>
      <c r="D15" s="29">
        <f>INDEX('Points Summary'!$F$4:$F$1143,G15)</f>
        <v>66.595123596656933</v>
      </c>
      <c r="E15" s="124">
        <f t="shared" si="0"/>
        <v>0.67829316519457816</v>
      </c>
      <c r="F15" s="3"/>
      <c r="G15" s="2">
        <f>MATCH(B15,'Points Summary'!$B$4:$B$1144,0)</f>
        <v>33</v>
      </c>
    </row>
    <row r="16" spans="1:7" x14ac:dyDescent="0.25">
      <c r="A16" s="42">
        <v>4</v>
      </c>
      <c r="B16" s="3" t="s">
        <v>703</v>
      </c>
      <c r="C16" s="28">
        <v>2.9726736111111152E-2</v>
      </c>
      <c r="D16" s="29">
        <f>INDEX('Points Summary'!$F$4:$F$1143,G16)</f>
        <v>61.801366437796901</v>
      </c>
      <c r="E16" s="124">
        <f t="shared" si="0"/>
        <v>0.63260776124618412</v>
      </c>
      <c r="F16" s="3"/>
      <c r="G16" s="2">
        <f>MATCH(B16,'Points Summary'!$B$4:$B$1144,0)</f>
        <v>211</v>
      </c>
    </row>
    <row r="17" spans="1:7" x14ac:dyDescent="0.25">
      <c r="A17" s="42">
        <v>2</v>
      </c>
      <c r="B17" s="3" t="s">
        <v>13</v>
      </c>
      <c r="C17" s="28">
        <v>2.5506481481481436E-2</v>
      </c>
      <c r="D17" s="29">
        <f>INDEX('Points Summary'!$F$4:$F$1143,G17)</f>
        <v>65.133504013378101</v>
      </c>
      <c r="E17" s="124">
        <f t="shared" si="0"/>
        <v>0.73727785598572071</v>
      </c>
      <c r="F17" s="3"/>
      <c r="G17" s="2">
        <f>MATCH(B17,'Points Summary'!$B$4:$B$1144,0)</f>
        <v>184</v>
      </c>
    </row>
    <row r="18" spans="1:7" x14ac:dyDescent="0.25">
      <c r="A18" s="2">
        <v>1</v>
      </c>
      <c r="B18" s="3" t="s">
        <v>11</v>
      </c>
      <c r="C18" s="28">
        <v>2.6036574074074059E-2</v>
      </c>
      <c r="D18" s="29">
        <f>INDEX('Points Summary'!$F$4:$F$1143,G18)</f>
        <v>67.873704983306368</v>
      </c>
      <c r="E18" s="124">
        <f t="shared" si="0"/>
        <v>0.72226722021510426</v>
      </c>
      <c r="F18" s="3"/>
      <c r="G18" s="2">
        <f>MATCH(B18,'Points Summary'!$B$4:$B$1144,0)</f>
        <v>426</v>
      </c>
    </row>
    <row r="19" spans="1:7" x14ac:dyDescent="0.25">
      <c r="A19" s="42">
        <v>3</v>
      </c>
      <c r="B19" s="3" t="s">
        <v>818</v>
      </c>
      <c r="C19" s="28">
        <v>2.7870254629629609E-2</v>
      </c>
      <c r="D19" s="29">
        <f>INDEX('Points Summary'!$F$4:$F$1143,G19)</f>
        <v>62.817150612854775</v>
      </c>
      <c r="E19" s="124">
        <f t="shared" si="0"/>
        <v>0.6747467588765278</v>
      </c>
      <c r="F19" s="3"/>
      <c r="G19" s="2">
        <f>MATCH(B19,'Points Summary'!$B$4:$B$1144,0)</f>
        <v>31</v>
      </c>
    </row>
    <row r="20" spans="1:7" x14ac:dyDescent="0.25">
      <c r="A20" s="42">
        <v>5</v>
      </c>
      <c r="B20" s="3" t="s">
        <v>108</v>
      </c>
      <c r="C20" s="28">
        <v>2.9906828703703647E-2</v>
      </c>
      <c r="D20" s="29">
        <f>INDEX('Points Summary'!$F$4:$F$1143,G20)</f>
        <v>61.392615547752236</v>
      </c>
      <c r="E20" s="124">
        <f t="shared" si="0"/>
        <v>0.62879833120110373</v>
      </c>
      <c r="F20" s="3"/>
      <c r="G20" s="2">
        <f>MATCH(B20,'Points Summary'!$B$4:$B$1144,0)</f>
        <v>48</v>
      </c>
    </row>
    <row r="21" spans="1:7" x14ac:dyDescent="0.25">
      <c r="A21" s="42">
        <v>6</v>
      </c>
      <c r="B21" s="3" t="s">
        <v>12</v>
      </c>
      <c r="C21" s="28">
        <v>3.0544791666666682E-2</v>
      </c>
      <c r="D21" s="29">
        <f>INDEX('Points Summary'!$F$4:$F$1143,G21)</f>
        <v>59.284937701582372</v>
      </c>
      <c r="E21" s="124">
        <f t="shared" si="0"/>
        <v>0.61566515776659514</v>
      </c>
      <c r="F21" s="3"/>
      <c r="G21" s="2">
        <f>MATCH(B21,'Points Summary'!$B$4:$B$1144,0)</f>
        <v>292</v>
      </c>
    </row>
    <row r="22" spans="1:7" x14ac:dyDescent="0.25">
      <c r="A22" s="42">
        <v>5</v>
      </c>
      <c r="B22" s="3" t="s">
        <v>361</v>
      </c>
      <c r="C22" s="28">
        <v>3.040671296296299E-2</v>
      </c>
      <c r="D22" s="29">
        <f>INDEX('Points Summary'!$F$4:$F$1143,G22)</f>
        <v>58.583301661311417</v>
      </c>
      <c r="E22" s="124">
        <f t="shared" si="0"/>
        <v>0.61846093010158865</v>
      </c>
      <c r="F22" s="3"/>
      <c r="G22" s="2">
        <f>MATCH(B22,'Points Summary'!$B$4:$B$1144,0)</f>
        <v>82</v>
      </c>
    </row>
    <row r="23" spans="1:7" x14ac:dyDescent="0.25">
      <c r="A23" s="42">
        <v>4</v>
      </c>
      <c r="B23" s="3" t="s">
        <v>826</v>
      </c>
      <c r="C23" s="28">
        <v>2.9267476851851881E-2</v>
      </c>
      <c r="D23" s="29">
        <f>INDEX('Points Summary'!$F$4:$F$1143,G23)</f>
        <v>57.37225017169083</v>
      </c>
      <c r="E23" s="124">
        <f t="shared" si="0"/>
        <v>0.64253451281763718</v>
      </c>
      <c r="F23" s="3"/>
      <c r="G23" s="2">
        <f>MATCH(B23,'Points Summary'!$B$4:$B$1144,0)</f>
        <v>296</v>
      </c>
    </row>
    <row r="24" spans="1:7" x14ac:dyDescent="0.25">
      <c r="A24" s="42">
        <v>8</v>
      </c>
      <c r="B24" s="3" t="s">
        <v>362</v>
      </c>
      <c r="C24" s="28">
        <v>3.1454629629629582E-2</v>
      </c>
      <c r="D24" s="29">
        <f>INDEX('Points Summary'!$F$4:$F$1143,G24)</f>
        <v>51.583230225978319</v>
      </c>
      <c r="E24" s="124">
        <f t="shared" si="0"/>
        <v>0.5978567925241719</v>
      </c>
      <c r="F24" s="3"/>
      <c r="G24" s="2">
        <f>MATCH(B24,'Points Summary'!$B$4:$B$1144,0)</f>
        <v>452</v>
      </c>
    </row>
    <row r="25" spans="1:7" x14ac:dyDescent="0.25">
      <c r="A25" s="42">
        <v>7</v>
      </c>
      <c r="B25" s="3" t="s">
        <v>481</v>
      </c>
      <c r="C25" s="28">
        <v>3.352569444444442E-2</v>
      </c>
      <c r="D25" s="29">
        <f>INDEX('Points Summary'!$F$4:$F$1143,G25)</f>
        <v>53.741619608532481</v>
      </c>
      <c r="E25" s="124">
        <f t="shared" si="0"/>
        <v>0.56092392095169208</v>
      </c>
      <c r="F25" s="3"/>
      <c r="G25" s="2">
        <f>MATCH(B25,'Points Summary'!$B$4:$B$1144,0)</f>
        <v>130</v>
      </c>
    </row>
    <row r="26" spans="1:7" x14ac:dyDescent="0.25">
      <c r="A26" s="42">
        <v>6</v>
      </c>
      <c r="B26" s="3" t="s">
        <v>145</v>
      </c>
      <c r="C26" s="28">
        <v>2.9702430555555548E-2</v>
      </c>
      <c r="D26" s="29">
        <f>INDEX('Points Summary'!$F$4:$F$1143,G26)</f>
        <v>58.80339108596209</v>
      </c>
      <c r="E26" s="124">
        <f t="shared" si="0"/>
        <v>0.63312542538337035</v>
      </c>
      <c r="F26" s="3"/>
      <c r="G26" s="2">
        <f>MATCH(B26,'Points Summary'!$B$4:$B$1144,0)</f>
        <v>447</v>
      </c>
    </row>
    <row r="27" spans="1:7" x14ac:dyDescent="0.25">
      <c r="A27" s="42">
        <v>10</v>
      </c>
      <c r="B27" s="3" t="s">
        <v>110</v>
      </c>
      <c r="C27" s="28">
        <v>3.9280208333333289E-2</v>
      </c>
      <c r="D27" s="29">
        <f>INDEX('Points Summary'!$F$4:$F$1143,G27)</f>
        <v>46.935970923567815</v>
      </c>
      <c r="E27" s="124">
        <f t="shared" si="0"/>
        <v>0.4787490896388103</v>
      </c>
      <c r="F27" s="3"/>
      <c r="G27" s="2">
        <f>MATCH(B27,'Points Summary'!$B$4:$B$1144,0)</f>
        <v>385</v>
      </c>
    </row>
    <row r="28" spans="1:7" x14ac:dyDescent="0.25">
      <c r="A28" s="42">
        <v>3</v>
      </c>
      <c r="B28" s="3" t="s">
        <v>734</v>
      </c>
      <c r="C28" s="28">
        <v>4.1596759259259264E-2</v>
      </c>
      <c r="D28" s="29">
        <f>INDEX('Points Summary'!$F$4:$F$1143,G28)</f>
        <v>48.468714646250653</v>
      </c>
      <c r="E28" s="124">
        <f t="shared" si="0"/>
        <v>0.45208723745035806</v>
      </c>
      <c r="F28" s="3"/>
      <c r="G28" s="2">
        <f>MATCH(B28,'Points Summary'!$B$4:$B$1144,0)</f>
        <v>418</v>
      </c>
    </row>
    <row r="29" spans="1:7" x14ac:dyDescent="0.25">
      <c r="A29" s="42">
        <v>2</v>
      </c>
      <c r="B29" s="3" t="s">
        <v>140</v>
      </c>
      <c r="C29" s="28">
        <v>4.0521643518518502E-2</v>
      </c>
      <c r="D29" s="29">
        <f>INDEX('Points Summary'!$F$4:$F$1143,G29)</f>
        <v>43.796149464140271</v>
      </c>
      <c r="E29" s="124">
        <f t="shared" si="0"/>
        <v>0.46408196577248945</v>
      </c>
      <c r="F29" s="3"/>
      <c r="G29" s="2">
        <f>MATCH(B29,'Points Summary'!$B$4:$B$1144,0)</f>
        <v>393</v>
      </c>
    </row>
    <row r="30" spans="1:7" x14ac:dyDescent="0.25">
      <c r="A30" s="42">
        <v>4</v>
      </c>
      <c r="B30" s="3" t="s">
        <v>160</v>
      </c>
      <c r="C30" s="28">
        <v>4.2142245370370368E-2</v>
      </c>
      <c r="D30" s="29">
        <f>INDEX('Points Summary'!$F$4:$F$1143,G30)</f>
        <v>40.49298808723082</v>
      </c>
      <c r="E30" s="124">
        <f t="shared" si="0"/>
        <v>0.44623545364357625</v>
      </c>
      <c r="F30" s="3"/>
      <c r="G30" s="2">
        <f>MATCH(B30,'Points Summary'!$B$4:$B$1144,0)</f>
        <v>207</v>
      </c>
    </row>
    <row r="31" spans="1:7" x14ac:dyDescent="0.25">
      <c r="A31" s="42">
        <v>9</v>
      </c>
      <c r="B31" s="3" t="s">
        <v>874</v>
      </c>
      <c r="C31" s="28">
        <v>3.8396180555555603E-2</v>
      </c>
      <c r="D31" s="29" t="e">
        <f>INDEX('Points Summary'!$F$4:$F$1143,G31)</f>
        <v>#N/A</v>
      </c>
      <c r="E31" s="124">
        <f t="shared" si="0"/>
        <v>0.48977173532134421</v>
      </c>
      <c r="F31" s="3"/>
      <c r="G31" s="2" t="e">
        <f>MATCH(B31,'Points Summary'!$B$4:$B$1144,0)</f>
        <v>#N/A</v>
      </c>
    </row>
    <row r="32" spans="1:7" x14ac:dyDescent="0.25">
      <c r="A32" s="42">
        <v>5</v>
      </c>
      <c r="B32" s="3" t="s">
        <v>74</v>
      </c>
      <c r="C32" s="28">
        <v>5.004745370370367E-2</v>
      </c>
      <c r="D32" s="29">
        <f>INDEX('Points Summary'!$F$4:$F$1143,G32)</f>
        <v>36.389890673289152</v>
      </c>
      <c r="E32" s="124">
        <f t="shared" si="0"/>
        <v>0.37575066439423005</v>
      </c>
      <c r="F32" s="3"/>
      <c r="G32" s="2">
        <f>MATCH(B32,'Points Summary'!$B$4:$B$1144,0)</f>
        <v>291</v>
      </c>
    </row>
    <row r="33" spans="1:7" x14ac:dyDescent="0.25">
      <c r="A33" s="42">
        <v>1</v>
      </c>
      <c r="B33" s="3" t="s">
        <v>491</v>
      </c>
      <c r="C33" s="28">
        <v>3.2306944444444485E-2</v>
      </c>
      <c r="D33" s="29">
        <f>INDEX('Points Summary'!$F$4:$F$1143,G33)</f>
        <v>60.524290845204135</v>
      </c>
      <c r="E33" s="124">
        <f t="shared" si="0"/>
        <v>0.58208426404249136</v>
      </c>
      <c r="F33" s="3"/>
      <c r="G33" s="2">
        <f>MATCH(B33,'Points Summary'!$B$4:$B$1144,0)</f>
        <v>54</v>
      </c>
    </row>
    <row r="34" spans="1:7" x14ac:dyDescent="0.25">
      <c r="A34" s="2">
        <v>2</v>
      </c>
      <c r="B34" s="3" t="s">
        <v>888</v>
      </c>
      <c r="C34" s="28">
        <v>3.1277430555555541E-2</v>
      </c>
      <c r="D34" s="29">
        <f>INDEX('Points Summary'!$F$4:$F$1143,G34)</f>
        <v>57.730080619711707</v>
      </c>
      <c r="E34" s="124">
        <f t="shared" si="0"/>
        <v>0.60124388884834046</v>
      </c>
      <c r="F34" s="3"/>
      <c r="G34" s="2">
        <f>MATCH(B34,'Points Summary'!$B$4:$B$1144,0)</f>
        <v>422</v>
      </c>
    </row>
    <row r="35" spans="1:7" x14ac:dyDescent="0.25">
      <c r="A35" s="42">
        <v>9</v>
      </c>
      <c r="B35" s="3" t="s">
        <v>939</v>
      </c>
      <c r="C35" s="28">
        <v>3.5586458333333293E-2</v>
      </c>
      <c r="D35" s="29">
        <f>INDEX('Points Summary'!$F$4:$F$1143,G35)</f>
        <v>50.943424350252634</v>
      </c>
      <c r="E35" s="124">
        <f t="shared" si="0"/>
        <v>0.52844157191083629</v>
      </c>
      <c r="F35" s="3"/>
      <c r="G35" s="2">
        <f>MATCH(B35,'Points Summary'!$B$4:$B$1144,0)</f>
        <v>147</v>
      </c>
    </row>
    <row r="36" spans="1:7" x14ac:dyDescent="0.25">
      <c r="B36" s="3"/>
    </row>
  </sheetData>
  <sortState ref="A8:G35">
    <sortCondition descending="1" ref="D8:D35"/>
  </sortState>
  <printOptions horizontalCentered="1"/>
  <pageMargins left="0.7" right="0.7" top="0.75" bottom="0.75" header="0.3" footer="0.3"/>
  <pageSetup orientation="portrait" r:id="rId1"/>
  <headerFooter>
    <oddHeader>&amp;L&amp;"Tahoma,Bold"&amp;11U.S. Biathlon Association&amp;R&amp;"Tahoma,Bold"&amp;11 2017 Race Points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/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42820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25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115</v>
      </c>
      <c r="C5" s="22"/>
      <c r="D5" s="22"/>
      <c r="E5" s="22" t="s">
        <v>55</v>
      </c>
      <c r="F5" s="38">
        <f>AVERAGE(C8:C12)*(AVERAGE(D8:D12)/100)</f>
        <v>2.6228026041185917E-2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</v>
      </c>
      <c r="B8" s="3" t="s">
        <v>84</v>
      </c>
      <c r="C8" s="28">
        <v>2.589583333333333E-2</v>
      </c>
      <c r="D8" s="29">
        <f>INDEX('Points Summary'!$F$4:$F$1143,G8)</f>
        <v>99.460903353359868</v>
      </c>
      <c r="E8" s="124">
        <f>(AVERAGE($D$8:$D$12)/100*AVERAGE($C$8:$C$12))/C8</f>
        <v>1.012828036988676</v>
      </c>
      <c r="F8" s="3"/>
      <c r="G8" s="2">
        <f>MATCH(B8,'Points Summary'!$B$4:$B$1144,0)</f>
        <v>13</v>
      </c>
    </row>
    <row r="9" spans="1:7" x14ac:dyDescent="0.25">
      <c r="A9" s="2">
        <v>4</v>
      </c>
      <c r="B9" s="3" t="s">
        <v>50</v>
      </c>
      <c r="C9" s="28">
        <v>2.7671296296296295E-2</v>
      </c>
      <c r="D9" s="29">
        <f>INDEX('Points Summary'!$F$4:$F$1143,G9)</f>
        <v>95.089327975174797</v>
      </c>
      <c r="E9" s="124">
        <f t="shared" ref="E9:E28" si="0">(AVERAGE($D$8:$D$12)/100*AVERAGE($C$8:$C$12))/C9</f>
        <v>0.94784233309288246</v>
      </c>
      <c r="F9" s="3"/>
      <c r="G9" s="2">
        <f>MATCH(B9,'Points Summary'!$B$4:$B$1144,0)</f>
        <v>104</v>
      </c>
    </row>
    <row r="10" spans="1:7" x14ac:dyDescent="0.25">
      <c r="A10" s="2">
        <v>3</v>
      </c>
      <c r="B10" s="3" t="s">
        <v>762</v>
      </c>
      <c r="C10" s="28">
        <v>2.7157407407407408E-2</v>
      </c>
      <c r="D10" s="29">
        <f>INDEX('Points Summary'!$F$4:$F$1143,G10)</f>
        <v>93.60112568228071</v>
      </c>
      <c r="E10" s="124">
        <f t="shared" si="0"/>
        <v>0.96577797901400575</v>
      </c>
      <c r="F10" s="3"/>
      <c r="G10" s="2">
        <f>MATCH(B10,'Points Summary'!$B$4:$B$1144,0)</f>
        <v>366</v>
      </c>
    </row>
    <row r="11" spans="1:7" x14ac:dyDescent="0.25">
      <c r="A11" s="2">
        <v>7</v>
      </c>
      <c r="B11" s="3" t="s">
        <v>460</v>
      </c>
      <c r="C11" s="28">
        <v>2.8329861111111115E-2</v>
      </c>
      <c r="D11" s="29">
        <f>INDEX('Points Summary'!$F$4:$F$1143,G11)</f>
        <v>92.885416008196273</v>
      </c>
      <c r="E11" s="124">
        <f t="shared" si="0"/>
        <v>0.92580849367098217</v>
      </c>
      <c r="F11" s="3"/>
      <c r="G11" s="2">
        <f>MATCH(B11,'Points Summary'!$B$4:$B$1144,0)</f>
        <v>139</v>
      </c>
    </row>
    <row r="12" spans="1:7" x14ac:dyDescent="0.25">
      <c r="A12" s="2">
        <v>11</v>
      </c>
      <c r="B12" s="3" t="s">
        <v>795</v>
      </c>
      <c r="C12" s="28">
        <v>2.9363425925925921E-2</v>
      </c>
      <c r="D12" s="29">
        <f>INDEX('Points Summary'!$F$4:$F$1143,G12)</f>
        <v>92.674366002181756</v>
      </c>
      <c r="E12" s="124">
        <f t="shared" si="0"/>
        <v>0.893220910507869</v>
      </c>
      <c r="F12" s="3"/>
      <c r="G12" s="2">
        <f>MATCH(B12,'Points Summary'!$B$4:$B$1144,0)</f>
        <v>201</v>
      </c>
    </row>
    <row r="13" spans="1:7" x14ac:dyDescent="0.25">
      <c r="A13" s="2">
        <v>12</v>
      </c>
      <c r="B13" s="3" t="s">
        <v>759</v>
      </c>
      <c r="C13" s="28">
        <v>2.974537037037037E-2</v>
      </c>
      <c r="D13" s="29">
        <f>INDEX('Points Summary'!$F$4:$F$1143,G13)</f>
        <v>90.488521205766915</v>
      </c>
      <c r="E13" s="124">
        <f t="shared" si="0"/>
        <v>0.88175153694881836</v>
      </c>
      <c r="F13" s="3"/>
      <c r="G13" s="2">
        <f>MATCH(B13,'Points Summary'!$B$4:$B$1144,0)</f>
        <v>131</v>
      </c>
    </row>
    <row r="14" spans="1:7" x14ac:dyDescent="0.25">
      <c r="A14" s="2">
        <v>2</v>
      </c>
      <c r="B14" s="3" t="s">
        <v>70</v>
      </c>
      <c r="C14" s="28">
        <v>2.6995370370370374E-2</v>
      </c>
      <c r="D14" s="29">
        <f>INDEX('Points Summary'!$F$4:$F$1143,G14)</f>
        <v>95.945007171519649</v>
      </c>
      <c r="E14" s="124">
        <f t="shared" si="0"/>
        <v>0.97157496568275725</v>
      </c>
      <c r="F14" s="3"/>
      <c r="G14" s="2">
        <f>MATCH(B14,'Points Summary'!$B$4:$B$1144,0)</f>
        <v>309</v>
      </c>
    </row>
    <row r="15" spans="1:7" x14ac:dyDescent="0.25">
      <c r="A15" s="2">
        <v>9</v>
      </c>
      <c r="B15" s="3" t="s">
        <v>173</v>
      </c>
      <c r="C15" s="28">
        <v>2.8730324074074078E-2</v>
      </c>
      <c r="D15" s="29">
        <f>INDEX('Points Summary'!$F$4:$F$1143,G15)</f>
        <v>87.864563738067233</v>
      </c>
      <c r="E15" s="124">
        <f t="shared" si="0"/>
        <v>0.91290393987771945</v>
      </c>
      <c r="F15" s="3"/>
      <c r="G15" s="2">
        <f>MATCH(B15,'Points Summary'!$B$4:$B$1144,0)</f>
        <v>47</v>
      </c>
    </row>
    <row r="16" spans="1:7" x14ac:dyDescent="0.25">
      <c r="A16" s="2">
        <v>10</v>
      </c>
      <c r="B16" s="3" t="s">
        <v>103</v>
      </c>
      <c r="C16" s="28">
        <v>2.9188657407407406E-2</v>
      </c>
      <c r="D16" s="29">
        <f>INDEX('Points Summary'!$F$4:$F$1143,G16)</f>
        <v>87.153898367817163</v>
      </c>
      <c r="E16" s="124">
        <f t="shared" si="0"/>
        <v>0.89856911454001476</v>
      </c>
      <c r="F16" s="3"/>
      <c r="G16" s="2">
        <f>MATCH(B16,'Points Summary'!$B$4:$B$1144,0)</f>
        <v>163</v>
      </c>
    </row>
    <row r="17" spans="1:7" x14ac:dyDescent="0.25">
      <c r="A17" s="2">
        <v>13</v>
      </c>
      <c r="B17" s="3" t="s">
        <v>102</v>
      </c>
      <c r="C17" s="28">
        <v>3.037037037037037E-2</v>
      </c>
      <c r="D17" s="29">
        <f>INDEX('Points Summary'!$F$4:$F$1143,G17)</f>
        <v>86.807963708513867</v>
      </c>
      <c r="E17" s="124">
        <f t="shared" si="0"/>
        <v>0.86360573550246311</v>
      </c>
      <c r="F17" s="3"/>
      <c r="G17" s="2">
        <f>MATCH(B17,'Points Summary'!$B$4:$B$1144,0)</f>
        <v>128</v>
      </c>
    </row>
    <row r="18" spans="1:7" x14ac:dyDescent="0.25">
      <c r="A18" s="2">
        <v>8</v>
      </c>
      <c r="B18" s="3" t="s">
        <v>838</v>
      </c>
      <c r="C18" s="28">
        <v>2.833449074074074E-2</v>
      </c>
      <c r="D18" s="29">
        <f>INDEX('Points Summary'!$F$4:$F$1143,G18)</f>
        <v>90.493939450526881</v>
      </c>
      <c r="E18" s="124">
        <f t="shared" si="0"/>
        <v>0.92565722395264216</v>
      </c>
      <c r="F18" s="3"/>
      <c r="G18" s="2">
        <f>MATCH(B18,'Points Summary'!$B$4:$B$1144,0)</f>
        <v>57</v>
      </c>
    </row>
    <row r="19" spans="1:7" x14ac:dyDescent="0.25">
      <c r="A19" s="2">
        <v>6</v>
      </c>
      <c r="B19" s="3" t="s">
        <v>104</v>
      </c>
      <c r="C19" s="28">
        <v>2.8155092592592593E-2</v>
      </c>
      <c r="D19" s="29">
        <f>INDEX('Points Summary'!$F$4:$F$1143,G19)</f>
        <v>89.981553251588309</v>
      </c>
      <c r="E19" s="124">
        <f t="shared" si="0"/>
        <v>0.9315553111725986</v>
      </c>
      <c r="F19" s="3"/>
      <c r="G19" s="2">
        <f>MATCH(B19,'Points Summary'!$B$4:$B$1144,0)</f>
        <v>166</v>
      </c>
    </row>
    <row r="20" spans="1:7" x14ac:dyDescent="0.25">
      <c r="A20" s="2">
        <v>5</v>
      </c>
      <c r="B20" s="3" t="s">
        <v>765</v>
      </c>
      <c r="C20" s="28">
        <v>2.8068287037037037E-2</v>
      </c>
      <c r="D20" s="29">
        <f>INDEX('Points Summary'!$F$4:$F$1143,G20)</f>
        <v>89.06928922635062</v>
      </c>
      <c r="E20" s="124">
        <f t="shared" si="0"/>
        <v>0.93443629126982941</v>
      </c>
      <c r="F20" s="3"/>
      <c r="G20" s="2">
        <f>MATCH(B20,'Points Summary'!$B$4:$B$1144,0)</f>
        <v>97</v>
      </c>
    </row>
    <row r="21" spans="1:7" x14ac:dyDescent="0.25">
      <c r="A21" s="2">
        <v>1</v>
      </c>
      <c r="B21" s="3" t="s">
        <v>714</v>
      </c>
      <c r="C21" s="28">
        <v>2.6736111111111113E-2</v>
      </c>
      <c r="D21" s="29">
        <f>INDEX('Points Summary'!$F$4:$F$1143,G21)</f>
        <v>83.939036057542722</v>
      </c>
      <c r="E21" s="124">
        <f t="shared" si="0"/>
        <v>0.98099629868331739</v>
      </c>
      <c r="F21" s="3"/>
      <c r="G21" s="2">
        <f>MATCH(B21,'Points Summary'!$B$4:$B$1144,0)</f>
        <v>220</v>
      </c>
    </row>
    <row r="22" spans="1:7" x14ac:dyDescent="0.25">
      <c r="A22" s="2">
        <v>3</v>
      </c>
      <c r="B22" s="3" t="s">
        <v>713</v>
      </c>
      <c r="C22" s="28">
        <v>3.0952546296296294E-2</v>
      </c>
      <c r="D22" s="29">
        <f>INDEX('Points Summary'!$F$4:$F$1143,G22)</f>
        <v>81.547058940732953</v>
      </c>
      <c r="E22" s="124">
        <f t="shared" si="0"/>
        <v>0.84736246866786202</v>
      </c>
      <c r="F22" s="3"/>
      <c r="G22" s="2">
        <f>MATCH(B22,'Points Summary'!$B$4:$B$1144,0)</f>
        <v>77</v>
      </c>
    </row>
    <row r="23" spans="1:7" x14ac:dyDescent="0.25">
      <c r="A23" s="2">
        <v>16</v>
      </c>
      <c r="B23" s="3" t="s">
        <v>394</v>
      </c>
      <c r="C23" s="28">
        <v>3.2738425925925928E-2</v>
      </c>
      <c r="D23" s="29">
        <f>INDEX('Points Summary'!$F$4:$F$1143,G23)</f>
        <v>76.465649687424957</v>
      </c>
      <c r="E23" s="124">
        <f t="shared" si="0"/>
        <v>0.80113888494607333</v>
      </c>
      <c r="F23" s="3"/>
      <c r="G23" s="2">
        <f>MATCH(B23,'Points Summary'!$B$4:$B$1144,0)</f>
        <v>106</v>
      </c>
    </row>
    <row r="24" spans="1:7" x14ac:dyDescent="0.25">
      <c r="A24" s="2">
        <v>15</v>
      </c>
      <c r="B24" s="3" t="s">
        <v>718</v>
      </c>
      <c r="C24" s="28">
        <v>3.136921296296296E-2</v>
      </c>
      <c r="D24" s="29">
        <f>INDEX('Points Summary'!$F$4:$F$1143,G24)</f>
        <v>81.013290109009503</v>
      </c>
      <c r="E24" s="124">
        <f t="shared" si="0"/>
        <v>0.83610723903570217</v>
      </c>
      <c r="F24" s="3"/>
      <c r="G24" s="2">
        <f>MATCH(B24,'Points Summary'!$B$4:$B$1144,0)</f>
        <v>305</v>
      </c>
    </row>
    <row r="25" spans="1:7" x14ac:dyDescent="0.25">
      <c r="A25" s="2">
        <v>14</v>
      </c>
      <c r="B25" s="3" t="s">
        <v>292</v>
      </c>
      <c r="C25" s="28">
        <v>3.129282407407407E-2</v>
      </c>
      <c r="D25" s="29">
        <f>INDEX('Points Summary'!$F$4:$F$1143,G25)</f>
        <v>87.317796744326898</v>
      </c>
      <c r="E25" s="124">
        <f t="shared" si="0"/>
        <v>0.83814825977677387</v>
      </c>
      <c r="F25" s="3"/>
      <c r="G25" s="2">
        <f>MATCH(B25,'Points Summary'!$B$4:$B$1144,0)</f>
        <v>182</v>
      </c>
    </row>
    <row r="26" spans="1:7" x14ac:dyDescent="0.25">
      <c r="A26" s="2">
        <v>18</v>
      </c>
      <c r="B26" s="3" t="s">
        <v>729</v>
      </c>
      <c r="C26" s="28">
        <v>3.8476851851851852E-2</v>
      </c>
      <c r="D26" s="29">
        <f>INDEX('Points Summary'!$F$4:$F$1143,G26)</f>
        <v>74.818918747524734</v>
      </c>
      <c r="E26" s="124">
        <f t="shared" si="0"/>
        <v>0.68165727648852825</v>
      </c>
      <c r="F26" s="3"/>
      <c r="G26" s="2">
        <f>MATCH(B26,'Points Summary'!$B$4:$B$1144,0)</f>
        <v>252</v>
      </c>
    </row>
    <row r="27" spans="1:7" x14ac:dyDescent="0.25">
      <c r="A27" s="2">
        <v>17</v>
      </c>
      <c r="B27" s="3" t="s">
        <v>936</v>
      </c>
      <c r="C27" s="28">
        <v>3.2930555555555553E-2</v>
      </c>
      <c r="D27" s="29">
        <f>INDEX('Points Summary'!$F$4:$F$1143,G27)</f>
        <v>79.76105334129258</v>
      </c>
      <c r="E27" s="124">
        <f t="shared" si="0"/>
        <v>0.79646473005710083</v>
      </c>
      <c r="F27" s="3"/>
      <c r="G27" s="2">
        <f>MATCH(B27,'Points Summary'!$B$4:$B$1144,0)</f>
        <v>330</v>
      </c>
    </row>
    <row r="28" spans="1:7" x14ac:dyDescent="0.25">
      <c r="A28" s="2">
        <v>3</v>
      </c>
      <c r="B28" s="3" t="s">
        <v>712</v>
      </c>
      <c r="C28" s="28">
        <v>2.7877314814814813E-2</v>
      </c>
      <c r="D28" s="29">
        <f>INDEX('Points Summary'!$F$4:$F$1143,G28)</f>
        <v>74.905957502259213</v>
      </c>
      <c r="E28" s="124">
        <f t="shared" si="0"/>
        <v>0.94083760273954309</v>
      </c>
      <c r="F28" s="3"/>
      <c r="G28" s="2">
        <f>MATCH(B28,'Points Summary'!$B$4:$B$1144,0)</f>
        <v>459</v>
      </c>
    </row>
    <row r="29" spans="1:7" x14ac:dyDescent="0.25">
      <c r="C29" s="28"/>
    </row>
  </sheetData>
  <sortState ref="A8:D13">
    <sortCondition descending="1" ref="D8:D13"/>
  </sortState>
  <printOptions horizontalCentered="1"/>
  <pageMargins left="0.7" right="0.7" top="0.75" bottom="0.75" header="0.3" footer="0.3"/>
  <pageSetup orientation="portrait" r:id="rId1"/>
  <headerFooter>
    <oddHeader>&amp;L&amp;"Tahoma,Bold"&amp;11U.S. Biathlon Association&amp;R&amp;"Tahoma,Bold"&amp;11 2017 Race Points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10" x14ac:dyDescent="0.25">
      <c r="A1" s="16" t="s">
        <v>22</v>
      </c>
      <c r="B1" s="17"/>
      <c r="C1" s="18"/>
      <c r="D1" s="18"/>
      <c r="E1" s="18"/>
      <c r="F1" s="18"/>
      <c r="G1" s="19"/>
    </row>
    <row r="2" spans="1:10" x14ac:dyDescent="0.25">
      <c r="A2" s="20" t="s">
        <v>23</v>
      </c>
      <c r="B2" s="21">
        <v>42820</v>
      </c>
      <c r="C2" s="22"/>
      <c r="D2" s="22"/>
      <c r="E2" s="22"/>
      <c r="F2" s="22"/>
      <c r="G2" s="23"/>
    </row>
    <row r="3" spans="1:10" x14ac:dyDescent="0.25">
      <c r="A3" s="20" t="s">
        <v>24</v>
      </c>
      <c r="B3" s="24" t="s">
        <v>25</v>
      </c>
      <c r="C3" s="22"/>
      <c r="D3" s="22"/>
      <c r="E3" s="22"/>
      <c r="F3" s="22"/>
      <c r="G3" s="23"/>
    </row>
    <row r="4" spans="1:10" x14ac:dyDescent="0.25">
      <c r="A4" s="20" t="s">
        <v>1</v>
      </c>
      <c r="B4" s="24" t="s">
        <v>735</v>
      </c>
      <c r="C4" s="22"/>
      <c r="D4" s="22"/>
      <c r="E4" s="22"/>
      <c r="F4" s="22"/>
      <c r="G4" s="23"/>
    </row>
    <row r="5" spans="1:10" x14ac:dyDescent="0.25">
      <c r="A5" s="20" t="s">
        <v>27</v>
      </c>
      <c r="B5" s="24" t="s">
        <v>115</v>
      </c>
      <c r="C5" s="22"/>
      <c r="D5" s="22"/>
      <c r="E5" s="22" t="s">
        <v>55</v>
      </c>
      <c r="F5" s="38">
        <f>AVERAGE(C8:C12)*(AVERAGE(D8:D12)/100)</f>
        <v>2.1466167797775947E-2</v>
      </c>
      <c r="G5" s="23"/>
    </row>
    <row r="6" spans="1:10" x14ac:dyDescent="0.25">
      <c r="A6" s="25" t="s">
        <v>29</v>
      </c>
      <c r="B6" s="26"/>
      <c r="C6" s="26"/>
      <c r="D6" s="26"/>
      <c r="E6" s="26"/>
      <c r="F6" s="26"/>
      <c r="G6" s="27"/>
    </row>
    <row r="7" spans="1:10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10" x14ac:dyDescent="0.25">
      <c r="A8" s="2">
        <v>2</v>
      </c>
      <c r="B8" s="3" t="s">
        <v>8</v>
      </c>
      <c r="C8" s="28">
        <v>3.0916666666666672E-2</v>
      </c>
      <c r="D8" s="29">
        <f>INDEX('Points Summary'!$F$4:$F$1143,G8)</f>
        <v>67.132561141984624</v>
      </c>
      <c r="E8" s="30">
        <f t="shared" ref="E8:E27" si="0">(AVERAGE($D$8:$D$12)/100*AVERAGE($C$8:$C$12))/C8</f>
        <v>0.69432348672051569</v>
      </c>
      <c r="F8" s="3"/>
      <c r="G8" s="2">
        <f>MATCH(B8,'Points Summary'!$B$4:$B$1144,0)</f>
        <v>89</v>
      </c>
    </row>
    <row r="9" spans="1:10" x14ac:dyDescent="0.25">
      <c r="A9" s="2">
        <v>1</v>
      </c>
      <c r="B9" s="3" t="s">
        <v>9</v>
      </c>
      <c r="C9" s="28">
        <v>2.7483796296296298E-2</v>
      </c>
      <c r="D9" s="29">
        <f>INDEX('Points Summary'!$F$4:$F$1143,G9)</f>
        <v>81.414794603727941</v>
      </c>
      <c r="E9" s="30">
        <f t="shared" si="0"/>
        <v>0.78104813346578028</v>
      </c>
      <c r="F9" s="3"/>
      <c r="G9" s="2">
        <f>MATCH(B9,'Points Summary'!$B$4:$B$1144,0)</f>
        <v>124</v>
      </c>
      <c r="J9" s="44"/>
    </row>
    <row r="10" spans="1:10" x14ac:dyDescent="0.25">
      <c r="A10" s="2">
        <v>1</v>
      </c>
      <c r="B10" s="3" t="s">
        <v>107</v>
      </c>
      <c r="C10" s="28">
        <v>2.7871527777777776E-2</v>
      </c>
      <c r="D10" s="29">
        <f>INDEX('Points Summary'!$F$4:$F$1143,G10)</f>
        <v>75.792883752028487</v>
      </c>
      <c r="E10" s="30">
        <f t="shared" si="0"/>
        <v>0.77018267419452757</v>
      </c>
      <c r="F10" s="3"/>
      <c r="G10" s="2">
        <f>MATCH(B10,'Points Summary'!$B$4:$B$1144,0)</f>
        <v>125</v>
      </c>
      <c r="J10" s="44"/>
    </row>
    <row r="11" spans="1:10" x14ac:dyDescent="0.25">
      <c r="A11" s="2">
        <v>2</v>
      </c>
      <c r="B11" s="3" t="s">
        <v>155</v>
      </c>
      <c r="C11" s="28">
        <v>3.1145833333333334E-2</v>
      </c>
      <c r="D11" s="29">
        <f>INDEX('Points Summary'!$F$4:$F$1143,G11)</f>
        <v>66.28283754655763</v>
      </c>
      <c r="E11" s="30">
        <f t="shared" si="0"/>
        <v>0.68921475203561566</v>
      </c>
      <c r="F11" s="3"/>
      <c r="G11" s="2">
        <f>MATCH(B11,'Points Summary'!$B$4:$B$1144,0)</f>
        <v>204</v>
      </c>
    </row>
    <row r="12" spans="1:10" x14ac:dyDescent="0.25">
      <c r="A12" s="2">
        <v>3</v>
      </c>
      <c r="B12" s="3" t="s">
        <v>733</v>
      </c>
      <c r="C12" s="28">
        <v>3.2813657407407402E-2</v>
      </c>
      <c r="D12" s="29">
        <f>INDEX('Points Summary'!$F$4:$F$1143,G12)</f>
        <v>66.595123596656933</v>
      </c>
      <c r="E12" s="30">
        <f t="shared" si="0"/>
        <v>0.6541839433275165</v>
      </c>
      <c r="F12" s="3"/>
      <c r="G12" s="2">
        <f>MATCH(B12,'Points Summary'!$B$4:$B$1144,0)</f>
        <v>33</v>
      </c>
    </row>
    <row r="13" spans="1:10" x14ac:dyDescent="0.25">
      <c r="A13" s="2">
        <v>2</v>
      </c>
      <c r="B13" s="3" t="s">
        <v>81</v>
      </c>
      <c r="C13" s="28">
        <v>3.1384259259259258E-2</v>
      </c>
      <c r="D13" s="29">
        <f>INDEX('Points Summary'!$F$4:$F$1143,G13)</f>
        <v>62.768852945054114</v>
      </c>
      <c r="E13" s="30">
        <f t="shared" si="0"/>
        <v>0.68397879396955374</v>
      </c>
      <c r="F13" s="3"/>
      <c r="G13" s="2">
        <f>MATCH(B13,'Points Summary'!$B$4:$B$1144,0)</f>
        <v>373</v>
      </c>
    </row>
    <row r="14" spans="1:10" x14ac:dyDescent="0.25">
      <c r="A14" s="2">
        <v>3</v>
      </c>
      <c r="B14" s="3" t="s">
        <v>703</v>
      </c>
      <c r="C14" s="28">
        <v>3.2071759259259258E-2</v>
      </c>
      <c r="D14" s="29">
        <f>INDEX('Points Summary'!$F$4:$F$1143,G14)</f>
        <v>61.801366437796901</v>
      </c>
      <c r="E14" s="30">
        <f t="shared" si="0"/>
        <v>0.66931681621358419</v>
      </c>
      <c r="F14" s="3"/>
      <c r="G14" s="2">
        <f>MATCH(B14,'Points Summary'!$B$4:$B$1144,0)</f>
        <v>211</v>
      </c>
    </row>
    <row r="15" spans="1:10" x14ac:dyDescent="0.25">
      <c r="A15" s="2">
        <v>4</v>
      </c>
      <c r="B15" s="3" t="s">
        <v>13</v>
      </c>
      <c r="C15" s="28">
        <v>3.2218750000000004E-2</v>
      </c>
      <c r="D15" s="29">
        <f>INDEX('Points Summary'!$F$4:$F$1143,G15)</f>
        <v>65.133504013378101</v>
      </c>
      <c r="E15" s="30">
        <f t="shared" si="0"/>
        <v>0.66626321001826405</v>
      </c>
      <c r="F15" s="3"/>
      <c r="G15" s="2">
        <f>MATCH(B15,'Points Summary'!$B$4:$B$1144,0)</f>
        <v>184</v>
      </c>
    </row>
    <row r="16" spans="1:10" x14ac:dyDescent="0.25">
      <c r="A16" s="2">
        <v>1</v>
      </c>
      <c r="B16" s="3" t="s">
        <v>11</v>
      </c>
      <c r="C16" s="28">
        <v>3.0682870370370371E-2</v>
      </c>
      <c r="D16" s="29">
        <f>INDEX('Points Summary'!$F$4:$F$1143,G16)</f>
        <v>67.873704983306368</v>
      </c>
      <c r="E16" s="30">
        <f t="shared" si="0"/>
        <v>0.69961406930510817</v>
      </c>
      <c r="F16" s="3"/>
      <c r="G16" s="2">
        <f>MATCH(B16,'Points Summary'!$B$4:$B$1144,0)</f>
        <v>426</v>
      </c>
    </row>
    <row r="17" spans="1:7" x14ac:dyDescent="0.25">
      <c r="A17" s="2">
        <v>4</v>
      </c>
      <c r="B17" s="3" t="s">
        <v>818</v>
      </c>
      <c r="C17" s="28">
        <v>3.3173611111111112E-2</v>
      </c>
      <c r="D17" s="29">
        <f>INDEX('Points Summary'!$F$4:$F$1143,G17)</f>
        <v>62.817150612854775</v>
      </c>
      <c r="E17" s="30">
        <f t="shared" si="0"/>
        <v>0.64708565268573082</v>
      </c>
      <c r="F17" s="3"/>
      <c r="G17" s="2">
        <f>MATCH(B17,'Points Summary'!$B$4:$B$1144,0)</f>
        <v>31</v>
      </c>
    </row>
    <row r="18" spans="1:7" x14ac:dyDescent="0.25">
      <c r="A18" s="2">
        <v>5</v>
      </c>
      <c r="B18" s="3" t="s">
        <v>108</v>
      </c>
      <c r="C18" s="28">
        <v>3.2943287037037035E-2</v>
      </c>
      <c r="D18" s="29">
        <f>INDEX('Points Summary'!$F$4:$F$1143,G18)</f>
        <v>61.392615547752236</v>
      </c>
      <c r="E18" s="30">
        <f t="shared" si="0"/>
        <v>0.65160977329439695</v>
      </c>
      <c r="F18" s="3"/>
      <c r="G18" s="2">
        <f>MATCH(B18,'Points Summary'!$B$4:$B$1144,0)</f>
        <v>48</v>
      </c>
    </row>
    <row r="19" spans="1:7" x14ac:dyDescent="0.25">
      <c r="A19" s="2">
        <v>3</v>
      </c>
      <c r="B19" s="3" t="s">
        <v>12</v>
      </c>
      <c r="C19" s="28">
        <v>3.2914351851851854E-2</v>
      </c>
      <c r="D19" s="29">
        <f>INDEX('Points Summary'!$F$4:$F$1143,G19)</f>
        <v>59.284937701582372</v>
      </c>
      <c r="E19" s="30">
        <f t="shared" si="0"/>
        <v>0.65218260697933805</v>
      </c>
      <c r="F19" s="3"/>
      <c r="G19" s="2">
        <f>MATCH(B19,'Points Summary'!$B$4:$B$1144,0)</f>
        <v>292</v>
      </c>
    </row>
    <row r="20" spans="1:7" x14ac:dyDescent="0.25">
      <c r="A20" s="2">
        <v>5</v>
      </c>
      <c r="B20" s="3" t="s">
        <v>826</v>
      </c>
      <c r="C20" s="28">
        <v>3.4258101851851845E-2</v>
      </c>
      <c r="D20" s="29">
        <f>INDEX('Points Summary'!$F$4:$F$1143,G20)</f>
        <v>57.37225017169083</v>
      </c>
      <c r="E20" s="30">
        <f t="shared" si="0"/>
        <v>0.62660120197568914</v>
      </c>
      <c r="F20" s="3"/>
      <c r="G20" s="2">
        <f>MATCH(B20,'Points Summary'!$B$4:$B$1144,0)</f>
        <v>296</v>
      </c>
    </row>
    <row r="21" spans="1:7" x14ac:dyDescent="0.25">
      <c r="A21" s="2">
        <v>8</v>
      </c>
      <c r="B21" s="3" t="s">
        <v>362</v>
      </c>
      <c r="C21" s="28">
        <v>3.8293981481481477E-2</v>
      </c>
      <c r="D21" s="29">
        <f>INDEX('Points Summary'!$F$4:$F$1143,G21)</f>
        <v>51.583230225978319</v>
      </c>
      <c r="E21" s="30">
        <f t="shared" si="0"/>
        <v>0.56056244264276189</v>
      </c>
      <c r="F21" s="3"/>
      <c r="G21" s="2">
        <f>MATCH(B21,'Points Summary'!$B$4:$B$1144,0)</f>
        <v>452</v>
      </c>
    </row>
    <row r="22" spans="1:7" x14ac:dyDescent="0.25">
      <c r="A22" s="2">
        <v>6</v>
      </c>
      <c r="B22" s="3" t="s">
        <v>481</v>
      </c>
      <c r="C22" s="28">
        <v>3.8046296296296293E-2</v>
      </c>
      <c r="D22" s="29">
        <f>INDEX('Points Summary'!$F$4:$F$1143,G22)</f>
        <v>53.741619608532481</v>
      </c>
      <c r="E22" s="30">
        <f t="shared" si="0"/>
        <v>0.5642117600778298</v>
      </c>
      <c r="F22" s="3"/>
      <c r="G22" s="2">
        <f>MATCH(B22,'Points Summary'!$B$4:$B$1144,0)</f>
        <v>130</v>
      </c>
    </row>
    <row r="23" spans="1:7" x14ac:dyDescent="0.25">
      <c r="A23" s="2">
        <v>6</v>
      </c>
      <c r="B23" s="3" t="s">
        <v>145</v>
      </c>
      <c r="C23" s="28">
        <v>3.5177083333333338E-2</v>
      </c>
      <c r="D23" s="29">
        <f>INDEX('Points Summary'!$F$4:$F$1143,G23)</f>
        <v>58.80339108596209</v>
      </c>
      <c r="E23" s="30">
        <f t="shared" si="0"/>
        <v>0.6102315986338438</v>
      </c>
      <c r="F23" s="3"/>
      <c r="G23" s="2">
        <f>MATCH(B23,'Points Summary'!$B$4:$B$1144,0)</f>
        <v>447</v>
      </c>
    </row>
    <row r="24" spans="1:7" x14ac:dyDescent="0.25">
      <c r="A24" s="2">
        <v>9</v>
      </c>
      <c r="B24" s="3" t="s">
        <v>110</v>
      </c>
      <c r="C24" s="28">
        <f>TIME(1,3,28.8)</f>
        <v>4.4074074074074071E-2</v>
      </c>
      <c r="D24" s="29">
        <f>INDEX('Points Summary'!$F$4:$F$1143,G24)</f>
        <v>46.935970923567815</v>
      </c>
      <c r="E24" s="30">
        <f t="shared" si="0"/>
        <v>0.48704750465542068</v>
      </c>
      <c r="F24" s="3"/>
      <c r="G24" s="2">
        <f>MATCH(B24,'Points Summary'!$B$4:$B$1144,0)</f>
        <v>385</v>
      </c>
    </row>
    <row r="25" spans="1:7" x14ac:dyDescent="0.25">
      <c r="A25" s="2">
        <v>2</v>
      </c>
      <c r="B25" s="3" t="s">
        <v>160</v>
      </c>
      <c r="C25" s="28">
        <f>TIME(1,7,35)</f>
        <v>4.6932870370370368E-2</v>
      </c>
      <c r="D25" s="29">
        <f>INDEX('Points Summary'!$F$4:$F$1143,G25)</f>
        <v>40.49298808723082</v>
      </c>
      <c r="E25" s="30">
        <f t="shared" si="0"/>
        <v>0.45738024604878963</v>
      </c>
      <c r="F25" s="3"/>
      <c r="G25" s="2">
        <f>MATCH(B25,'Points Summary'!$B$4:$B$1144,0)</f>
        <v>207</v>
      </c>
    </row>
    <row r="26" spans="1:7" x14ac:dyDescent="0.25">
      <c r="A26" s="2">
        <v>3</v>
      </c>
      <c r="B26" s="3" t="s">
        <v>74</v>
      </c>
      <c r="C26" s="28">
        <f>TIME(1,19,13.8)</f>
        <v>5.5011574074074067E-2</v>
      </c>
      <c r="D26" s="29">
        <f>INDEX('Points Summary'!$F$4:$F$1143,G26)</f>
        <v>36.389890673289152</v>
      </c>
      <c r="E26" s="30">
        <f t="shared" si="0"/>
        <v>0.39021184467238418</v>
      </c>
      <c r="F26" s="3"/>
      <c r="G26" s="2">
        <f>MATCH(B26,'Points Summary'!$B$4:$B$1144,0)</f>
        <v>291</v>
      </c>
    </row>
    <row r="27" spans="1:7" x14ac:dyDescent="0.25">
      <c r="A27" s="2">
        <v>1</v>
      </c>
      <c r="B27" s="3" t="s">
        <v>491</v>
      </c>
      <c r="C27" s="28">
        <v>3.5815972222222221E-2</v>
      </c>
      <c r="D27" s="29">
        <f>INDEX('Points Summary'!$F$4:$F$1143,G27)</f>
        <v>60.524290845204135</v>
      </c>
      <c r="E27" s="30">
        <f t="shared" si="0"/>
        <v>0.59934622644299307</v>
      </c>
      <c r="F27" s="3"/>
      <c r="G27" s="2">
        <f>MATCH(B27,'Points Summary'!$B$4:$B$1144,0)</f>
        <v>54</v>
      </c>
    </row>
    <row r="28" spans="1:7" x14ac:dyDescent="0.25">
      <c r="A28" s="2"/>
      <c r="B28" s="3"/>
      <c r="C28" s="28"/>
    </row>
    <row r="29" spans="1:7" x14ac:dyDescent="0.25">
      <c r="A29" s="2"/>
      <c r="B29" s="3"/>
      <c r="C29" s="28"/>
    </row>
    <row r="30" spans="1:7" x14ac:dyDescent="0.25">
      <c r="B30" s="3"/>
      <c r="C30" s="28"/>
    </row>
    <row r="31" spans="1:7" x14ac:dyDescent="0.25">
      <c r="B31" s="3"/>
      <c r="C31" s="28"/>
    </row>
    <row r="32" spans="1:7" x14ac:dyDescent="0.25">
      <c r="B32" s="3"/>
      <c r="C32" s="28"/>
    </row>
    <row r="33" spans="2:3" x14ac:dyDescent="0.25">
      <c r="B33" s="3"/>
      <c r="C33" s="28"/>
    </row>
    <row r="34" spans="2:3" x14ac:dyDescent="0.25">
      <c r="B34" s="3"/>
      <c r="C34" s="28"/>
    </row>
    <row r="35" spans="2:3" x14ac:dyDescent="0.25">
      <c r="B35" s="3"/>
      <c r="C35" s="28"/>
    </row>
    <row r="36" spans="2:3" x14ac:dyDescent="0.25">
      <c r="B36" s="3"/>
      <c r="C36" s="28"/>
    </row>
    <row r="37" spans="2:3" x14ac:dyDescent="0.25">
      <c r="B37" s="3"/>
      <c r="C37" s="28"/>
    </row>
    <row r="38" spans="2:3" x14ac:dyDescent="0.25">
      <c r="C38" s="28"/>
    </row>
    <row r="39" spans="2:3" x14ac:dyDescent="0.25">
      <c r="C39" s="28"/>
    </row>
    <row r="40" spans="2:3" x14ac:dyDescent="0.25">
      <c r="C40" s="28"/>
    </row>
    <row r="41" spans="2:3" x14ac:dyDescent="0.25">
      <c r="C41" s="28"/>
    </row>
    <row r="42" spans="2:3" x14ac:dyDescent="0.25">
      <c r="C42" s="28"/>
    </row>
    <row r="43" spans="2:3" x14ac:dyDescent="0.25">
      <c r="C43" s="28"/>
    </row>
    <row r="44" spans="2:3" x14ac:dyDescent="0.25">
      <c r="C44" s="28"/>
    </row>
    <row r="45" spans="2:3" x14ac:dyDescent="0.25">
      <c r="C45" s="28"/>
    </row>
    <row r="46" spans="2:3" x14ac:dyDescent="0.25">
      <c r="C46" s="28"/>
    </row>
    <row r="47" spans="2:3" x14ac:dyDescent="0.25">
      <c r="C47" s="28"/>
    </row>
    <row r="48" spans="2:3" x14ac:dyDescent="0.25">
      <c r="C48" s="28"/>
    </row>
    <row r="49" spans="3:3" x14ac:dyDescent="0.25">
      <c r="C49" s="28"/>
    </row>
    <row r="50" spans="3:3" x14ac:dyDescent="0.25">
      <c r="C50" s="28"/>
    </row>
    <row r="51" spans="3:3" x14ac:dyDescent="0.25">
      <c r="C51" s="28"/>
    </row>
    <row r="52" spans="3:3" x14ac:dyDescent="0.25">
      <c r="C52" s="28"/>
    </row>
    <row r="53" spans="3:3" x14ac:dyDescent="0.25">
      <c r="C53" s="28"/>
    </row>
    <row r="54" spans="3:3" x14ac:dyDescent="0.25">
      <c r="C54" s="28"/>
    </row>
    <row r="55" spans="3:3" x14ac:dyDescent="0.25">
      <c r="C55" s="28"/>
    </row>
    <row r="56" spans="3:3" x14ac:dyDescent="0.25">
      <c r="C56" s="28"/>
    </row>
    <row r="57" spans="3:3" x14ac:dyDescent="0.25">
      <c r="C57" s="28"/>
    </row>
    <row r="58" spans="3:3" x14ac:dyDescent="0.25">
      <c r="C58" s="28"/>
    </row>
    <row r="59" spans="3:3" x14ac:dyDescent="0.25">
      <c r="C59" s="28"/>
    </row>
    <row r="60" spans="3:3" x14ac:dyDescent="0.25">
      <c r="C60" s="28"/>
    </row>
    <row r="61" spans="3:3" x14ac:dyDescent="0.25">
      <c r="C61" s="28"/>
    </row>
    <row r="62" spans="3:3" x14ac:dyDescent="0.25">
      <c r="C62" s="28"/>
    </row>
    <row r="63" spans="3:3" x14ac:dyDescent="0.25">
      <c r="C63" s="28"/>
    </row>
    <row r="64" spans="3:3" x14ac:dyDescent="0.25">
      <c r="C64" s="28"/>
    </row>
  </sheetData>
  <sortState ref="A8:G27">
    <sortCondition descending="1" ref="D8:D27"/>
  </sortState>
  <printOptions horizontalCentered="1"/>
  <pageMargins left="0.7" right="0.7" top="0.75" bottom="0.75" header="0.3" footer="0.3"/>
  <pageSetup orientation="portrait" r:id="rId1"/>
  <headerFooter>
    <oddHeader>&amp;L&amp;"Tahoma,Bold"&amp;11U.S. Biathlon Association&amp;R&amp;"Tahoma,Bold"&amp;11 2017 Race Points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/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42820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25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893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115</v>
      </c>
      <c r="C5" s="22"/>
      <c r="D5" s="22"/>
      <c r="E5" s="22" t="s">
        <v>55</v>
      </c>
      <c r="F5" s="38">
        <f>AVERAGE(C8:C10)*(AVERAGE(D8:D10)/100)</f>
        <v>1.8832159780685746E-2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</v>
      </c>
      <c r="B8" s="3" t="s">
        <v>764</v>
      </c>
      <c r="C8" s="28">
        <v>2.334375E-2</v>
      </c>
      <c r="D8" s="29">
        <f>INDEX('Points Summary'!$F$4:$F$1143,G8)</f>
        <v>74.876431909943179</v>
      </c>
      <c r="E8" s="124">
        <f>(AVERAGE($D$8:$D$10)/100*AVERAGE($C$8:$C$10))/C8</f>
        <v>0.80673241363044701</v>
      </c>
      <c r="F8" s="3"/>
      <c r="G8" s="2">
        <f>MATCH(B8,'Points Summary'!$B$4:$B$1144,0)</f>
        <v>228</v>
      </c>
    </row>
    <row r="9" spans="1:7" x14ac:dyDescent="0.25">
      <c r="A9" s="2">
        <v>3</v>
      </c>
      <c r="B9" s="3" t="s">
        <v>846</v>
      </c>
      <c r="C9" s="28">
        <v>2.4229166666666666E-2</v>
      </c>
      <c r="D9" s="29">
        <f>INDEX('Points Summary'!$F$4:$F$1143,G9)</f>
        <v>80.041551324306269</v>
      </c>
      <c r="E9" s="124">
        <f>(AVERAGE($D$8:$D$10)/100*AVERAGE($C$8:$C$10))/C9</f>
        <v>0.77725165044962674</v>
      </c>
      <c r="F9" s="3"/>
      <c r="G9" s="2">
        <f>MATCH(B9,'Points Summary'!$B$4:$B$1144,0)</f>
        <v>168</v>
      </c>
    </row>
    <row r="10" spans="1:7" x14ac:dyDescent="0.25">
      <c r="A10" s="2">
        <v>2</v>
      </c>
      <c r="B10" s="3" t="s">
        <v>772</v>
      </c>
      <c r="C10" s="28">
        <v>2.4031250000000001E-2</v>
      </c>
      <c r="D10" s="29">
        <f>INDEX('Points Summary'!$F$4:$F$1143,G10)</f>
        <v>81.785334346671192</v>
      </c>
      <c r="E10" s="124">
        <f>(AVERAGE($D$8:$D$10)/100*AVERAGE($C$8:$C$10))/C10</f>
        <v>0.78365294275935482</v>
      </c>
      <c r="F10" s="3"/>
      <c r="G10" s="2">
        <f>MATCH(B10,'Points Summary'!$B$4:$B$1144,0)</f>
        <v>90</v>
      </c>
    </row>
    <row r="11" spans="1:7" x14ac:dyDescent="0.25">
      <c r="A11" s="2">
        <v>4</v>
      </c>
      <c r="B11" s="3" t="s">
        <v>848</v>
      </c>
      <c r="C11" s="28">
        <v>2.5445601851851851E-2</v>
      </c>
      <c r="D11" s="29">
        <f>INDEX('Points Summary'!$F$4:$F$1143,G11)</f>
        <v>63.991198989542667</v>
      </c>
      <c r="E11" s="124">
        <f>(AVERAGE($D$8:$D$10)/100*AVERAGE($C$8:$C$10))/C11</f>
        <v>0.74009488517227584</v>
      </c>
      <c r="F11" s="3"/>
      <c r="G11" s="2">
        <f>MATCH(B11,'Points Summary'!$B$4:$B$1144,0)</f>
        <v>183</v>
      </c>
    </row>
    <row r="12" spans="1:7" x14ac:dyDescent="0.25">
      <c r="A12" s="2">
        <v>5</v>
      </c>
      <c r="B12" s="3" t="s">
        <v>808</v>
      </c>
      <c r="C12" s="28">
        <v>2.6364583333333334E-2</v>
      </c>
      <c r="D12" s="29">
        <f>INDEX('Points Summary'!$F$4:$F$1143,G12)</f>
        <v>80.557714578078887</v>
      </c>
      <c r="E12" s="124">
        <f>(AVERAGE($D$8:$D$10)/100*AVERAGE($C$8:$C$10))/C12</f>
        <v>0.71429764478302316</v>
      </c>
      <c r="F12" s="3"/>
      <c r="G12" s="2">
        <f>MATCH(B12,'Points Summary'!$B$4:$B$1144,0)</f>
        <v>441</v>
      </c>
    </row>
    <row r="13" spans="1:7" x14ac:dyDescent="0.25">
      <c r="A13" s="2"/>
      <c r="B13" s="3"/>
      <c r="C13" s="28"/>
      <c r="D13" s="29"/>
      <c r="E13" s="30"/>
      <c r="F13" s="3"/>
      <c r="G13" s="2"/>
    </row>
    <row r="14" spans="1:7" x14ac:dyDescent="0.25">
      <c r="A14" s="2"/>
      <c r="B14" s="3"/>
      <c r="C14" s="28"/>
      <c r="D14" s="29"/>
      <c r="E14" s="30"/>
      <c r="F14" s="3"/>
      <c r="G14" s="2"/>
    </row>
    <row r="15" spans="1:7" x14ac:dyDescent="0.25">
      <c r="A15" s="2"/>
      <c r="B15" s="3"/>
      <c r="C15" s="28"/>
      <c r="D15" s="29"/>
      <c r="E15" s="30"/>
      <c r="F15" s="3"/>
      <c r="G15" s="2"/>
    </row>
    <row r="16" spans="1:7" x14ac:dyDescent="0.25">
      <c r="A16" s="2"/>
      <c r="B16" s="3"/>
      <c r="C16" s="28"/>
      <c r="D16" s="29"/>
      <c r="E16" s="30"/>
      <c r="F16" s="3"/>
      <c r="G16" s="2"/>
    </row>
    <row r="17" spans="1:7" x14ac:dyDescent="0.25">
      <c r="A17" s="2"/>
      <c r="B17" s="3"/>
      <c r="C17" s="28"/>
      <c r="D17" s="29"/>
      <c r="E17" s="30"/>
      <c r="F17" s="3"/>
      <c r="G17" s="2"/>
    </row>
    <row r="18" spans="1:7" x14ac:dyDescent="0.25">
      <c r="A18" s="2"/>
      <c r="B18" s="3"/>
      <c r="C18" s="28"/>
      <c r="D18" s="29"/>
      <c r="E18" s="30"/>
      <c r="F18" s="3"/>
      <c r="G18" s="2"/>
    </row>
    <row r="19" spans="1:7" x14ac:dyDescent="0.25">
      <c r="A19" s="2"/>
      <c r="B19" s="3"/>
      <c r="C19" s="28"/>
      <c r="D19" s="29"/>
      <c r="E19" s="30"/>
      <c r="F19" s="3"/>
      <c r="G19" s="2"/>
    </row>
    <row r="20" spans="1:7" x14ac:dyDescent="0.25">
      <c r="A20" s="2"/>
      <c r="B20" s="3"/>
      <c r="C20" s="28"/>
      <c r="D20" s="29"/>
      <c r="E20" s="30"/>
      <c r="F20" s="3"/>
      <c r="G20" s="2"/>
    </row>
    <row r="21" spans="1:7" x14ac:dyDescent="0.25">
      <c r="A21" s="2"/>
      <c r="B21" s="3"/>
      <c r="C21" s="28"/>
      <c r="D21" s="29"/>
      <c r="E21" s="30"/>
      <c r="F21" s="3"/>
      <c r="G21" s="2"/>
    </row>
    <row r="22" spans="1:7" x14ac:dyDescent="0.25">
      <c r="A22" s="2"/>
      <c r="B22" s="3"/>
      <c r="C22" s="28"/>
      <c r="D22" s="29"/>
      <c r="E22" s="30"/>
      <c r="F22" s="3"/>
      <c r="G22" s="2"/>
    </row>
  </sheetData>
  <sortState ref="A8:G12">
    <sortCondition descending="1" ref="D8:D12"/>
  </sortState>
  <printOptions horizontalCentered="1"/>
  <pageMargins left="0.7" right="0.7" top="0.75" bottom="0.75" header="0.3" footer="0.3"/>
  <pageSetup orientation="portrait" r:id="rId1"/>
  <headerFooter>
    <oddHeader>&amp;L&amp;"Tahoma,Bold"&amp;11U.S. Biathlon Association&amp;R&amp;"Tahoma,Bold"&amp;11 2017 Race Points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9" x14ac:dyDescent="0.25">
      <c r="A1" s="16" t="s">
        <v>22</v>
      </c>
      <c r="B1" s="17"/>
      <c r="C1" s="18"/>
      <c r="D1" s="18"/>
      <c r="E1" s="18"/>
      <c r="F1" s="18"/>
      <c r="G1" s="19"/>
    </row>
    <row r="2" spans="1:9" x14ac:dyDescent="0.25">
      <c r="A2" s="20" t="s">
        <v>23</v>
      </c>
      <c r="B2" s="21">
        <v>42805</v>
      </c>
      <c r="C2" s="22"/>
      <c r="D2" s="22"/>
      <c r="E2" s="22"/>
      <c r="F2" s="22"/>
      <c r="G2" s="23"/>
    </row>
    <row r="3" spans="1:9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9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9" x14ac:dyDescent="0.25">
      <c r="A5" s="20" t="s">
        <v>27</v>
      </c>
      <c r="B5" s="24" t="s">
        <v>742</v>
      </c>
      <c r="C5" s="22"/>
      <c r="D5" s="22"/>
      <c r="E5" s="22" t="s">
        <v>55</v>
      </c>
      <c r="F5" s="38">
        <f>AVERAGE(C8:C9)*(AVERAGE(D8:D9)/100)</f>
        <v>1.9357386237282944E-2</v>
      </c>
      <c r="G5" s="23"/>
    </row>
    <row r="6" spans="1:9" x14ac:dyDescent="0.25">
      <c r="A6" s="25" t="s">
        <v>29</v>
      </c>
      <c r="B6" s="26"/>
      <c r="C6" s="26"/>
      <c r="D6" s="26"/>
      <c r="E6" s="26"/>
      <c r="F6" s="26"/>
      <c r="G6" s="27"/>
    </row>
    <row r="7" spans="1:9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9" x14ac:dyDescent="0.25">
      <c r="A8" s="2">
        <v>7</v>
      </c>
      <c r="B8" s="3" t="s">
        <v>947</v>
      </c>
      <c r="C8" s="51">
        <f>TIME(0,35,45)</f>
        <v>2.4826388888888887E-2</v>
      </c>
      <c r="D8" s="29">
        <f>INDEX('Points Summary'!$F$4:$F$1143,G8)</f>
        <v>75.795752491003284</v>
      </c>
      <c r="E8" s="30">
        <f t="shared" ref="E8:E24" si="0">(AVERAGE($D$8:$D$9)/100*AVERAGE($C$8:$C$9))/C8</f>
        <v>0.77971010298426413</v>
      </c>
      <c r="F8" s="3"/>
      <c r="G8" s="2">
        <f>MATCH(B8,'Points Summary'!$B$4:$B$1144,0)</f>
        <v>425</v>
      </c>
      <c r="I8" s="51"/>
    </row>
    <row r="9" spans="1:9" x14ac:dyDescent="0.25">
      <c r="A9" s="2">
        <v>8</v>
      </c>
      <c r="B9" s="3" t="s">
        <v>948</v>
      </c>
      <c r="C9" s="51">
        <f>TIME(0,41,44)</f>
        <v>2.8981481481481483E-2</v>
      </c>
      <c r="D9" s="29">
        <f>INDEX('Points Summary'!$F$4:$F$1143,G9)</f>
        <v>68.104283723343599</v>
      </c>
      <c r="E9" s="30">
        <f t="shared" si="0"/>
        <v>0.6679225922129578</v>
      </c>
      <c r="F9" s="3"/>
      <c r="G9" s="2">
        <f>MATCH(B9,'Points Summary'!$B$4:$B$1144,0)</f>
        <v>4</v>
      </c>
      <c r="I9" s="51"/>
    </row>
    <row r="10" spans="1:9" x14ac:dyDescent="0.25">
      <c r="A10" s="2">
        <v>1</v>
      </c>
      <c r="B10" s="3" t="s">
        <v>941</v>
      </c>
      <c r="C10" s="51">
        <f>TIME(0,44,10)</f>
        <v>3.0671296296296294E-2</v>
      </c>
      <c r="D10" s="29">
        <f>INDEX('Points Summary'!$F$4:$F$1143,G10)</f>
        <v>68.20924978926152</v>
      </c>
      <c r="E10" s="30">
        <f t="shared" si="0"/>
        <v>0.63112383807594208</v>
      </c>
      <c r="F10" s="3"/>
      <c r="G10" s="2">
        <f>MATCH(B10,'Points Summary'!$B$4:$B$1144,0)</f>
        <v>151</v>
      </c>
      <c r="I10" s="51"/>
    </row>
    <row r="11" spans="1:9" x14ac:dyDescent="0.25">
      <c r="A11" s="2">
        <v>15</v>
      </c>
      <c r="B11" s="3" t="s">
        <v>954</v>
      </c>
      <c r="C11" s="51">
        <f>TIME(0,41,52)</f>
        <v>2.9074074074074075E-2</v>
      </c>
      <c r="D11" s="29">
        <f>INDEX('Points Summary'!$F$4:$F$1143,G11)</f>
        <v>61.662453318181292</v>
      </c>
      <c r="E11" s="30">
        <f t="shared" si="0"/>
        <v>0.66579545019954067</v>
      </c>
      <c r="F11" s="3"/>
      <c r="G11" s="2">
        <f>MATCH(B11,'Points Summary'!$B$4:$B$1144,0)</f>
        <v>110</v>
      </c>
      <c r="I11" s="51"/>
    </row>
    <row r="12" spans="1:9" x14ac:dyDescent="0.25">
      <c r="A12" s="2">
        <v>9</v>
      </c>
      <c r="B12" s="3" t="s">
        <v>949</v>
      </c>
      <c r="C12" s="51">
        <f>TIME(0,43,27)</f>
        <v>3.0173611111111113E-2</v>
      </c>
      <c r="D12" s="29">
        <f>INDEX('Points Summary'!$F$4:$F$1143,G12)</f>
        <v>65.022067464120298</v>
      </c>
      <c r="E12" s="30">
        <f t="shared" si="0"/>
        <v>0.64153362903768552</v>
      </c>
      <c r="F12" s="3"/>
      <c r="G12" s="2">
        <f>MATCH(B12,'Points Summary'!$B$4:$B$1144,0)</f>
        <v>278</v>
      </c>
      <c r="I12" s="51"/>
    </row>
    <row r="13" spans="1:9" x14ac:dyDescent="0.25">
      <c r="A13" s="2">
        <v>11</v>
      </c>
      <c r="B13" s="3" t="s">
        <v>951</v>
      </c>
      <c r="C13" s="51">
        <f>TIME(0,47,21)</f>
        <v>3.2881944444444443E-2</v>
      </c>
      <c r="D13" s="29">
        <f>INDEX('Points Summary'!$F$4:$F$1143,G13)</f>
        <v>54.282371717671694</v>
      </c>
      <c r="E13" s="30">
        <f t="shared" si="0"/>
        <v>0.58869347796594385</v>
      </c>
      <c r="F13" s="3"/>
      <c r="G13" s="2">
        <f>MATCH(B13,'Points Summary'!$B$4:$B$1144,0)</f>
        <v>316</v>
      </c>
      <c r="I13" s="51"/>
    </row>
    <row r="14" spans="1:9" x14ac:dyDescent="0.25">
      <c r="A14" s="2">
        <v>3</v>
      </c>
      <c r="B14" s="3" t="s">
        <v>943</v>
      </c>
      <c r="C14" s="51">
        <f>TIME(0,49,49)</f>
        <v>3.4594907407407408E-2</v>
      </c>
      <c r="D14" s="29">
        <f>INDEX('Points Summary'!$F$4:$F$1143,G14)</f>
        <v>60.150230555196153</v>
      </c>
      <c r="E14" s="30">
        <f t="shared" si="0"/>
        <v>0.55954438638382276</v>
      </c>
      <c r="F14" s="3"/>
      <c r="G14" s="2">
        <f>MATCH(B14,'Points Summary'!$B$4:$B$1144,0)</f>
        <v>199</v>
      </c>
      <c r="I14" s="51"/>
    </row>
    <row r="15" spans="1:9" x14ac:dyDescent="0.25">
      <c r="A15" s="2">
        <v>12</v>
      </c>
      <c r="B15" s="3" t="s">
        <v>877</v>
      </c>
      <c r="C15" s="51">
        <f>TIME(0,48,34)</f>
        <v>3.3726851851851855E-2</v>
      </c>
      <c r="D15" s="29" t="e">
        <f>INDEX('Points Summary'!$F$4:$F$1143,G15)</f>
        <v>#N/A</v>
      </c>
      <c r="E15" s="30">
        <f t="shared" si="0"/>
        <v>0.57394583764627527</v>
      </c>
      <c r="F15" s="3"/>
      <c r="G15" s="2" t="e">
        <f>MATCH(B15,'Points Summary'!$B$4:$B$1144,0)</f>
        <v>#N/A</v>
      </c>
      <c r="I15" s="51"/>
    </row>
    <row r="16" spans="1:9" x14ac:dyDescent="0.25">
      <c r="A16" s="2">
        <v>10</v>
      </c>
      <c r="B16" s="3" t="s">
        <v>950</v>
      </c>
      <c r="C16" s="51">
        <f>TIME(0,46,10)</f>
        <v>3.2060185185185185E-2</v>
      </c>
      <c r="D16" s="29">
        <f>INDEX('Points Summary'!$F$4:$F$1143,G16)</f>
        <v>59.914210747568333</v>
      </c>
      <c r="E16" s="30">
        <f t="shared" si="0"/>
        <v>0.60378273317734532</v>
      </c>
      <c r="F16" s="3"/>
      <c r="G16" s="2">
        <f>MATCH(B16,'Points Summary'!$B$4:$B$1144,0)</f>
        <v>392</v>
      </c>
      <c r="I16" s="51"/>
    </row>
    <row r="17" spans="1:9" x14ac:dyDescent="0.25">
      <c r="A17" s="2">
        <v>16</v>
      </c>
      <c r="B17" s="3" t="s">
        <v>438</v>
      </c>
      <c r="C17" s="51">
        <f>TIME(0,49,54)</f>
        <v>3.4652777777777775E-2</v>
      </c>
      <c r="D17" s="29" t="e">
        <f>INDEX('Points Summary'!$F$4:$F$1143,G17)</f>
        <v>#N/A</v>
      </c>
      <c r="E17" s="30">
        <f t="shared" si="0"/>
        <v>0.55860994352079041</v>
      </c>
      <c r="F17" s="3"/>
      <c r="G17" s="2" t="e">
        <f>MATCH(B17,'Points Summary'!$B$4:$B$1144,0)</f>
        <v>#N/A</v>
      </c>
      <c r="I17" s="51"/>
    </row>
    <row r="18" spans="1:9" x14ac:dyDescent="0.25">
      <c r="A18" s="2">
        <v>13</v>
      </c>
      <c r="B18" s="3" t="s">
        <v>952</v>
      </c>
      <c r="C18" s="51">
        <f>TIME(0,55,11)</f>
        <v>3.8321759259259257E-2</v>
      </c>
      <c r="D18" s="29">
        <f>INDEX('Points Summary'!$F$4:$F$1143,G18)</f>
        <v>51.435829495418268</v>
      </c>
      <c r="E18" s="30">
        <f t="shared" si="0"/>
        <v>0.50512780758116782</v>
      </c>
      <c r="F18" s="3"/>
      <c r="G18" s="2">
        <f>MATCH(B18,'Points Summary'!$B$4:$B$1144,0)</f>
        <v>416</v>
      </c>
      <c r="I18" s="51"/>
    </row>
    <row r="19" spans="1:9" x14ac:dyDescent="0.25">
      <c r="A19" s="2">
        <v>2</v>
      </c>
      <c r="B19" s="3" t="s">
        <v>942</v>
      </c>
      <c r="C19" s="51">
        <f>TIME(0,55,5)</f>
        <v>3.8252314814814815E-2</v>
      </c>
      <c r="D19" s="29">
        <f>INDEX('Points Summary'!$F$4:$F$1143,G19)</f>
        <v>49.890461050126262</v>
      </c>
      <c r="E19" s="30">
        <f t="shared" si="0"/>
        <v>0.50604483234530906</v>
      </c>
      <c r="F19" s="3"/>
      <c r="G19" s="2">
        <f>MATCH(B19,'Points Summary'!$B$4:$B$1144,0)</f>
        <v>294</v>
      </c>
      <c r="I19" s="51"/>
    </row>
    <row r="20" spans="1:9" x14ac:dyDescent="0.25">
      <c r="A20" s="2">
        <v>17</v>
      </c>
      <c r="B20" t="s">
        <v>955</v>
      </c>
      <c r="C20" s="51">
        <f>TIME(1,10,10)</f>
        <v>4.8726851851851855E-2</v>
      </c>
      <c r="D20" s="29">
        <f>INDEX('Points Summary'!$F$4:$F$1143,G20)</f>
        <v>46.1958590881178</v>
      </c>
      <c r="E20" s="30">
        <f t="shared" si="0"/>
        <v>0.39726322349198251</v>
      </c>
      <c r="F20" s="3"/>
      <c r="G20" s="2">
        <f>MATCH(B20,'Points Summary'!$B$4:$B$1144,0)</f>
        <v>453</v>
      </c>
      <c r="I20" s="51"/>
    </row>
    <row r="21" spans="1:9" x14ac:dyDescent="0.25">
      <c r="A21" s="2">
        <v>5</v>
      </c>
      <c r="B21" s="3" t="s">
        <v>945</v>
      </c>
      <c r="C21" s="51">
        <f>TIME(1,14,44)</f>
        <v>5.1898148148148145E-2</v>
      </c>
      <c r="D21" s="29">
        <f>INDEX('Points Summary'!$F$4:$F$1143,G21)</f>
        <v>34.831596322857962</v>
      </c>
      <c r="E21" s="30">
        <f t="shared" si="0"/>
        <v>0.37298799529465798</v>
      </c>
      <c r="F21" s="3"/>
      <c r="G21" s="2">
        <f>MATCH(B21,'Points Summary'!$B$4:$B$1144,0)</f>
        <v>409</v>
      </c>
      <c r="I21" s="51"/>
    </row>
    <row r="22" spans="1:9" x14ac:dyDescent="0.25">
      <c r="A22" s="2">
        <v>4</v>
      </c>
      <c r="B22" s="3" t="s">
        <v>944</v>
      </c>
      <c r="C22" s="51">
        <f>TIME(1,6,27)</f>
        <v>4.614583333333333E-2</v>
      </c>
      <c r="D22" s="29">
        <f>INDEX('Points Summary'!$F$4:$F$1143,G22)</f>
        <v>40.23789263870141</v>
      </c>
      <c r="E22" s="30">
        <f t="shared" si="0"/>
        <v>0.41948286202689905</v>
      </c>
      <c r="F22" s="3"/>
      <c r="G22" s="2">
        <f>MATCH(B22,'Points Summary'!$B$4:$B$1144,0)</f>
        <v>293</v>
      </c>
      <c r="I22" s="51"/>
    </row>
    <row r="23" spans="1:9" x14ac:dyDescent="0.25">
      <c r="A23" s="2">
        <v>6</v>
      </c>
      <c r="B23" s="3" t="s">
        <v>946</v>
      </c>
      <c r="C23" s="51">
        <f>TIME(1,19,48)</f>
        <v>5.541666666666667E-2</v>
      </c>
      <c r="D23" s="29">
        <f>INDEX('Points Summary'!$F$4:$F$1143,G23)</f>
        <v>33.506365486738204</v>
      </c>
      <c r="E23" s="30">
        <f t="shared" si="0"/>
        <v>0.34930621781563204</v>
      </c>
      <c r="F23" s="3"/>
      <c r="G23" s="2">
        <f>MATCH(B23,'Points Summary'!$B$4:$B$1144,0)</f>
        <v>311</v>
      </c>
      <c r="I23" s="51"/>
    </row>
    <row r="24" spans="1:9" x14ac:dyDescent="0.25">
      <c r="A24" s="2">
        <v>14</v>
      </c>
      <c r="B24" s="3" t="s">
        <v>953</v>
      </c>
      <c r="C24" s="51">
        <f>TIME(1,11,38)</f>
        <v>4.9745370370370377E-2</v>
      </c>
      <c r="D24" s="29">
        <f>INDEX('Points Summary'!$F$4:$F$1143,G24)</f>
        <v>37.326309434737666</v>
      </c>
      <c r="E24" s="30">
        <f t="shared" si="0"/>
        <v>0.38912940225715359</v>
      </c>
      <c r="F24" s="3"/>
      <c r="G24" s="2">
        <f>MATCH(B24,'Points Summary'!$B$4:$B$1144,0)</f>
        <v>53</v>
      </c>
      <c r="I24" s="51"/>
    </row>
  </sheetData>
  <sortState ref="A8:G24">
    <sortCondition descending="1" ref="D8:D24"/>
  </sortState>
  <printOptions horizontalCentered="1"/>
  <pageMargins left="0.7" right="0.7" top="0.75" bottom="0.75" header="0.3" footer="0.3"/>
  <pageSetup orientation="portrait" r:id="rId1"/>
  <headerFooter>
    <oddHeader>&amp;L&amp;"Tahoma,Bold"&amp;11U.S. Biathlon Association&amp;R&amp;"Tahoma,Bold"&amp;11 2017 Race Points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/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42806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25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742</v>
      </c>
      <c r="C5" s="22"/>
      <c r="D5" s="22"/>
      <c r="E5" s="22" t="s">
        <v>55</v>
      </c>
      <c r="F5" s="38">
        <f>AVERAGE(C8:C12)*(AVERAGE(D8:D12)/100)</f>
        <v>2.4808803897836757E-2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5</v>
      </c>
      <c r="B8" s="3" t="s">
        <v>947</v>
      </c>
      <c r="C8" s="28">
        <f>TIME(0,50,21)</f>
        <v>3.4965277777777783E-2</v>
      </c>
      <c r="D8" s="29">
        <f>INDEX('Points Summary'!$F$4:$F$1143,G8)</f>
        <v>75.795752491003284</v>
      </c>
      <c r="E8" s="30">
        <f t="shared" ref="E8:E21" si="0">(AVERAGE($D$8:$D$12)/100*AVERAGE($C$8:$C$12))/C8</f>
        <v>0.70952686420824085</v>
      </c>
      <c r="F8" s="3"/>
      <c r="G8" s="2">
        <f>MATCH(B8,'Points Summary'!$B$4:$B$1144,0)</f>
        <v>425</v>
      </c>
    </row>
    <row r="9" spans="1:7" x14ac:dyDescent="0.25">
      <c r="A9" s="2">
        <v>6</v>
      </c>
      <c r="B9" s="3" t="s">
        <v>948</v>
      </c>
      <c r="C9" s="28">
        <f>TIME(0,50,45)</f>
        <v>3.5243055555555555E-2</v>
      </c>
      <c r="D9" s="29">
        <f>INDEX('Points Summary'!$F$4:$F$1143,G9)</f>
        <v>68.104283723343599</v>
      </c>
      <c r="E9" s="30">
        <f t="shared" si="0"/>
        <v>0.70393453424403807</v>
      </c>
      <c r="F9" s="3"/>
      <c r="G9" s="2">
        <f>MATCH(B9,'Points Summary'!$B$4:$B$1144,0)</f>
        <v>4</v>
      </c>
    </row>
    <row r="10" spans="1:7" x14ac:dyDescent="0.25">
      <c r="A10" s="2">
        <v>1</v>
      </c>
      <c r="B10" s="3" t="s">
        <v>941</v>
      </c>
      <c r="C10" s="28">
        <v>3.9629629629629633E-2</v>
      </c>
      <c r="D10" s="29">
        <f>INDEX('Points Summary'!$F$4:$F$1143,G10)</f>
        <v>68.20924978926152</v>
      </c>
      <c r="E10" s="30">
        <f t="shared" si="0"/>
        <v>0.62601654695475928</v>
      </c>
      <c r="F10" s="3"/>
      <c r="G10" s="2">
        <f>MATCH(B10,'Points Summary'!$B$4:$B$1144,0)</f>
        <v>151</v>
      </c>
    </row>
    <row r="11" spans="1:7" x14ac:dyDescent="0.25">
      <c r="A11" s="2">
        <v>14</v>
      </c>
      <c r="B11" t="s">
        <v>954</v>
      </c>
      <c r="C11" s="28">
        <f>TIME(0,50,50)</f>
        <v>3.5300925925925923E-2</v>
      </c>
      <c r="D11" s="29">
        <f>INDEX('Points Summary'!$F$4:$F$1143,G11)</f>
        <v>61.662453318181292</v>
      </c>
      <c r="E11" s="30">
        <f t="shared" si="0"/>
        <v>0.70278054320429373</v>
      </c>
      <c r="F11" s="3"/>
      <c r="G11" s="2">
        <f>MATCH(B11,'Points Summary'!$B$4:$B$1144,0)</f>
        <v>110</v>
      </c>
    </row>
    <row r="12" spans="1:7" x14ac:dyDescent="0.25">
      <c r="A12" s="2">
        <v>7</v>
      </c>
      <c r="B12" s="3" t="s">
        <v>949</v>
      </c>
      <c r="C12" s="28">
        <f>TIME(0,54,37)</f>
        <v>3.7928240740740742E-2</v>
      </c>
      <c r="D12" s="29">
        <f>INDEX('Points Summary'!$F$4:$F$1143,G12)</f>
        <v>65.022067464120298</v>
      </c>
      <c r="E12" s="30">
        <f t="shared" si="0"/>
        <v>0.65409846102322122</v>
      </c>
      <c r="F12" s="3"/>
      <c r="G12" s="2">
        <f>MATCH(B12,'Points Summary'!$B$4:$B$1144,0)</f>
        <v>278</v>
      </c>
    </row>
    <row r="13" spans="1:7" x14ac:dyDescent="0.25">
      <c r="A13" s="2">
        <v>10</v>
      </c>
      <c r="B13" t="s">
        <v>951</v>
      </c>
      <c r="C13" s="28">
        <f>TIME(1,5,45)</f>
        <v>4.5659722222222227E-2</v>
      </c>
      <c r="D13" s="29">
        <f>INDEX('Points Summary'!$F$4:$F$1143,G13)</f>
        <v>54.282371717671694</v>
      </c>
      <c r="E13" s="30">
        <f t="shared" si="0"/>
        <v>0.54334110437847793</v>
      </c>
      <c r="F13" s="3"/>
      <c r="G13" s="2">
        <f>MATCH(B13,'Points Summary'!$B$4:$B$1144,0)</f>
        <v>316</v>
      </c>
    </row>
    <row r="14" spans="1:7" x14ac:dyDescent="0.25">
      <c r="A14" s="2">
        <v>3</v>
      </c>
      <c r="B14" s="3" t="s">
        <v>943</v>
      </c>
      <c r="C14" s="28">
        <f>TIME(1,4,47)</f>
        <v>4.4988425925925925E-2</v>
      </c>
      <c r="D14" s="29">
        <f>INDEX('Points Summary'!$F$4:$F$1143,G14)</f>
        <v>60.150230555196153</v>
      </c>
      <c r="E14" s="30">
        <f t="shared" si="0"/>
        <v>0.55144858676951269</v>
      </c>
      <c r="F14" s="3"/>
      <c r="G14" s="2">
        <f>MATCH(B14,'Points Summary'!$B$4:$B$1144,0)</f>
        <v>199</v>
      </c>
    </row>
    <row r="15" spans="1:7" x14ac:dyDescent="0.25">
      <c r="A15" s="2">
        <v>11</v>
      </c>
      <c r="B15" s="3" t="s">
        <v>877</v>
      </c>
      <c r="C15" s="28">
        <f>TIME(1,6,29)</f>
        <v>4.6168981481481484E-2</v>
      </c>
      <c r="D15" s="29" t="e">
        <f>INDEX('Points Summary'!$F$4:$F$1143,G15)</f>
        <v>#N/A</v>
      </c>
      <c r="E15" s="30">
        <f t="shared" si="0"/>
        <v>0.53734787083807867</v>
      </c>
      <c r="F15" s="3"/>
      <c r="G15" s="2" t="e">
        <f>MATCH(B15,'Points Summary'!$B$4:$B$1144,0)</f>
        <v>#N/A</v>
      </c>
    </row>
    <row r="16" spans="1:7" x14ac:dyDescent="0.25">
      <c r="A16" s="2">
        <v>8</v>
      </c>
      <c r="B16" s="3" t="s">
        <v>950</v>
      </c>
      <c r="C16" s="28">
        <f>TIME(1,3,22)</f>
        <v>4.4004629629629623E-2</v>
      </c>
      <c r="D16" s="29">
        <f>INDEX('Points Summary'!$F$4:$F$1143,G16)</f>
        <v>59.914210747568333</v>
      </c>
      <c r="E16" s="30">
        <f t="shared" si="0"/>
        <v>0.56377713223910997</v>
      </c>
      <c r="F16" s="3"/>
      <c r="G16" s="2">
        <f>MATCH(B16,'Points Summary'!$B$4:$B$1144,0)</f>
        <v>392</v>
      </c>
    </row>
    <row r="17" spans="1:7" x14ac:dyDescent="0.25">
      <c r="A17" s="2">
        <v>9</v>
      </c>
      <c r="B17" s="3" t="s">
        <v>952</v>
      </c>
      <c r="C17" s="28">
        <f>TIME(1,5,38)</f>
        <v>4.5578703703703705E-2</v>
      </c>
      <c r="D17" s="29">
        <f>INDEX('Points Summary'!$F$4:$F$1143,G17)</f>
        <v>51.435829495418268</v>
      </c>
      <c r="E17" s="30">
        <f t="shared" si="0"/>
        <v>0.54430692147615434</v>
      </c>
      <c r="F17" s="3"/>
      <c r="G17" s="2">
        <f>MATCH(B17,'Points Summary'!$B$4:$B$1144,0)</f>
        <v>416</v>
      </c>
    </row>
    <row r="18" spans="1:7" x14ac:dyDescent="0.25">
      <c r="A18" s="2">
        <v>13</v>
      </c>
      <c r="B18" t="s">
        <v>958</v>
      </c>
      <c r="C18" s="28">
        <f>TIME(1,25,26)</f>
        <v>5.932870370370371E-2</v>
      </c>
      <c r="D18" s="29">
        <f>INDEX('Points Summary'!$F$4:$F$1143,G18)</f>
        <v>42.136488704099797</v>
      </c>
      <c r="E18" s="30">
        <f t="shared" si="0"/>
        <v>0.41815853624133742</v>
      </c>
      <c r="F18" s="3"/>
      <c r="G18" s="2">
        <f>MATCH(B18,'Points Summary'!$B$4:$B$1144,0)</f>
        <v>92</v>
      </c>
    </row>
    <row r="19" spans="1:7" x14ac:dyDescent="0.25">
      <c r="A19" s="2">
        <v>2</v>
      </c>
      <c r="B19" s="3" t="s">
        <v>942</v>
      </c>
      <c r="C19" s="28">
        <f>TIME(1,15,23)</f>
        <v>5.2349537037037042E-2</v>
      </c>
      <c r="D19" s="29">
        <f>INDEX('Points Summary'!$F$4:$F$1143,G19)</f>
        <v>49.890461050126262</v>
      </c>
      <c r="E19" s="30">
        <f t="shared" si="0"/>
        <v>0.47390684430092761</v>
      </c>
      <c r="F19" s="3"/>
      <c r="G19" s="2">
        <f>MATCH(B19,'Points Summary'!$B$4:$B$1144,0)</f>
        <v>294</v>
      </c>
    </row>
    <row r="20" spans="1:7" x14ac:dyDescent="0.25">
      <c r="A20" s="2">
        <v>12</v>
      </c>
      <c r="B20" t="s">
        <v>957</v>
      </c>
      <c r="C20" s="28">
        <f>TIME(1,7,11)</f>
        <v>4.6655092592592595E-2</v>
      </c>
      <c r="D20" s="29">
        <f>INDEX('Points Summary'!$F$4:$F$1143,G20)</f>
        <v>63.894640519474201</v>
      </c>
      <c r="E20" s="30">
        <f t="shared" si="0"/>
        <v>0.5317491086016114</v>
      </c>
      <c r="F20" s="3"/>
      <c r="G20" s="2">
        <f>MATCH(B20,'Points Summary'!$B$4:$B$1144,0)</f>
        <v>386</v>
      </c>
    </row>
    <row r="21" spans="1:7" x14ac:dyDescent="0.25">
      <c r="A21" s="2">
        <v>4</v>
      </c>
      <c r="B21" s="3" t="s">
        <v>956</v>
      </c>
      <c r="C21" s="28">
        <f>TIME(1,10,59)</f>
        <v>4.929398148148148E-2</v>
      </c>
      <c r="D21" s="29">
        <f>INDEX('Points Summary'!$F$4:$F$1143,G21)</f>
        <v>47.616188533523349</v>
      </c>
      <c r="E21" s="30">
        <f t="shared" si="0"/>
        <v>0.50328261487980652</v>
      </c>
      <c r="F21" s="3"/>
      <c r="G21" s="2">
        <f>MATCH(B21,'Points Summary'!$B$4:$B$1144,0)</f>
        <v>247</v>
      </c>
    </row>
  </sheetData>
  <sortState ref="A8:G20">
    <sortCondition descending="1" ref="D8:D20"/>
  </sortState>
  <printOptions horizontalCentered="1"/>
  <pageMargins left="0.7" right="0.7" top="0.75" bottom="0.75" header="0.3" footer="0.3"/>
  <pageSetup orientation="portrait" r:id="rId1"/>
  <headerFooter>
    <oddHeader>&amp;L&amp;"Tahoma,Bold"&amp;11U.S. Biathlon Association&amp;R&amp;"Tahoma,Bold"&amp;11 2015 Race Points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/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42791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44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258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742</v>
      </c>
      <c r="C5" s="22"/>
      <c r="D5" s="22"/>
      <c r="E5" s="22" t="s">
        <v>55</v>
      </c>
      <c r="F5" s="38">
        <f>AVERAGE(C8:C12)*(AVERAGE(D8:D12)/100)</f>
        <v>2.8714343614952103E-2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</v>
      </c>
      <c r="B8" s="3" t="s">
        <v>947</v>
      </c>
      <c r="C8" s="28">
        <f>TIME(0,57,6)</f>
        <v>3.965277777777778E-2</v>
      </c>
      <c r="D8" s="29">
        <f>INDEX('Points Summary'!$F$4:$F$1143,G8)</f>
        <v>75.795752491003284</v>
      </c>
      <c r="E8" s="124">
        <f>(AVERAGE($D$8:$D$12)/100*AVERAGE($C$8:$C$12))/C8</f>
        <v>0.72414456752243483</v>
      </c>
      <c r="F8" s="3"/>
      <c r="G8" s="2">
        <f>MATCH(B8,'Points Summary'!$B$4:$B$1144,0)</f>
        <v>425</v>
      </c>
    </row>
    <row r="9" spans="1:7" x14ac:dyDescent="0.25">
      <c r="A9" s="2">
        <v>2</v>
      </c>
      <c r="B9" s="3" t="s">
        <v>948</v>
      </c>
      <c r="C9" s="28">
        <f>TIME(1,1,27)</f>
        <v>4.2673611111111114E-2</v>
      </c>
      <c r="D9" s="29">
        <f>INDEX('Points Summary'!$F$4:$F$1143,G9)</f>
        <v>68.104283723343599</v>
      </c>
      <c r="E9" s="124">
        <f t="shared" ref="E9:E21" si="0">(AVERAGE($D$8:$D$12)/100*AVERAGE($C$8:$C$12))/C9</f>
        <v>0.6728829097726774</v>
      </c>
      <c r="F9" s="3"/>
      <c r="G9" s="2">
        <f>MATCH(B9,'Points Summary'!$B$4:$B$1144,0)</f>
        <v>4</v>
      </c>
    </row>
    <row r="10" spans="1:7" x14ac:dyDescent="0.25">
      <c r="A10" s="2">
        <v>1</v>
      </c>
      <c r="B10" s="3" t="s">
        <v>941</v>
      </c>
      <c r="C10" s="28">
        <f>TIME(0,56,7)</f>
        <v>3.8969907407407404E-2</v>
      </c>
      <c r="D10" s="29">
        <f>INDEX('Points Summary'!$F$4:$F$1143,G10)</f>
        <v>68.20924978926152</v>
      </c>
      <c r="E10" s="124">
        <f t="shared" si="0"/>
        <v>0.73683376546832846</v>
      </c>
      <c r="F10" s="3"/>
      <c r="G10" s="2">
        <f>MATCH(B10,'Points Summary'!$B$4:$B$1144,0)</f>
        <v>151</v>
      </c>
    </row>
    <row r="11" spans="1:7" x14ac:dyDescent="0.25">
      <c r="A11" s="2">
        <v>1</v>
      </c>
      <c r="B11" t="s">
        <v>954</v>
      </c>
      <c r="C11" s="28">
        <f>TIME(1,6,9)</f>
        <v>4.5937499999999999E-2</v>
      </c>
      <c r="D11" s="29">
        <f>INDEX('Points Summary'!$F$4:$F$1143,G11)</f>
        <v>61.662453318181292</v>
      </c>
      <c r="E11" s="124">
        <f t="shared" si="0"/>
        <v>0.6250741467200458</v>
      </c>
      <c r="F11" s="3"/>
      <c r="G11" s="2">
        <f>MATCH(B11,'Points Summary'!$B$4:$B$1144,0)</f>
        <v>110</v>
      </c>
    </row>
    <row r="12" spans="1:7" x14ac:dyDescent="0.25">
      <c r="A12" s="2">
        <v>3</v>
      </c>
      <c r="B12" t="s">
        <v>949</v>
      </c>
      <c r="C12" s="28">
        <f>TIME(1,4,18)</f>
        <v>4.4652777777777784E-2</v>
      </c>
      <c r="D12" s="29">
        <f>INDEX('Points Summary'!$F$4:$F$1143,G12)</f>
        <v>65.022067464120298</v>
      </c>
      <c r="E12" s="124">
        <f t="shared" si="0"/>
        <v>0.64305839510934715</v>
      </c>
      <c r="F12" s="3"/>
      <c r="G12" s="2">
        <f>MATCH(B12,'Points Summary'!$B$4:$B$1144,0)</f>
        <v>278</v>
      </c>
    </row>
    <row r="13" spans="1:7" x14ac:dyDescent="0.25">
      <c r="A13" s="2">
        <v>1</v>
      </c>
      <c r="B13" s="3" t="s">
        <v>943</v>
      </c>
      <c r="C13" s="28">
        <f>TIME(1,7,6)</f>
        <v>4.6597222222222227E-2</v>
      </c>
      <c r="D13" s="29">
        <f>INDEX('Points Summary'!$F$4:$F$1143,G13)</f>
        <v>60.150230555196153</v>
      </c>
      <c r="E13" s="124">
        <f t="shared" si="0"/>
        <v>0.61622436371879319</v>
      </c>
      <c r="F13" s="3"/>
      <c r="G13" s="2">
        <f>MATCH(B13,'Points Summary'!$B$4:$B$1144,0)</f>
        <v>199</v>
      </c>
    </row>
    <row r="14" spans="1:7" x14ac:dyDescent="0.25">
      <c r="A14" s="2">
        <v>4</v>
      </c>
      <c r="B14" t="s">
        <v>950</v>
      </c>
      <c r="C14" s="28">
        <f>TIME(1,10,58)</f>
        <v>4.9282407407407407E-2</v>
      </c>
      <c r="D14" s="29">
        <f>INDEX('Points Summary'!$F$4:$F$1143,G14)</f>
        <v>59.914210747568333</v>
      </c>
      <c r="E14" s="124">
        <f t="shared" si="0"/>
        <v>0.58264896391072374</v>
      </c>
      <c r="F14" s="3"/>
      <c r="G14" s="2">
        <f>MATCH(B14,'Points Summary'!$B$4:$B$1144,0)</f>
        <v>392</v>
      </c>
    </row>
    <row r="15" spans="1:7" x14ac:dyDescent="0.25">
      <c r="A15" s="2">
        <v>2</v>
      </c>
      <c r="B15" s="3" t="s">
        <v>438</v>
      </c>
      <c r="C15" s="28">
        <f>TIME(1,18,34)</f>
        <v>5.4560185185185184E-2</v>
      </c>
      <c r="D15" s="29" t="e">
        <f>INDEX('Points Summary'!$F$4:$F$1143,G15)</f>
        <v>#N/A</v>
      </c>
      <c r="E15" s="124">
        <f t="shared" si="0"/>
        <v>0.52628750282814207</v>
      </c>
      <c r="F15" s="3"/>
      <c r="G15" s="2" t="e">
        <f>MATCH(B15,'Points Summary'!$B$4:$B$1144,0)</f>
        <v>#N/A</v>
      </c>
    </row>
    <row r="16" spans="1:7" x14ac:dyDescent="0.25">
      <c r="A16" s="2">
        <v>5</v>
      </c>
      <c r="B16" t="s">
        <v>952</v>
      </c>
      <c r="C16" s="28">
        <f>TIME(1,19,44)</f>
        <v>5.5370370370370368E-2</v>
      </c>
      <c r="D16" s="29">
        <f>INDEX('Points Summary'!$F$4:$F$1143,G16)</f>
        <v>51.435829495418268</v>
      </c>
      <c r="E16" s="124">
        <f t="shared" si="0"/>
        <v>0.51858680776167676</v>
      </c>
      <c r="F16" s="3"/>
      <c r="G16" s="2">
        <f>MATCH(B16,'Points Summary'!$B$4:$B$1144,0)</f>
        <v>416</v>
      </c>
    </row>
    <row r="17" spans="1:7" x14ac:dyDescent="0.25">
      <c r="A17" s="2">
        <v>6</v>
      </c>
      <c r="B17" t="s">
        <v>958</v>
      </c>
      <c r="C17" s="28">
        <f>TIME(1,33,50)</f>
        <v>6.5162037037037032E-2</v>
      </c>
      <c r="D17" s="29">
        <f>INDEX('Points Summary'!$F$4:$F$1143,G17)</f>
        <v>42.136488704099797</v>
      </c>
      <c r="E17" s="124">
        <f t="shared" si="0"/>
        <v>0.44066061959713354</v>
      </c>
      <c r="F17" s="3"/>
      <c r="G17" s="2">
        <f>MATCH(B17,'Points Summary'!$B$4:$B$1144,0)</f>
        <v>92</v>
      </c>
    </row>
    <row r="18" spans="1:7" x14ac:dyDescent="0.25">
      <c r="A18" s="2">
        <v>3</v>
      </c>
      <c r="B18" t="s">
        <v>533</v>
      </c>
      <c r="C18" s="28">
        <f>TIME(1,23,3)</f>
        <v>5.7673611111111113E-2</v>
      </c>
      <c r="D18" s="29" t="e">
        <f>INDEX('Points Summary'!$F$4:$F$1143,G18)</f>
        <v>#N/A</v>
      </c>
      <c r="E18" s="124">
        <f t="shared" si="0"/>
        <v>0.49787663823637601</v>
      </c>
      <c r="F18" s="3"/>
      <c r="G18" s="2" t="e">
        <f>MATCH(B18,'Points Summary'!$B$4:$B$1144,0)</f>
        <v>#N/A</v>
      </c>
    </row>
    <row r="19" spans="1:7" x14ac:dyDescent="0.25">
      <c r="A19" s="2">
        <v>2</v>
      </c>
      <c r="B19" s="3" t="s">
        <v>942</v>
      </c>
      <c r="C19" s="28">
        <f>TIME(1,23,35)</f>
        <v>5.8043981481481481E-2</v>
      </c>
      <c r="D19" s="29">
        <f>INDEX('Points Summary'!$F$4:$F$1143,G19)</f>
        <v>49.890461050126262</v>
      </c>
      <c r="E19" s="124">
        <f t="shared" si="0"/>
        <v>0.49469975839119873</v>
      </c>
      <c r="F19" s="3"/>
      <c r="G19" s="2">
        <f>MATCH(B19,'Points Summary'!$B$4:$B$1144,0)</f>
        <v>294</v>
      </c>
    </row>
    <row r="20" spans="1:7" x14ac:dyDescent="0.25">
      <c r="A20" s="2">
        <v>4</v>
      </c>
      <c r="B20" t="s">
        <v>955</v>
      </c>
      <c r="C20" s="28">
        <f>TIME(1,33,52)</f>
        <v>6.5185185185185179E-2</v>
      </c>
      <c r="D20" s="29">
        <f>INDEX('Points Summary'!$F$4:$F$1143,G20)</f>
        <v>46.1958590881178</v>
      </c>
      <c r="E20" s="124">
        <f t="shared" si="0"/>
        <v>0.44050413500210617</v>
      </c>
      <c r="F20" s="3"/>
      <c r="G20" s="2">
        <f>MATCH(B20,'Points Summary'!$B$4:$B$1144,0)</f>
        <v>453</v>
      </c>
    </row>
    <row r="21" spans="1:7" x14ac:dyDescent="0.25">
      <c r="A21" s="2">
        <v>1</v>
      </c>
      <c r="B21" s="3" t="s">
        <v>961</v>
      </c>
      <c r="C21" s="28">
        <f>TIME(1,5,32)</f>
        <v>4.5509259259259256E-2</v>
      </c>
      <c r="D21" s="29">
        <f>INDEX('Points Summary'!$F$4:$F$1143,G21)</f>
        <v>57.227419983761088</v>
      </c>
      <c r="E21" s="124">
        <f t="shared" si="0"/>
        <v>0.6309560753641561</v>
      </c>
      <c r="F21" s="3"/>
      <c r="G21" s="2">
        <f>MATCH(B21,'Points Summary'!$B$4:$B$1144,0)</f>
        <v>205</v>
      </c>
    </row>
  </sheetData>
  <sortState ref="A8:G21">
    <sortCondition descending="1" ref="D8:D21"/>
  </sortState>
  <printOptions horizontalCentered="1"/>
  <pageMargins left="0.7" right="0.7" top="0.75" bottom="0.75" header="0.3" footer="0.3"/>
  <pageSetup orientation="portrait" r:id="rId1"/>
  <headerFooter>
    <oddHeader>&amp;L&amp;"Tahoma,Bold"&amp;11U.S. Biathlon Association&amp;R&amp;"Tahoma,Bold"&amp;11 2017 Race Points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/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42792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258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742</v>
      </c>
      <c r="C5" s="22"/>
      <c r="D5" s="22"/>
      <c r="E5" s="22" t="s">
        <v>55</v>
      </c>
      <c r="F5" s="38" t="e">
        <f>AVERAGE(C8:C12)*(AVERAGE(D8:D12)/100)</f>
        <v>#N/A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</v>
      </c>
      <c r="B8" s="3" t="s">
        <v>947</v>
      </c>
      <c r="C8" s="28">
        <f>TIME(0,26,54)</f>
        <v>1.8680555555555554E-2</v>
      </c>
      <c r="D8" s="29">
        <f>INDEX('Points Summary'!$F$4:$F$1143,G8)</f>
        <v>75.795752491003284</v>
      </c>
      <c r="E8" s="30" t="e">
        <f t="shared" ref="E8:E23" si="0">(AVERAGE($D$8:$D$12)/100*AVERAGE($C$8:$C$12))/C8</f>
        <v>#N/A</v>
      </c>
      <c r="F8" s="3"/>
      <c r="G8" s="2">
        <f>MATCH(B8,'Points Summary'!$B$4:$B$1144,0)</f>
        <v>425</v>
      </c>
    </row>
    <row r="9" spans="1:7" x14ac:dyDescent="0.25">
      <c r="A9" s="2">
        <v>1</v>
      </c>
      <c r="B9" s="3" t="s">
        <v>962</v>
      </c>
      <c r="C9" s="28">
        <f>TIME(0,43,40)</f>
        <v>3.0324074074074073E-2</v>
      </c>
      <c r="D9" s="29" t="e">
        <f>INDEX('Points Summary'!$F$4:$F$1143,G9)</f>
        <v>#N/A</v>
      </c>
      <c r="E9" s="30" t="e">
        <f t="shared" si="0"/>
        <v>#N/A</v>
      </c>
      <c r="F9" s="3"/>
      <c r="G9" s="2" t="e">
        <f>MATCH(B9,'Points Summary'!$B$4:$B$1144,0)</f>
        <v>#N/A</v>
      </c>
    </row>
    <row r="10" spans="1:7" x14ac:dyDescent="0.25">
      <c r="A10" s="2">
        <v>2</v>
      </c>
      <c r="B10" s="3" t="s">
        <v>948</v>
      </c>
      <c r="C10" s="28">
        <f>TIME(0,27,57)</f>
        <v>1.9409722222222221E-2</v>
      </c>
      <c r="D10" s="29">
        <f>INDEX('Points Summary'!$F$4:$F$1143,G10)</f>
        <v>68.104283723343599</v>
      </c>
      <c r="E10" s="30" t="e">
        <f t="shared" si="0"/>
        <v>#N/A</v>
      </c>
      <c r="F10" s="3"/>
      <c r="G10" s="2">
        <f>MATCH(B10,'Points Summary'!$B$4:$B$1144,0)</f>
        <v>4</v>
      </c>
    </row>
    <row r="11" spans="1:7" x14ac:dyDescent="0.25">
      <c r="A11" s="2">
        <v>1</v>
      </c>
      <c r="B11" s="3" t="s">
        <v>941</v>
      </c>
      <c r="C11" s="28">
        <f>TIME(0,30,38)</f>
        <v>2.1273148148148149E-2</v>
      </c>
      <c r="D11" s="29">
        <f>INDEX('Points Summary'!$F$4:$F$1143,G11)</f>
        <v>68.20924978926152</v>
      </c>
      <c r="E11" s="30" t="e">
        <f t="shared" si="0"/>
        <v>#N/A</v>
      </c>
      <c r="F11" s="3"/>
      <c r="G11" s="2">
        <f>MATCH(B11,'Points Summary'!$B$4:$B$1144,0)</f>
        <v>151</v>
      </c>
    </row>
    <row r="12" spans="1:7" x14ac:dyDescent="0.25">
      <c r="A12" s="2">
        <v>1</v>
      </c>
      <c r="B12" s="3" t="s">
        <v>954</v>
      </c>
      <c r="C12" s="28">
        <f>TIME(0,36,41)</f>
        <v>2.5474537037037035E-2</v>
      </c>
      <c r="D12" s="29">
        <f>INDEX('Points Summary'!$F$4:$F$1143,G12)</f>
        <v>61.662453318181292</v>
      </c>
      <c r="E12" s="30" t="e">
        <f t="shared" si="0"/>
        <v>#N/A</v>
      </c>
      <c r="F12" s="3"/>
      <c r="G12" s="2">
        <f>MATCH(B12,'Points Summary'!$B$4:$B$1144,0)</f>
        <v>110</v>
      </c>
    </row>
    <row r="13" spans="1:7" x14ac:dyDescent="0.25">
      <c r="A13" s="2">
        <v>3</v>
      </c>
      <c r="B13" s="3" t="s">
        <v>949</v>
      </c>
      <c r="C13" s="28">
        <f>TIME(0,30,5)</f>
        <v>2.0891203703703703E-2</v>
      </c>
      <c r="D13" s="29">
        <f>INDEX('Points Summary'!$F$4:$F$1143,G13)</f>
        <v>65.022067464120298</v>
      </c>
      <c r="E13" s="30" t="e">
        <f t="shared" si="0"/>
        <v>#N/A</v>
      </c>
      <c r="F13" s="3"/>
      <c r="G13" s="2">
        <f>MATCH(B13,'Points Summary'!$B$4:$B$1144,0)</f>
        <v>278</v>
      </c>
    </row>
    <row r="14" spans="1:7" x14ac:dyDescent="0.25">
      <c r="A14" s="2">
        <v>1</v>
      </c>
      <c r="B14" s="3" t="s">
        <v>943</v>
      </c>
      <c r="C14" s="28">
        <f>TIME(0,32,2)</f>
        <v>2.224537037037037E-2</v>
      </c>
      <c r="D14" s="29">
        <f>INDEX('Points Summary'!$F$4:$F$1143,G14)</f>
        <v>60.150230555196153</v>
      </c>
      <c r="E14" s="30" t="e">
        <f t="shared" si="0"/>
        <v>#N/A</v>
      </c>
      <c r="F14" s="3"/>
      <c r="G14" s="2">
        <f>MATCH(B14,'Points Summary'!$B$4:$B$1144,0)</f>
        <v>199</v>
      </c>
    </row>
    <row r="15" spans="1:7" x14ac:dyDescent="0.25">
      <c r="A15" s="2">
        <v>4</v>
      </c>
      <c r="B15" s="3" t="s">
        <v>950</v>
      </c>
      <c r="C15" s="28">
        <f>TIME(0,34,40)</f>
        <v>2.4074074074074071E-2</v>
      </c>
      <c r="D15" s="29">
        <f>INDEX('Points Summary'!$F$4:$F$1143,G15)</f>
        <v>59.914210747568333</v>
      </c>
      <c r="E15" s="30" t="e">
        <f t="shared" si="0"/>
        <v>#N/A</v>
      </c>
      <c r="F15" s="3"/>
      <c r="G15" s="2">
        <f>MATCH(B15,'Points Summary'!$B$4:$B$1144,0)</f>
        <v>392</v>
      </c>
    </row>
    <row r="16" spans="1:7" x14ac:dyDescent="0.25">
      <c r="A16" s="2">
        <v>2</v>
      </c>
      <c r="B16" s="3" t="s">
        <v>966</v>
      </c>
      <c r="C16" s="28">
        <f>TIME(0,41,24)</f>
        <v>2.8749999999999998E-2</v>
      </c>
      <c r="D16" s="29" t="e">
        <f>INDEX('Points Summary'!$F$4:$F$1143,G16)</f>
        <v>#N/A</v>
      </c>
      <c r="E16" s="30" t="e">
        <f t="shared" si="0"/>
        <v>#N/A</v>
      </c>
      <c r="F16" s="3"/>
      <c r="G16" s="2" t="e">
        <f>MATCH(B16,'Points Summary'!$B$4:$B$1144,0)</f>
        <v>#N/A</v>
      </c>
    </row>
    <row r="17" spans="1:7" x14ac:dyDescent="0.25">
      <c r="A17" s="2">
        <v>5</v>
      </c>
      <c r="B17" s="3" t="s">
        <v>952</v>
      </c>
      <c r="C17" s="28">
        <f>TIME(0,36,57)</f>
        <v>2.5659722222222223E-2</v>
      </c>
      <c r="D17" s="29">
        <f>INDEX('Points Summary'!$F$4:$F$1143,G17)</f>
        <v>51.435829495418268</v>
      </c>
      <c r="E17" s="30" t="e">
        <f t="shared" si="0"/>
        <v>#N/A</v>
      </c>
      <c r="F17" s="3"/>
      <c r="G17" s="2">
        <f>MATCH(B17,'Points Summary'!$B$4:$B$1144,0)</f>
        <v>416</v>
      </c>
    </row>
    <row r="18" spans="1:7" x14ac:dyDescent="0.25">
      <c r="A18" s="2">
        <v>3</v>
      </c>
      <c r="B18" s="3" t="s">
        <v>965</v>
      </c>
      <c r="C18" s="28">
        <f>TIME(0,42,8)</f>
        <v>2.9259259259259259E-2</v>
      </c>
      <c r="D18" s="29" t="e">
        <f>INDEX('Points Summary'!$F$4:$F$1143,G18)</f>
        <v>#N/A</v>
      </c>
      <c r="E18" s="30" t="e">
        <f t="shared" si="0"/>
        <v>#N/A</v>
      </c>
      <c r="F18" s="3"/>
      <c r="G18" s="2" t="e">
        <f>MATCH(B18,'Points Summary'!$B$4:$B$1144,0)</f>
        <v>#N/A</v>
      </c>
    </row>
    <row r="19" spans="1:7" x14ac:dyDescent="0.25">
      <c r="A19" s="2">
        <v>3</v>
      </c>
      <c r="B19" s="3" t="s">
        <v>942</v>
      </c>
      <c r="C19" s="28">
        <f>TIME(0,46,1)</f>
        <v>3.1956018518518516E-2</v>
      </c>
      <c r="D19" s="29">
        <f>INDEX('Points Summary'!$F$4:$F$1143,G19)</f>
        <v>49.890461050126262</v>
      </c>
      <c r="E19" s="30" t="e">
        <f t="shared" si="0"/>
        <v>#N/A</v>
      </c>
      <c r="F19" s="3"/>
      <c r="G19" s="2">
        <f>MATCH(B19,'Points Summary'!$B$4:$B$1144,0)</f>
        <v>294</v>
      </c>
    </row>
    <row r="20" spans="1:7" x14ac:dyDescent="0.25">
      <c r="A20" s="2">
        <v>4</v>
      </c>
      <c r="B20" s="3" t="s">
        <v>955</v>
      </c>
      <c r="C20" s="28">
        <f>TIME(0,53,24)</f>
        <v>3.7083333333333336E-2</v>
      </c>
      <c r="D20" s="29">
        <f>INDEX('Points Summary'!$F$4:$F$1143,G20)</f>
        <v>46.1958590881178</v>
      </c>
      <c r="E20" s="30" t="e">
        <f t="shared" si="0"/>
        <v>#N/A</v>
      </c>
      <c r="F20" s="3"/>
      <c r="G20" s="2">
        <f>MATCH(B20,'Points Summary'!$B$4:$B$1144,0)</f>
        <v>453</v>
      </c>
    </row>
    <row r="21" spans="1:7" x14ac:dyDescent="0.25">
      <c r="A21" s="2">
        <v>2</v>
      </c>
      <c r="B21" s="3" t="s">
        <v>963</v>
      </c>
      <c r="C21" s="28">
        <f>TIME(0,42,42)</f>
        <v>2.9652777777777778E-2</v>
      </c>
      <c r="D21" s="29" t="e">
        <f>INDEX('Points Summary'!$F$4:$F$1143,G21)</f>
        <v>#N/A</v>
      </c>
      <c r="E21" s="30" t="e">
        <f t="shared" si="0"/>
        <v>#N/A</v>
      </c>
      <c r="F21" s="3"/>
      <c r="G21" s="2" t="e">
        <f>MATCH(B21,'Points Summary'!$B$4:$B$1144,0)</f>
        <v>#N/A</v>
      </c>
    </row>
    <row r="22" spans="1:7" x14ac:dyDescent="0.25">
      <c r="A22" s="2">
        <v>2</v>
      </c>
      <c r="B22" s="3" t="s">
        <v>964</v>
      </c>
      <c r="C22" s="28">
        <f>TIME(0,49,5)</f>
        <v>3.408564814814815E-2</v>
      </c>
      <c r="D22" s="29">
        <f>INDEX('Points Summary'!$F$4:$F$1143,G22)</f>
        <v>43.852882186675011</v>
      </c>
      <c r="E22" s="30" t="e">
        <f t="shared" si="0"/>
        <v>#N/A</v>
      </c>
      <c r="F22" s="3"/>
      <c r="G22" s="2">
        <f>MATCH(B22,'Points Summary'!$B$4:$B$1144,0)</f>
        <v>58</v>
      </c>
    </row>
    <row r="23" spans="1:7" x14ac:dyDescent="0.25">
      <c r="A23" s="2">
        <v>6</v>
      </c>
      <c r="B23" s="3" t="s">
        <v>945</v>
      </c>
      <c r="C23" s="28">
        <f>TIME(0,55,28)</f>
        <v>3.8518518518518521E-2</v>
      </c>
      <c r="D23" s="29">
        <f>INDEX('Points Summary'!$F$4:$F$1143,G23)</f>
        <v>34.831596322857962</v>
      </c>
      <c r="E23" s="30" t="e">
        <f t="shared" si="0"/>
        <v>#N/A</v>
      </c>
      <c r="F23" s="3"/>
      <c r="G23" s="2">
        <f>MATCH(B23,'Points Summary'!$B$4:$B$1144,0)</f>
        <v>409</v>
      </c>
    </row>
    <row r="24" spans="1:7" x14ac:dyDescent="0.25">
      <c r="A24" s="42"/>
      <c r="B24" s="3"/>
      <c r="C24" s="28"/>
      <c r="D24" s="29"/>
      <c r="E24" s="30"/>
      <c r="F24" s="3"/>
      <c r="G24" s="2"/>
    </row>
  </sheetData>
  <sortState ref="A8:G23">
    <sortCondition descending="1" ref="D8:D23"/>
  </sortState>
  <pageMargins left="0.7" right="0.7" top="0.75" bottom="0.75" header="0.3" footer="0.3"/>
  <pageSetup orientation="portrait" r:id="rId1"/>
  <headerFooter>
    <oddHeader>&amp;L&amp;"Tahoma,Bold"&amp;11U.S. Biathlon Association&amp;R&amp;"Tahoma,Bold"&amp;11 2017 Race Points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6"/>
  <sheetViews>
    <sheetView workbookViewId="0">
      <selection activeCell="E9" sqref="E9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1019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43086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25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1023</v>
      </c>
      <c r="C5" s="22"/>
      <c r="D5" s="22"/>
      <c r="E5" s="22" t="s">
        <v>55</v>
      </c>
      <c r="F5" s="38">
        <f>AVERAGE(C8:C9)*(AVERAGE(D8:D9)/100)</f>
        <v>2.6289465270288477E-2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24</v>
      </c>
      <c r="B8" s="3" t="s">
        <v>189</v>
      </c>
      <c r="C8" s="51">
        <v>2.7346064814814813E-2</v>
      </c>
      <c r="D8" s="29">
        <f>INDEX('Points Summary'!$H$4:$H$1143,G8)</f>
        <v>93.909537275665315</v>
      </c>
      <c r="E8" s="30">
        <f>(AVERAGE($D$8:$D$9)/100*AVERAGE($C$8:$C$9))/C8</f>
        <v>0.96136191617764621</v>
      </c>
      <c r="F8" s="3"/>
      <c r="G8" s="2">
        <f>MATCH(B8,'Points Summary'!$B$4:$B$1144,0)</f>
        <v>120</v>
      </c>
    </row>
    <row r="9" spans="1:7" x14ac:dyDescent="0.25">
      <c r="A9" s="2">
        <v>23</v>
      </c>
      <c r="B9" s="114" t="s">
        <v>84</v>
      </c>
      <c r="C9" s="51">
        <v>2.6883101851851849E-2</v>
      </c>
      <c r="D9" s="29">
        <f>INDEX('Points Summary'!$H$4:$H$1143,G9)</f>
        <v>100.00430567075759</v>
      </c>
      <c r="E9" s="30">
        <f>(AVERAGE($D$8:$D$9)/100*AVERAGE($C$8:$C$9))/C9</f>
        <v>0.97791785394279274</v>
      </c>
      <c r="F9" s="3"/>
      <c r="G9" s="2">
        <f>MATCH(B9,'Points Summary'!$B$4:$B$1144,0)</f>
        <v>13</v>
      </c>
    </row>
    <row r="10" spans="1:7" x14ac:dyDescent="0.25">
      <c r="A10" s="2"/>
      <c r="B10" s="3"/>
      <c r="C10" s="51"/>
      <c r="D10" s="29"/>
      <c r="E10" s="30"/>
      <c r="F10" s="3"/>
      <c r="G10" s="2"/>
    </row>
    <row r="11" spans="1:7" x14ac:dyDescent="0.25">
      <c r="A11" s="2"/>
      <c r="B11" s="114"/>
      <c r="C11" s="51"/>
      <c r="D11" s="29"/>
      <c r="E11" s="30"/>
      <c r="F11" s="3"/>
      <c r="G11" s="2"/>
    </row>
    <row r="12" spans="1:7" x14ac:dyDescent="0.25">
      <c r="A12" s="2"/>
      <c r="B12" s="114"/>
      <c r="C12" s="51"/>
      <c r="D12" s="29"/>
      <c r="E12" s="30"/>
      <c r="F12" s="3"/>
      <c r="G12" s="2"/>
    </row>
    <row r="13" spans="1:7" x14ac:dyDescent="0.25">
      <c r="A13" s="2"/>
      <c r="B13" s="114"/>
      <c r="C13" s="51"/>
      <c r="D13" s="29"/>
      <c r="E13" s="30"/>
      <c r="F13" s="3"/>
      <c r="G13" s="2"/>
    </row>
    <row r="14" spans="1:7" x14ac:dyDescent="0.25">
      <c r="A14" s="2"/>
      <c r="B14" s="3"/>
      <c r="C14" s="51"/>
      <c r="D14" s="29"/>
      <c r="E14" s="30"/>
      <c r="F14" s="3"/>
      <c r="G14" s="2"/>
    </row>
    <row r="15" spans="1:7" x14ac:dyDescent="0.25">
      <c r="A15" s="2"/>
      <c r="B15" s="3"/>
      <c r="C15" s="51"/>
      <c r="D15" s="29"/>
      <c r="E15" s="30"/>
      <c r="F15" s="3"/>
      <c r="G15" s="2"/>
    </row>
    <row r="16" spans="1:7" x14ac:dyDescent="0.25">
      <c r="A16" s="42"/>
      <c r="B16" s="3"/>
      <c r="C16" s="51"/>
      <c r="D16" s="29"/>
      <c r="E16" s="30"/>
      <c r="F16" s="3"/>
      <c r="G16" s="2"/>
    </row>
    <row r="17" spans="1:7" x14ac:dyDescent="0.25">
      <c r="A17" s="2"/>
      <c r="B17" s="114"/>
      <c r="C17" s="51"/>
      <c r="D17" s="29"/>
      <c r="E17" s="30"/>
      <c r="F17" s="3"/>
      <c r="G17" s="2"/>
    </row>
    <row r="18" spans="1:7" x14ac:dyDescent="0.25">
      <c r="A18" s="42"/>
      <c r="B18" s="3"/>
      <c r="C18" s="51"/>
      <c r="D18" s="51"/>
      <c r="E18" s="51"/>
      <c r="F18" s="3"/>
      <c r="G18" s="2"/>
    </row>
    <row r="19" spans="1:7" x14ac:dyDescent="0.25">
      <c r="A19" s="2"/>
      <c r="B19" s="3"/>
      <c r="C19" s="51"/>
      <c r="D19" s="51"/>
      <c r="E19" s="51"/>
      <c r="F19" s="3"/>
      <c r="G19" s="2"/>
    </row>
    <row r="20" spans="1:7" x14ac:dyDescent="0.25">
      <c r="A20" s="42"/>
      <c r="B20" s="3"/>
      <c r="C20" s="51"/>
      <c r="D20" s="51"/>
      <c r="E20" s="51"/>
      <c r="F20" s="3"/>
      <c r="G20" s="2"/>
    </row>
    <row r="21" spans="1:7" x14ac:dyDescent="0.25">
      <c r="A21" s="2"/>
      <c r="B21" s="3"/>
      <c r="C21" s="51"/>
      <c r="D21" s="51"/>
      <c r="E21" s="51"/>
      <c r="F21" s="3"/>
      <c r="G21" s="2"/>
    </row>
    <row r="22" spans="1:7" x14ac:dyDescent="0.25">
      <c r="A22" s="42"/>
      <c r="B22" s="3"/>
      <c r="C22" s="51"/>
      <c r="D22" s="51"/>
      <c r="E22" s="51"/>
      <c r="F22" s="3"/>
      <c r="G22" s="2"/>
    </row>
    <row r="23" spans="1:7" x14ac:dyDescent="0.25">
      <c r="A23" s="2"/>
      <c r="B23" s="3"/>
      <c r="C23" s="51"/>
      <c r="D23" s="29"/>
      <c r="E23" s="30"/>
      <c r="F23" s="3"/>
      <c r="G23" s="2"/>
    </row>
    <row r="24" spans="1:7" x14ac:dyDescent="0.25">
      <c r="A24" s="2"/>
      <c r="B24" s="3"/>
      <c r="C24" s="51"/>
      <c r="D24" s="29"/>
      <c r="E24" s="30"/>
      <c r="F24" s="3"/>
      <c r="G24" s="2"/>
    </row>
    <row r="25" spans="1:7" x14ac:dyDescent="0.25">
      <c r="A25" s="42"/>
      <c r="B25" s="3"/>
      <c r="C25" s="51"/>
      <c r="D25" s="29"/>
      <c r="E25" s="30"/>
      <c r="F25" s="3"/>
      <c r="G25" s="2"/>
    </row>
    <row r="26" spans="1:7" x14ac:dyDescent="0.25">
      <c r="A26" s="42"/>
      <c r="B26" s="3"/>
      <c r="C26" s="51"/>
      <c r="D26" s="29"/>
      <c r="E26" s="30"/>
      <c r="F26" s="3"/>
      <c r="G26" s="2"/>
    </row>
    <row r="27" spans="1:7" x14ac:dyDescent="0.25">
      <c r="A27" s="42"/>
      <c r="B27" s="3"/>
      <c r="C27" s="51"/>
      <c r="D27" s="29"/>
      <c r="E27" s="30"/>
      <c r="F27" s="3"/>
      <c r="G27" s="2"/>
    </row>
    <row r="28" spans="1:7" x14ac:dyDescent="0.25">
      <c r="A28" s="2"/>
      <c r="C28" s="51"/>
      <c r="D28" s="29"/>
      <c r="E28" s="30"/>
      <c r="F28" s="3"/>
      <c r="G28" s="2"/>
    </row>
    <row r="29" spans="1:7" x14ac:dyDescent="0.25">
      <c r="A29" s="2"/>
      <c r="B29" s="3"/>
      <c r="C29" s="51"/>
      <c r="D29" s="29"/>
      <c r="E29" s="30"/>
      <c r="F29" s="3"/>
      <c r="G29" s="2"/>
    </row>
    <row r="30" spans="1:7" x14ac:dyDescent="0.25">
      <c r="A30" s="42"/>
      <c r="B30" s="3"/>
      <c r="C30" s="51"/>
      <c r="D30" s="29"/>
      <c r="E30" s="30"/>
      <c r="F30" s="3"/>
      <c r="G30" s="2"/>
    </row>
    <row r="31" spans="1:7" x14ac:dyDescent="0.25">
      <c r="A31" s="2"/>
      <c r="B31" s="3"/>
      <c r="C31" s="51"/>
      <c r="D31" s="29"/>
      <c r="E31" s="30"/>
      <c r="F31" s="3"/>
      <c r="G31" s="2"/>
    </row>
    <row r="32" spans="1:7" x14ac:dyDescent="0.25">
      <c r="A32" s="2"/>
      <c r="B32" s="3"/>
      <c r="C32" s="28"/>
      <c r="D32" s="29"/>
      <c r="E32" s="30"/>
      <c r="F32" s="3"/>
      <c r="G32" s="2"/>
    </row>
    <row r="33" spans="1:7" x14ac:dyDescent="0.25">
      <c r="A33" s="2"/>
      <c r="B33" s="3"/>
      <c r="C33" s="28"/>
      <c r="D33" s="29"/>
      <c r="E33" s="30"/>
      <c r="F33" s="3"/>
      <c r="G33" s="2"/>
    </row>
    <row r="34" spans="1:7" x14ac:dyDescent="0.25">
      <c r="A34" s="2"/>
      <c r="B34" s="3"/>
      <c r="C34" s="28"/>
      <c r="D34" s="29"/>
      <c r="E34" s="30"/>
      <c r="F34" s="3"/>
      <c r="G34" s="2"/>
    </row>
    <row r="35" spans="1:7" x14ac:dyDescent="0.25">
      <c r="A35" s="2"/>
      <c r="B35" s="3"/>
      <c r="C35" s="28"/>
      <c r="D35" s="29"/>
      <c r="E35" s="30"/>
      <c r="F35" s="3"/>
      <c r="G35" s="2"/>
    </row>
    <row r="36" spans="1:7" x14ac:dyDescent="0.25">
      <c r="A36" s="2"/>
      <c r="B36" s="3"/>
      <c r="C36" s="28"/>
      <c r="D36" s="29"/>
      <c r="E36" s="30"/>
      <c r="F36" s="3"/>
      <c r="G36" s="2"/>
    </row>
    <row r="37" spans="1:7" x14ac:dyDescent="0.25">
      <c r="A37" s="42"/>
      <c r="B37" s="3"/>
      <c r="C37" s="28"/>
      <c r="D37" s="29"/>
      <c r="E37" s="30"/>
      <c r="F37" s="3"/>
      <c r="G37" s="2"/>
    </row>
    <row r="38" spans="1:7" x14ac:dyDescent="0.25">
      <c r="A38" s="42"/>
      <c r="B38" s="3"/>
      <c r="C38" s="28"/>
      <c r="D38" s="29"/>
      <c r="E38" s="30"/>
      <c r="F38" s="3"/>
      <c r="G38" s="2"/>
    </row>
    <row r="39" spans="1:7" x14ac:dyDescent="0.25">
      <c r="A39" s="42"/>
      <c r="B39" s="3"/>
      <c r="C39" s="28"/>
      <c r="D39" s="29"/>
      <c r="E39" s="30"/>
      <c r="F39" s="3"/>
      <c r="G39" s="2"/>
    </row>
    <row r="40" spans="1:7" x14ac:dyDescent="0.25">
      <c r="A40" s="42"/>
      <c r="B40" s="3"/>
      <c r="C40" s="28"/>
      <c r="D40" s="29"/>
      <c r="E40" s="30"/>
      <c r="F40" s="3"/>
      <c r="G40" s="2"/>
    </row>
    <row r="41" spans="1:7" x14ac:dyDescent="0.25">
      <c r="A41" s="2"/>
      <c r="B41" s="3"/>
      <c r="C41" s="28"/>
      <c r="D41" s="29"/>
      <c r="E41" s="30"/>
      <c r="F41" s="3"/>
      <c r="G41" s="2"/>
    </row>
    <row r="42" spans="1:7" x14ac:dyDescent="0.25">
      <c r="A42" s="2"/>
      <c r="B42" s="3"/>
      <c r="C42" s="28"/>
      <c r="D42" s="29"/>
      <c r="E42" s="30"/>
      <c r="F42" s="3"/>
      <c r="G42" s="2"/>
    </row>
    <row r="43" spans="1:7" x14ac:dyDescent="0.25">
      <c r="A43" s="2"/>
      <c r="B43" s="3"/>
      <c r="C43" s="28"/>
      <c r="D43" s="29"/>
      <c r="E43" s="30"/>
      <c r="F43" s="3"/>
      <c r="G43" s="2"/>
    </row>
    <row r="44" spans="1:7" x14ac:dyDescent="0.25">
      <c r="A44" s="2"/>
      <c r="B44" s="3"/>
      <c r="C44" s="28"/>
      <c r="D44" s="29"/>
      <c r="E44" s="30"/>
      <c r="F44" s="3"/>
      <c r="G44" s="2"/>
    </row>
    <row r="45" spans="1:7" x14ac:dyDescent="0.25">
      <c r="A45" s="2"/>
      <c r="B45" s="3"/>
      <c r="C45" s="28"/>
      <c r="D45" s="29"/>
      <c r="E45" s="30"/>
      <c r="F45" s="3"/>
      <c r="G45" s="2"/>
    </row>
    <row r="46" spans="1:7" x14ac:dyDescent="0.25">
      <c r="A46" s="2"/>
      <c r="B46" s="3"/>
      <c r="C46" s="28"/>
      <c r="D46" s="29"/>
      <c r="E46" s="30"/>
      <c r="F46" s="3"/>
      <c r="G46" s="2"/>
    </row>
    <row r="47" spans="1:7" x14ac:dyDescent="0.25">
      <c r="A47" s="2"/>
      <c r="B47" s="3"/>
      <c r="C47" s="28"/>
      <c r="D47" s="29"/>
      <c r="E47" s="30"/>
      <c r="F47" s="3"/>
      <c r="G47" s="2"/>
    </row>
    <row r="48" spans="1:7" x14ac:dyDescent="0.25">
      <c r="A48" s="2"/>
      <c r="B48" s="3"/>
      <c r="C48" s="28"/>
      <c r="D48" s="29"/>
      <c r="E48" s="30"/>
      <c r="F48" s="3"/>
      <c r="G48" s="2"/>
    </row>
    <row r="49" spans="1:7" x14ac:dyDescent="0.25">
      <c r="A49" s="2"/>
      <c r="B49" s="3"/>
      <c r="C49" s="28"/>
      <c r="D49" s="29"/>
      <c r="E49" s="30"/>
      <c r="F49" s="3"/>
      <c r="G49" s="2"/>
    </row>
    <row r="50" spans="1:7" x14ac:dyDescent="0.25">
      <c r="A50" s="2"/>
      <c r="B50" s="3"/>
      <c r="C50" s="28"/>
      <c r="D50" s="29"/>
      <c r="E50" s="30"/>
      <c r="F50" s="3"/>
      <c r="G50" s="2"/>
    </row>
    <row r="51" spans="1:7" x14ac:dyDescent="0.25">
      <c r="A51" s="2"/>
      <c r="B51" s="3"/>
      <c r="C51" s="28"/>
      <c r="D51" s="29"/>
      <c r="E51" s="30"/>
      <c r="F51" s="3"/>
      <c r="G51" s="2"/>
    </row>
    <row r="52" spans="1:7" x14ac:dyDescent="0.25">
      <c r="A52" s="2"/>
      <c r="B52" s="3"/>
      <c r="C52" s="28"/>
      <c r="D52" s="29"/>
      <c r="E52" s="30"/>
      <c r="F52" s="3"/>
      <c r="G52" s="2"/>
    </row>
    <row r="53" spans="1:7" x14ac:dyDescent="0.25">
      <c r="A53" s="2"/>
      <c r="B53" s="3"/>
      <c r="C53" s="28"/>
      <c r="D53" s="29"/>
      <c r="E53" s="30"/>
      <c r="F53" s="3"/>
      <c r="G53" s="2"/>
    </row>
    <row r="54" spans="1:7" x14ac:dyDescent="0.25">
      <c r="A54" s="2"/>
      <c r="B54" s="3"/>
      <c r="C54" s="28"/>
      <c r="D54" s="29"/>
      <c r="E54" s="30"/>
      <c r="F54" s="3"/>
      <c r="G54" s="2"/>
    </row>
    <row r="55" spans="1:7" x14ac:dyDescent="0.25">
      <c r="A55" s="2"/>
      <c r="B55" s="3"/>
      <c r="C55" s="28"/>
      <c r="D55" s="29"/>
      <c r="E55" s="30"/>
      <c r="F55" s="3"/>
      <c r="G55" s="2"/>
    </row>
    <row r="56" spans="1:7" x14ac:dyDescent="0.25">
      <c r="A56" s="2"/>
      <c r="B56" s="3"/>
      <c r="C56" s="28"/>
      <c r="D56" s="29"/>
      <c r="E56" s="30"/>
      <c r="F56" s="3"/>
      <c r="G56" s="2"/>
    </row>
    <row r="57" spans="1:7" x14ac:dyDescent="0.25">
      <c r="A57" s="2"/>
      <c r="B57" s="3"/>
      <c r="C57" s="28"/>
      <c r="D57" s="29"/>
      <c r="E57" s="30"/>
      <c r="F57" s="3"/>
      <c r="G57" s="2"/>
    </row>
    <row r="58" spans="1:7" x14ac:dyDescent="0.25">
      <c r="A58" s="2"/>
      <c r="B58" s="3"/>
      <c r="C58" s="28"/>
      <c r="D58" s="29"/>
      <c r="E58" s="30"/>
      <c r="F58" s="3"/>
      <c r="G58" s="2"/>
    </row>
    <row r="59" spans="1:7" x14ac:dyDescent="0.25">
      <c r="A59" s="2"/>
      <c r="B59" s="3"/>
      <c r="C59" s="28"/>
      <c r="D59" s="29"/>
      <c r="E59" s="30"/>
      <c r="F59" s="3"/>
      <c r="G59" s="2"/>
    </row>
    <row r="60" spans="1:7" x14ac:dyDescent="0.25">
      <c r="A60" s="2"/>
      <c r="B60" s="3"/>
      <c r="C60" s="28"/>
      <c r="D60" s="29"/>
      <c r="E60" s="30"/>
      <c r="F60" s="3"/>
      <c r="G60" s="2"/>
    </row>
    <row r="61" spans="1:7" x14ac:dyDescent="0.25">
      <c r="A61" s="2"/>
      <c r="B61" s="3"/>
      <c r="C61" s="28"/>
      <c r="D61" s="29"/>
      <c r="E61" s="30"/>
      <c r="F61" s="3"/>
      <c r="G61" s="2"/>
    </row>
    <row r="62" spans="1:7" x14ac:dyDescent="0.25">
      <c r="A62" s="2"/>
      <c r="B62" s="3"/>
      <c r="C62" s="28"/>
      <c r="D62" s="29"/>
      <c r="E62" s="30"/>
      <c r="F62" s="3"/>
      <c r="G62" s="2"/>
    </row>
    <row r="63" spans="1:7" x14ac:dyDescent="0.25">
      <c r="A63" s="2"/>
      <c r="B63" s="3"/>
      <c r="C63" s="28"/>
      <c r="D63" s="29"/>
      <c r="E63" s="30"/>
      <c r="F63" s="3"/>
      <c r="G63" s="2"/>
    </row>
    <row r="64" spans="1:7" x14ac:dyDescent="0.25">
      <c r="A64" s="2"/>
      <c r="B64" s="3"/>
      <c r="C64" s="28"/>
      <c r="D64" s="29"/>
      <c r="E64" s="30"/>
      <c r="F64" s="3"/>
      <c r="G64" s="2"/>
    </row>
    <row r="65" spans="1:7" x14ac:dyDescent="0.25">
      <c r="A65" s="2"/>
      <c r="B65" s="3"/>
      <c r="C65" s="28"/>
      <c r="D65" s="29"/>
      <c r="E65" s="30"/>
      <c r="F65" s="3"/>
      <c r="G65" s="2"/>
    </row>
    <row r="66" spans="1:7" x14ac:dyDescent="0.25">
      <c r="A66" s="2"/>
      <c r="B66" s="3"/>
      <c r="C66" s="28"/>
      <c r="D66" s="29"/>
      <c r="E66" s="30"/>
      <c r="F66" s="3"/>
      <c r="G66" s="2"/>
    </row>
  </sheetData>
  <sortState ref="A8:D17">
    <sortCondition descending="1" ref="D8:D17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  <oddFooter>&amp;C&amp;"Tahoma,Regular"Page &amp;P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/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42777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967</v>
      </c>
      <c r="C5" s="22"/>
      <c r="D5" s="22"/>
      <c r="E5" s="22" t="s">
        <v>55</v>
      </c>
      <c r="F5" s="38">
        <f>AVERAGE(C8:C12)*(AVERAGE(D8:D12)/100)</f>
        <v>1.4489594627471162E-2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 t="s">
        <v>972</v>
      </c>
      <c r="B8" s="3" t="s">
        <v>839</v>
      </c>
      <c r="C8" s="28">
        <f>TIME(0,29,31.7)</f>
        <v>2.0497685185185185E-2</v>
      </c>
      <c r="D8" s="29">
        <f>INDEX('Points Summary'!$F$4:$F$1143,G8)</f>
        <v>66.795927850866093</v>
      </c>
      <c r="E8" s="30">
        <f t="shared" ref="E8:E21" si="0">(AVERAGE($D$8:$D$12)/100*AVERAGE($C$8:$C$12))/C8</f>
        <v>0.70688931440627234</v>
      </c>
      <c r="F8" s="3"/>
      <c r="G8" s="2">
        <f>MATCH(B8,'Points Summary'!$B$4:$B$1144,0)</f>
        <v>64</v>
      </c>
    </row>
    <row r="9" spans="1:7" x14ac:dyDescent="0.25">
      <c r="A9" s="2" t="s">
        <v>975</v>
      </c>
      <c r="B9" s="3" t="s">
        <v>910</v>
      </c>
      <c r="C9" s="28">
        <f>TIME(0,37,14.7)</f>
        <v>2.585648148148148E-2</v>
      </c>
      <c r="D9" s="29">
        <f>INDEX('Points Summary'!$F$4:$F$1143,G9)</f>
        <v>63.178695554941498</v>
      </c>
      <c r="E9" s="30">
        <f t="shared" si="0"/>
        <v>0.56038539651455166</v>
      </c>
      <c r="F9" s="3"/>
      <c r="G9" s="2">
        <f>MATCH(B9,'Points Summary'!$B$4:$B$1144,0)</f>
        <v>350</v>
      </c>
    </row>
    <row r="10" spans="1:7" x14ac:dyDescent="0.25">
      <c r="A10" s="2" t="s">
        <v>983</v>
      </c>
      <c r="B10" s="3" t="s">
        <v>155</v>
      </c>
      <c r="C10" s="28">
        <f>TIME(0,29,53.9)</f>
        <v>2.0752314814814814E-2</v>
      </c>
      <c r="D10" s="29">
        <f>INDEX('Points Summary'!$F$4:$F$1143,G10)</f>
        <v>66.28283754655763</v>
      </c>
      <c r="E10" s="30">
        <f t="shared" si="0"/>
        <v>0.69821582588594999</v>
      </c>
      <c r="F10" s="3"/>
      <c r="G10" s="2">
        <f>MATCH(B10,'Points Summary'!$B$4:$B$1144,0)</f>
        <v>204</v>
      </c>
    </row>
    <row r="11" spans="1:7" x14ac:dyDescent="0.25">
      <c r="A11" s="2" t="s">
        <v>982</v>
      </c>
      <c r="B11" s="3" t="s">
        <v>785</v>
      </c>
      <c r="C11" s="28">
        <f>TIME(0,31,56.8)</f>
        <v>2.2175925925925929E-2</v>
      </c>
      <c r="D11" s="29">
        <f>INDEX('Points Summary'!$F$4:$F$1143,G11)</f>
        <v>61.405976272712444</v>
      </c>
      <c r="E11" s="30">
        <f t="shared" si="0"/>
        <v>0.653392993639618</v>
      </c>
      <c r="F11" s="3"/>
      <c r="G11" s="2">
        <f>MATCH(B11,'Points Summary'!$B$4:$B$1144,0)</f>
        <v>430</v>
      </c>
    </row>
    <row r="12" spans="1:7" x14ac:dyDescent="0.25">
      <c r="A12" s="2" t="s">
        <v>985</v>
      </c>
      <c r="B12" s="3" t="s">
        <v>783</v>
      </c>
      <c r="C12" s="28">
        <f>TIME(0,39,40.6)</f>
        <v>2.7546296296296294E-2</v>
      </c>
      <c r="D12" s="29">
        <f>INDEX('Points Summary'!$F$4:$F$1143,G12)</f>
        <v>52.397236396258847</v>
      </c>
      <c r="E12" s="30">
        <f t="shared" si="0"/>
        <v>0.52600881336702032</v>
      </c>
      <c r="F12" s="3"/>
      <c r="G12" s="2">
        <f>MATCH(B12,'Points Summary'!$B$4:$B$1144,0)</f>
        <v>328</v>
      </c>
    </row>
    <row r="13" spans="1:7" x14ac:dyDescent="0.25">
      <c r="A13" s="2" t="s">
        <v>984</v>
      </c>
      <c r="B13" s="3" t="s">
        <v>690</v>
      </c>
      <c r="C13" s="28">
        <f>TIME(0,37,51.3)</f>
        <v>2.6284722222222223E-2</v>
      </c>
      <c r="D13" s="29" t="e">
        <f>INDEX('Points Summary'!$F$4:$F$1143,G13)</f>
        <v>#N/A</v>
      </c>
      <c r="E13" s="30">
        <f t="shared" si="0"/>
        <v>0.5512553834493652</v>
      </c>
      <c r="F13" s="3"/>
      <c r="G13" s="2" t="e">
        <f>MATCH(B13,'Points Summary'!$B$4:$B$1144,0)</f>
        <v>#N/A</v>
      </c>
    </row>
    <row r="14" spans="1:7" x14ac:dyDescent="0.25">
      <c r="A14" s="2" t="s">
        <v>973</v>
      </c>
      <c r="B14" s="3" t="s">
        <v>820</v>
      </c>
      <c r="C14" s="28">
        <f>TIME(0,46,52.5)</f>
        <v>3.2546296296296295E-2</v>
      </c>
      <c r="D14" s="29" t="e">
        <f>INDEX('Points Summary'!$F$4:$F$1143,G14)</f>
        <v>#N/A</v>
      </c>
      <c r="E14" s="30">
        <f t="shared" si="0"/>
        <v>0.44519949353254212</v>
      </c>
      <c r="F14" s="3"/>
      <c r="G14" s="2" t="e">
        <f>MATCH(B14,'Points Summary'!$B$4:$B$1144,0)</f>
        <v>#N/A</v>
      </c>
    </row>
    <row r="15" spans="1:7" x14ac:dyDescent="0.25">
      <c r="A15" s="2" t="s">
        <v>979</v>
      </c>
      <c r="B15" s="3" t="s">
        <v>784</v>
      </c>
      <c r="C15" s="28">
        <f>TIME(0,45,27.8)</f>
        <v>3.15625E-2</v>
      </c>
      <c r="D15" s="29">
        <f>INDEX('Points Summary'!$F$4:$F$1143,G15)</f>
        <v>48.676270052437225</v>
      </c>
      <c r="E15" s="30">
        <f t="shared" si="0"/>
        <v>0.45907626542482888</v>
      </c>
      <c r="F15" s="3"/>
      <c r="G15" s="2">
        <f>MATCH(B15,'Points Summary'!$B$4:$B$1144,0)</f>
        <v>338</v>
      </c>
    </row>
    <row r="16" spans="1:7" x14ac:dyDescent="0.25">
      <c r="A16" s="2" t="s">
        <v>978</v>
      </c>
      <c r="B16" s="3" t="s">
        <v>758</v>
      </c>
      <c r="C16" s="28">
        <f>TIME(0,46,52.8)</f>
        <v>3.2546296296296295E-2</v>
      </c>
      <c r="D16" s="29">
        <f>INDEX('Points Summary'!$F$4:$F$1143,G16)</f>
        <v>45.907986673761499</v>
      </c>
      <c r="E16" s="30">
        <f t="shared" si="0"/>
        <v>0.44519949353254212</v>
      </c>
      <c r="F16" s="3"/>
      <c r="G16" s="2">
        <f>MATCH(B16,'Points Summary'!$B$4:$B$1144,0)</f>
        <v>370</v>
      </c>
    </row>
    <row r="17" spans="1:7" x14ac:dyDescent="0.25">
      <c r="A17" s="2" t="s">
        <v>976</v>
      </c>
      <c r="B17" s="3" t="s">
        <v>821</v>
      </c>
      <c r="C17" s="28">
        <f>TIME(0,49,18.2)</f>
        <v>3.4236111111111113E-2</v>
      </c>
      <c r="D17" s="29">
        <f>INDEX('Points Summary'!$F$4:$F$1143,G17)</f>
        <v>0</v>
      </c>
      <c r="E17" s="30">
        <f t="shared" si="0"/>
        <v>0.4232254820194416</v>
      </c>
      <c r="F17" s="3"/>
      <c r="G17" s="2">
        <f>MATCH(B17,'Points Summary'!$B$4:$B$1144,0)</f>
        <v>277</v>
      </c>
    </row>
    <row r="18" spans="1:7" x14ac:dyDescent="0.25">
      <c r="A18" s="2" t="s">
        <v>977</v>
      </c>
      <c r="B18" s="3" t="s">
        <v>724</v>
      </c>
      <c r="C18" s="28">
        <f>TIME(0,45,42.6)</f>
        <v>3.1736111111111111E-2</v>
      </c>
      <c r="D18" s="29">
        <f>INDEX('Points Summary'!$F$4:$F$1143,G18)</f>
        <v>52.088337517195143</v>
      </c>
      <c r="E18" s="30">
        <f t="shared" si="0"/>
        <v>0.4565649072988725</v>
      </c>
      <c r="F18" s="3"/>
      <c r="G18" s="2">
        <f>MATCH(B18,'Points Summary'!$B$4:$B$1144,0)</f>
        <v>302</v>
      </c>
    </row>
    <row r="19" spans="1:7" x14ac:dyDescent="0.25">
      <c r="A19" s="2" t="s">
        <v>980</v>
      </c>
      <c r="B19" s="3" t="s">
        <v>725</v>
      </c>
      <c r="C19" s="28">
        <f>TIME(1,1,46.7)</f>
        <v>4.2893518518518518E-2</v>
      </c>
      <c r="D19" s="29">
        <f>INDEX('Points Summary'!$F$4:$F$1143,G19)</f>
        <v>36.910937332193264</v>
      </c>
      <c r="E19" s="30">
        <f t="shared" si="0"/>
        <v>0.33780382509808643</v>
      </c>
      <c r="F19" s="3"/>
      <c r="G19" s="2">
        <f>MATCH(B19,'Points Summary'!$B$4:$B$1144,0)</f>
        <v>270</v>
      </c>
    </row>
    <row r="20" spans="1:7" x14ac:dyDescent="0.25">
      <c r="A20" s="2" t="s">
        <v>974</v>
      </c>
      <c r="B20" s="3" t="s">
        <v>970</v>
      </c>
      <c r="C20" s="28">
        <f>TIME(0,46,2.9)</f>
        <v>3.1967592592592589E-2</v>
      </c>
      <c r="D20" s="29">
        <f>INDEX('Points Summary'!$F$4:$F$1143,G20)</f>
        <v>41.854328923749364</v>
      </c>
      <c r="E20" s="30">
        <f t="shared" si="0"/>
        <v>0.45325886162690388</v>
      </c>
      <c r="F20" s="3"/>
      <c r="G20" s="2">
        <f>MATCH(B20,'Points Summary'!$B$4:$B$1144,0)</f>
        <v>27</v>
      </c>
    </row>
    <row r="21" spans="1:7" x14ac:dyDescent="0.25">
      <c r="A21" s="2" t="s">
        <v>981</v>
      </c>
      <c r="B21" s="3" t="s">
        <v>971</v>
      </c>
      <c r="C21" s="28">
        <f>TIME(0,44,15.7)</f>
        <v>3.0729166666666669E-2</v>
      </c>
      <c r="D21" s="29">
        <f>INDEX('Points Summary'!$F$4:$F$1143,G21)</f>
        <v>46.260700403476264</v>
      </c>
      <c r="E21" s="30">
        <f t="shared" si="0"/>
        <v>0.47152579126685812</v>
      </c>
      <c r="F21" s="3"/>
      <c r="G21" s="2">
        <f>MATCH(B21,'Points Summary'!$B$4:$B$1144,0)</f>
        <v>101</v>
      </c>
    </row>
    <row r="22" spans="1:7" x14ac:dyDescent="0.25">
      <c r="A22" s="2"/>
      <c r="B22" s="3"/>
      <c r="C22" s="28"/>
      <c r="D22" s="29"/>
      <c r="E22" s="30"/>
      <c r="F22" s="3"/>
      <c r="G22" s="2"/>
    </row>
    <row r="23" spans="1:7" x14ac:dyDescent="0.25">
      <c r="A23" s="2"/>
      <c r="B23" s="3"/>
      <c r="C23" s="28"/>
      <c r="D23" s="29"/>
      <c r="E23" s="30"/>
      <c r="F23" s="3"/>
      <c r="G23" s="2"/>
    </row>
    <row r="24" spans="1:7" x14ac:dyDescent="0.25">
      <c r="A24" s="42"/>
      <c r="B24" s="3"/>
      <c r="C24" s="28"/>
      <c r="D24" s="29"/>
      <c r="E24" s="30"/>
      <c r="F24" s="3"/>
      <c r="G24" s="2"/>
    </row>
    <row r="25" spans="1:7" x14ac:dyDescent="0.25">
      <c r="A25" s="42"/>
      <c r="B25" s="3"/>
      <c r="C25" s="28"/>
      <c r="D25" s="29"/>
      <c r="E25" s="30"/>
      <c r="F25" s="3"/>
      <c r="G25" s="2"/>
    </row>
    <row r="26" spans="1:7" x14ac:dyDescent="0.25">
      <c r="A26" s="42"/>
      <c r="B26" s="3"/>
      <c r="C26" s="28"/>
      <c r="D26" s="29"/>
      <c r="E26" s="30"/>
      <c r="F26" s="3"/>
      <c r="G26" s="2"/>
    </row>
  </sheetData>
  <sortState ref="A8:G21">
    <sortCondition descending="1" ref="D8:D21"/>
  </sortState>
  <printOptions horizontalCentered="1"/>
  <pageMargins left="0.7" right="0.7" top="0.75" bottom="0.75" header="0.3" footer="0.3"/>
  <pageSetup orientation="portrait" r:id="rId1"/>
  <headerFooter>
    <oddHeader>&amp;L&amp;"Tahoma,Bold"&amp;11U.S. Biathlon Association&amp;R&amp;"Tahoma,Bold"&amp;11 2015 Race Points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workbookViewId="0">
      <selection activeCell="B1" sqref="B1"/>
    </sheetView>
  </sheetViews>
  <sheetFormatPr defaultRowHeight="13.2" x14ac:dyDescent="0.25"/>
  <cols>
    <col min="2" max="2" width="20.6640625" customWidth="1"/>
  </cols>
  <sheetData>
    <row r="1" spans="1:9" x14ac:dyDescent="0.25">
      <c r="A1" s="16" t="s">
        <v>22</v>
      </c>
      <c r="B1" s="17"/>
      <c r="C1" s="18"/>
      <c r="D1" s="18"/>
      <c r="E1" s="18"/>
      <c r="F1" s="18"/>
      <c r="G1" s="19"/>
    </row>
    <row r="2" spans="1:9" x14ac:dyDescent="0.25">
      <c r="A2" s="20" t="s">
        <v>23</v>
      </c>
      <c r="B2" s="21">
        <v>42778</v>
      </c>
      <c r="C2" s="22"/>
      <c r="D2" s="22"/>
      <c r="E2" s="22"/>
      <c r="F2" s="22"/>
      <c r="G2" s="23"/>
    </row>
    <row r="3" spans="1:9" x14ac:dyDescent="0.25">
      <c r="A3" s="20" t="s">
        <v>24</v>
      </c>
      <c r="B3" s="24" t="s">
        <v>44</v>
      </c>
      <c r="C3" s="22"/>
      <c r="D3" s="22"/>
      <c r="E3" s="22"/>
      <c r="F3" s="22"/>
      <c r="G3" s="23"/>
    </row>
    <row r="4" spans="1:9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9" x14ac:dyDescent="0.25">
      <c r="A5" s="20" t="s">
        <v>27</v>
      </c>
      <c r="B5" s="24" t="s">
        <v>967</v>
      </c>
      <c r="C5" s="22"/>
      <c r="D5" s="22"/>
      <c r="E5" s="22" t="s">
        <v>55</v>
      </c>
      <c r="F5" s="38" t="e">
        <f>AVERAGE(C8:C12)*(AVERAGE(D8:D12)/100)</f>
        <v>#N/A</v>
      </c>
      <c r="G5" s="23"/>
    </row>
    <row r="6" spans="1:9" x14ac:dyDescent="0.25">
      <c r="A6" s="25" t="s">
        <v>29</v>
      </c>
      <c r="B6" s="26"/>
      <c r="C6" s="26"/>
      <c r="D6" s="26"/>
      <c r="E6" s="26"/>
      <c r="F6" s="26"/>
      <c r="G6" s="27"/>
    </row>
    <row r="7" spans="1:9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9" x14ac:dyDescent="0.25">
      <c r="A8" s="2">
        <v>1</v>
      </c>
      <c r="B8" s="3" t="s">
        <v>155</v>
      </c>
      <c r="C8" s="28">
        <f>TIME(0,51,5.5)</f>
        <v>3.5474537037037041E-2</v>
      </c>
      <c r="D8" s="29">
        <f>INDEX('Points Summary'!$H$4:$H$1143,G8)</f>
        <v>66.28283754655763</v>
      </c>
      <c r="E8" s="124" t="e">
        <f>(AVERAGE($D$8:$D$12)/100*AVERAGE($C$8:$C$12))/C8</f>
        <v>#N/A</v>
      </c>
      <c r="F8" s="3"/>
      <c r="G8" s="2">
        <f>MATCH(B8,'Points Summary'!$B$4:$B$1144,0)</f>
        <v>204</v>
      </c>
      <c r="I8" s="197"/>
    </row>
    <row r="9" spans="1:9" x14ac:dyDescent="0.25">
      <c r="A9" s="2">
        <v>2</v>
      </c>
      <c r="B9" s="3" t="s">
        <v>785</v>
      </c>
      <c r="C9" s="28">
        <f>TIME(0,53,46.3)</f>
        <v>3.7337962962962962E-2</v>
      </c>
      <c r="D9" s="29">
        <f>INDEX('Points Summary'!$H$4:$H$1143,G9)</f>
        <v>61.405976272712444</v>
      </c>
      <c r="E9" s="124" t="e">
        <f t="shared" ref="E9:E18" si="0">(AVERAGE($D$8:$D$12)/100*AVERAGE($C$8:$C$12))/C9</f>
        <v>#N/A</v>
      </c>
      <c r="F9" s="3"/>
      <c r="G9" s="2">
        <f>MATCH(B9,'Points Summary'!$B$4:$B$1144,0)</f>
        <v>430</v>
      </c>
      <c r="I9" s="197"/>
    </row>
    <row r="10" spans="1:9" x14ac:dyDescent="0.25">
      <c r="A10" s="2">
        <v>3</v>
      </c>
      <c r="B10" s="3" t="s">
        <v>910</v>
      </c>
      <c r="C10" s="28">
        <f>TIME(0,57,30.1)</f>
        <v>3.9930555555555559E-2</v>
      </c>
      <c r="D10" s="29">
        <f>INDEX('Points Summary'!$H$4:$H$1143,G10)</f>
        <v>59.574050773297316</v>
      </c>
      <c r="E10" s="124" t="e">
        <f t="shared" si="0"/>
        <v>#N/A</v>
      </c>
      <c r="F10" s="3"/>
      <c r="G10" s="2">
        <f>MATCH(B10,'Points Summary'!$B$4:$B$1144,0)</f>
        <v>350</v>
      </c>
      <c r="I10" s="197"/>
    </row>
    <row r="11" spans="1:9" x14ac:dyDescent="0.25">
      <c r="A11" s="2">
        <v>6</v>
      </c>
      <c r="B11" s="3" t="s">
        <v>783</v>
      </c>
      <c r="C11" s="28">
        <f>TIME(1,6,28)</f>
        <v>4.6157407407407404E-2</v>
      </c>
      <c r="D11" s="29">
        <f>INDEX('Points Summary'!$H$4:$H$1143,G11)</f>
        <v>52.397236396258847</v>
      </c>
      <c r="E11" s="124" t="e">
        <f t="shared" si="0"/>
        <v>#N/A</v>
      </c>
      <c r="F11" s="3"/>
      <c r="G11" s="2">
        <f>MATCH(B11,'Points Summary'!$B$4:$B$1144,0)</f>
        <v>328</v>
      </c>
      <c r="I11" s="197"/>
    </row>
    <row r="12" spans="1:9" x14ac:dyDescent="0.25">
      <c r="A12" s="2">
        <v>5</v>
      </c>
      <c r="B12" s="3" t="s">
        <v>690</v>
      </c>
      <c r="C12" s="28">
        <f>TIME(1,2,30.2)</f>
        <v>4.3402777777777783E-2</v>
      </c>
      <c r="D12" s="29" t="e">
        <f>INDEX('Points Summary'!$H$4:$H$1143,G12)</f>
        <v>#N/A</v>
      </c>
      <c r="E12" s="124" t="e">
        <f t="shared" si="0"/>
        <v>#N/A</v>
      </c>
      <c r="F12" s="3"/>
      <c r="G12" s="2" t="e">
        <f>MATCH(B12,'Points Summary'!$B$4:$B$1144,0)</f>
        <v>#N/A</v>
      </c>
      <c r="I12" s="197"/>
    </row>
    <row r="13" spans="1:9" x14ac:dyDescent="0.25">
      <c r="A13" s="2">
        <v>8</v>
      </c>
      <c r="B13" s="3" t="s">
        <v>820</v>
      </c>
      <c r="C13" s="28">
        <f>TIME(1,8,46.1)</f>
        <v>4.7754629629629626E-2</v>
      </c>
      <c r="D13" s="29" t="e">
        <f>INDEX('Points Summary'!$H$4:$H$1143,G13)</f>
        <v>#N/A</v>
      </c>
      <c r="E13" s="124" t="e">
        <f t="shared" si="0"/>
        <v>#N/A</v>
      </c>
      <c r="F13" s="3"/>
      <c r="G13" s="2" t="e">
        <f>MATCH(B13,'Points Summary'!$B$4:$B$1144,0)</f>
        <v>#N/A</v>
      </c>
      <c r="I13" s="197"/>
    </row>
    <row r="14" spans="1:9" x14ac:dyDescent="0.25">
      <c r="A14" s="2">
        <v>4</v>
      </c>
      <c r="B14" s="3" t="s">
        <v>98</v>
      </c>
      <c r="C14" s="28">
        <f>TIME(1,2,8.5)</f>
        <v>4.3148148148148151E-2</v>
      </c>
      <c r="D14" s="29">
        <f>INDEX('Points Summary'!$H$4:$H$1143,G14)</f>
        <v>57.073595074319748</v>
      </c>
      <c r="E14" s="124" t="e">
        <f t="shared" si="0"/>
        <v>#N/A</v>
      </c>
      <c r="F14" s="3"/>
      <c r="G14" s="2">
        <f>MATCH(B14,'Points Summary'!$B$4:$B$1144,0)</f>
        <v>38</v>
      </c>
      <c r="I14" s="197"/>
    </row>
    <row r="15" spans="1:9" x14ac:dyDescent="0.25">
      <c r="A15" s="2">
        <v>7</v>
      </c>
      <c r="B15" s="3" t="s">
        <v>784</v>
      </c>
      <c r="C15" s="28">
        <f>TIME(1,7,57.1)</f>
        <v>4.71875E-2</v>
      </c>
      <c r="D15" s="29">
        <f>INDEX('Points Summary'!$H$4:$H$1143,G15)</f>
        <v>48.676270052437225</v>
      </c>
      <c r="E15" s="124" t="e">
        <f t="shared" si="0"/>
        <v>#N/A</v>
      </c>
      <c r="F15" s="3"/>
      <c r="G15" s="2">
        <f>MATCH(B15,'Points Summary'!$B$4:$B$1144,0)</f>
        <v>338</v>
      </c>
      <c r="I15" s="197"/>
    </row>
    <row r="16" spans="1:9" x14ac:dyDescent="0.25">
      <c r="A16" s="2">
        <v>10</v>
      </c>
      <c r="B16" s="3" t="s">
        <v>821</v>
      </c>
      <c r="C16" s="28">
        <f>TIME(1,16,40.8)</f>
        <v>5.3240740740740734E-2</v>
      </c>
      <c r="D16" s="29">
        <f>INDEX('Points Summary'!$H$4:$H$1143,G16)</f>
        <v>0</v>
      </c>
      <c r="E16" s="124" t="e">
        <f t="shared" si="0"/>
        <v>#N/A</v>
      </c>
      <c r="F16" s="3"/>
      <c r="G16" s="2">
        <f>MATCH(B16,'Points Summary'!$B$4:$B$1144,0)</f>
        <v>277</v>
      </c>
      <c r="I16" s="197"/>
    </row>
    <row r="17" spans="1:9" x14ac:dyDescent="0.25">
      <c r="A17" s="2">
        <v>9</v>
      </c>
      <c r="B17" s="3" t="s">
        <v>758</v>
      </c>
      <c r="C17" s="28">
        <f>TIME(1,12,21.5)</f>
        <v>5.0243055555555555E-2</v>
      </c>
      <c r="D17" s="29">
        <f>INDEX('Points Summary'!$H$4:$H$1143,G17)</f>
        <v>45.907986673761499</v>
      </c>
      <c r="E17" s="124" t="e">
        <f t="shared" si="0"/>
        <v>#N/A</v>
      </c>
      <c r="F17" s="3"/>
      <c r="G17" s="2">
        <f>MATCH(B17,'Points Summary'!$B$4:$B$1144,0)</f>
        <v>370</v>
      </c>
      <c r="I17" s="197"/>
    </row>
    <row r="18" spans="1:9" x14ac:dyDescent="0.25">
      <c r="A18" s="2">
        <v>11</v>
      </c>
      <c r="B18" s="45" t="s">
        <v>970</v>
      </c>
      <c r="C18" s="28">
        <f>TIME(1,19,52.7)</f>
        <v>5.5462962962962964E-2</v>
      </c>
      <c r="D18" s="29">
        <f>INDEX('Points Summary'!$H$4:$H$1143,G18)</f>
        <v>41.854328923749364</v>
      </c>
      <c r="E18" s="124" t="e">
        <f t="shared" si="0"/>
        <v>#N/A</v>
      </c>
      <c r="F18" s="3"/>
      <c r="G18" s="2">
        <f>MATCH(B18,'Points Summary'!$B$4:$B$1144,0)</f>
        <v>27</v>
      </c>
      <c r="I18" s="197"/>
    </row>
    <row r="19" spans="1:9" x14ac:dyDescent="0.25">
      <c r="A19" s="2"/>
      <c r="B19" s="3"/>
      <c r="C19" s="28"/>
      <c r="D19" s="29"/>
      <c r="E19" s="30"/>
      <c r="F19" s="3"/>
      <c r="G19" s="2"/>
    </row>
    <row r="20" spans="1:9" x14ac:dyDescent="0.25">
      <c r="A20" s="2"/>
      <c r="B20" s="3"/>
      <c r="C20" s="28"/>
      <c r="D20" s="29"/>
      <c r="E20" s="30"/>
      <c r="F20" s="3"/>
      <c r="G20" s="2"/>
    </row>
  </sheetData>
  <sortState ref="A8:G18">
    <sortCondition descending="1" ref="D8:D18"/>
  </sortState>
  <pageMargins left="0.7" right="0.7" top="0.75" bottom="0.75" header="0.3" footer="0.3"/>
  <pageSetup orientation="portrait" r:id="rId1"/>
  <headerFooter>
    <oddHeader>&amp;L&amp;"Tahoma,Bold"&amp;11U.S. Biathlon Association&amp;R&amp;"Tahoma,Bold"&amp;11 2017 USBA Points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B1" sqref="B1:B2"/>
    </sheetView>
  </sheetViews>
  <sheetFormatPr defaultRowHeight="13.2" x14ac:dyDescent="0.25"/>
  <cols>
    <col min="2" max="2" width="20.6640625" customWidth="1"/>
  </cols>
  <sheetData>
    <row r="1" spans="1:8" x14ac:dyDescent="0.25">
      <c r="A1" s="16" t="s">
        <v>22</v>
      </c>
      <c r="B1" s="17"/>
      <c r="C1" s="18"/>
      <c r="D1" s="18"/>
      <c r="E1" s="18"/>
      <c r="F1" s="18"/>
      <c r="G1" s="19"/>
    </row>
    <row r="2" spans="1:8" x14ac:dyDescent="0.25">
      <c r="A2" s="20" t="s">
        <v>23</v>
      </c>
      <c r="B2" s="21"/>
      <c r="C2" s="22"/>
      <c r="D2" s="22"/>
      <c r="E2" s="22"/>
      <c r="F2" s="22"/>
      <c r="G2" s="23"/>
    </row>
    <row r="3" spans="1:8" x14ac:dyDescent="0.25">
      <c r="A3" s="20" t="s">
        <v>24</v>
      </c>
      <c r="B3" s="24" t="s">
        <v>44</v>
      </c>
      <c r="C3" s="22"/>
      <c r="D3" s="22"/>
      <c r="E3" s="22"/>
      <c r="F3" s="22"/>
      <c r="G3" s="23"/>
    </row>
    <row r="4" spans="1:8" x14ac:dyDescent="0.25">
      <c r="A4" s="20" t="s">
        <v>1</v>
      </c>
      <c r="B4" s="24" t="s">
        <v>893</v>
      </c>
      <c r="C4" s="22"/>
      <c r="D4" s="22"/>
      <c r="E4" s="22"/>
      <c r="F4" s="22"/>
      <c r="G4" s="23"/>
    </row>
    <row r="5" spans="1:8" x14ac:dyDescent="0.25">
      <c r="A5" s="20" t="s">
        <v>27</v>
      </c>
      <c r="B5" s="24" t="s">
        <v>967</v>
      </c>
      <c r="C5" s="22"/>
      <c r="D5" s="22"/>
      <c r="E5" s="22" t="s">
        <v>55</v>
      </c>
      <c r="F5" s="38" t="e">
        <f>AVERAGE(C8:C10)*(AVERAGE(D8:D10)/100)</f>
        <v>#N/A</v>
      </c>
      <c r="G5" s="23"/>
    </row>
    <row r="6" spans="1:8" x14ac:dyDescent="0.25">
      <c r="A6" s="25" t="s">
        <v>29</v>
      </c>
      <c r="B6" s="26"/>
      <c r="C6" s="26"/>
      <c r="D6" s="26"/>
      <c r="E6" s="26"/>
      <c r="F6" s="26"/>
      <c r="G6" s="27"/>
    </row>
    <row r="7" spans="1:8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8" x14ac:dyDescent="0.25">
      <c r="A8" s="2">
        <v>1</v>
      </c>
      <c r="B8" s="3" t="s">
        <v>989</v>
      </c>
      <c r="C8" s="28">
        <v>1.8263888888888889E-2</v>
      </c>
      <c r="D8" s="29" t="e">
        <f>INDEX('Points Summary'!$H$4:$H$1143,G8)</f>
        <v>#N/A</v>
      </c>
      <c r="E8" s="30" t="e">
        <f>(AVERAGE($D$8:$D$10)/100*AVERAGE($C$8:$C$10))/C8</f>
        <v>#N/A</v>
      </c>
      <c r="F8" s="3"/>
      <c r="G8" s="2" t="e">
        <f>MATCH(B8,'Points Summary'!$B$4:$B$1144,0)</f>
        <v>#N/A</v>
      </c>
      <c r="H8" s="196" t="s">
        <v>986</v>
      </c>
    </row>
    <row r="9" spans="1:8" x14ac:dyDescent="0.25">
      <c r="A9" s="2">
        <v>2</v>
      </c>
      <c r="B9" s="3" t="s">
        <v>971</v>
      </c>
      <c r="C9" s="28">
        <v>1.7650462962962962E-2</v>
      </c>
      <c r="D9" s="29">
        <f>INDEX('Points Summary'!$H$4:$H$1143,G9)</f>
        <v>46.260700403476264</v>
      </c>
      <c r="E9" s="30" t="e">
        <f>(AVERAGE($D$8:$D$10)/100*AVERAGE($C$8:$C$10))/C9</f>
        <v>#N/A</v>
      </c>
      <c r="F9" s="3"/>
      <c r="G9" s="2">
        <f>MATCH(B9,'Points Summary'!$B$4:$B$1144,0)</f>
        <v>101</v>
      </c>
      <c r="H9" s="196" t="s">
        <v>969</v>
      </c>
    </row>
    <row r="10" spans="1:8" x14ac:dyDescent="0.25">
      <c r="A10" s="2">
        <v>3</v>
      </c>
      <c r="B10" s="3" t="s">
        <v>725</v>
      </c>
      <c r="C10" s="28">
        <v>3.2245370370370369E-2</v>
      </c>
      <c r="D10" s="29">
        <f>INDEX('Points Summary'!$H$4:$H$1143,G10)</f>
        <v>36.910937332193264</v>
      </c>
      <c r="E10" s="30" t="e">
        <f>(AVERAGE($D$8:$D$10)/100*AVERAGE($C$8:$C$10))/C10</f>
        <v>#N/A</v>
      </c>
      <c r="F10" s="3"/>
      <c r="G10" s="2">
        <f>MATCH(B10,'Points Summary'!$B$4:$B$1144,0)</f>
        <v>270</v>
      </c>
      <c r="H10" s="196" t="s">
        <v>968</v>
      </c>
    </row>
    <row r="11" spans="1:8" x14ac:dyDescent="0.25">
      <c r="A11" s="2">
        <v>4</v>
      </c>
      <c r="B11" s="3" t="s">
        <v>990</v>
      </c>
      <c r="C11" s="28">
        <v>1.909722222222222E-2</v>
      </c>
      <c r="D11" s="29">
        <f>INDEX('Points Summary'!$H$4:$H$1143,G11)</f>
        <v>0</v>
      </c>
      <c r="E11" s="30" t="e">
        <f>(AVERAGE($D$8:$D$10)/100*AVERAGE($C$8:$C$10))/C11</f>
        <v>#N/A</v>
      </c>
      <c r="F11" s="3"/>
      <c r="G11" s="2">
        <f>MATCH(B11,'Points Summary'!$B$4:$B$1144,0)</f>
        <v>345</v>
      </c>
      <c r="H11" s="196" t="s">
        <v>987</v>
      </c>
    </row>
    <row r="12" spans="1:8" x14ac:dyDescent="0.25">
      <c r="A12" s="2">
        <v>5</v>
      </c>
      <c r="B12" s="3" t="s">
        <v>991</v>
      </c>
      <c r="C12" s="28">
        <v>1.9942129629629629E-2</v>
      </c>
      <c r="D12" s="29" t="e">
        <f>INDEX('Points Summary'!$H$4:$H$1143,G12)</f>
        <v>#N/A</v>
      </c>
      <c r="E12" s="30" t="e">
        <f>(AVERAGE($D$8:$D$10)/100*AVERAGE($C$8:$C$10))/C12</f>
        <v>#N/A</v>
      </c>
      <c r="F12" s="3"/>
      <c r="G12" s="2" t="e">
        <f>MATCH(B12,'Points Summary'!$B$4:$B$1144,0)</f>
        <v>#N/A</v>
      </c>
      <c r="H12" s="196" t="s">
        <v>988</v>
      </c>
    </row>
    <row r="13" spans="1:8" x14ac:dyDescent="0.25">
      <c r="A13" s="2"/>
      <c r="B13" s="3"/>
      <c r="C13" s="28"/>
      <c r="D13" s="29"/>
      <c r="E13" s="30"/>
      <c r="F13" s="3"/>
      <c r="G13" s="2"/>
    </row>
    <row r="14" spans="1:8" x14ac:dyDescent="0.25">
      <c r="A14" s="2"/>
      <c r="B14" s="3"/>
      <c r="C14" s="28"/>
      <c r="D14" s="29"/>
      <c r="E14" s="30"/>
      <c r="F14" s="3"/>
      <c r="G14" s="2"/>
    </row>
    <row r="15" spans="1:8" x14ac:dyDescent="0.25">
      <c r="A15" s="2"/>
      <c r="B15" s="45"/>
      <c r="C15" s="28"/>
      <c r="D15" s="29"/>
      <c r="E15" s="30"/>
      <c r="F15" s="3"/>
      <c r="G15" s="2"/>
    </row>
    <row r="16" spans="1:8" x14ac:dyDescent="0.25">
      <c r="A16" s="2"/>
      <c r="B16" s="3"/>
      <c r="C16" s="28"/>
      <c r="D16" s="29"/>
      <c r="E16" s="30"/>
      <c r="F16" s="3"/>
      <c r="G16" s="2"/>
    </row>
    <row r="17" spans="1:7" x14ac:dyDescent="0.25">
      <c r="A17" s="2"/>
      <c r="B17" s="3"/>
      <c r="C17" s="28"/>
      <c r="D17" s="29"/>
      <c r="E17" s="30"/>
      <c r="F17" s="3"/>
      <c r="G17" s="2"/>
    </row>
    <row r="18" spans="1:7" x14ac:dyDescent="0.25">
      <c r="A18" s="2"/>
      <c r="B18" s="3"/>
      <c r="C18" s="28"/>
      <c r="D18" s="29"/>
      <c r="E18" s="30"/>
      <c r="F18" s="3"/>
      <c r="G18" s="2"/>
    </row>
    <row r="19" spans="1:7" x14ac:dyDescent="0.25">
      <c r="A19" s="2"/>
      <c r="B19" s="3"/>
      <c r="C19" s="28"/>
      <c r="D19" s="29"/>
      <c r="E19" s="30"/>
      <c r="F19" s="3"/>
      <c r="G19" s="2"/>
    </row>
    <row r="20" spans="1:7" x14ac:dyDescent="0.25">
      <c r="A20" s="2"/>
      <c r="B20" s="3"/>
      <c r="C20" s="28"/>
      <c r="D20" s="29"/>
      <c r="E20" s="30"/>
      <c r="F20" s="3"/>
      <c r="G20" s="2"/>
    </row>
    <row r="21" spans="1:7" x14ac:dyDescent="0.25">
      <c r="A21" s="2"/>
      <c r="B21" s="3"/>
      <c r="C21" s="28"/>
      <c r="D21" s="29"/>
      <c r="E21" s="30"/>
      <c r="F21" s="3"/>
      <c r="G21" s="2"/>
    </row>
    <row r="22" spans="1:7" x14ac:dyDescent="0.25">
      <c r="A22" s="2"/>
      <c r="B22" s="3"/>
      <c r="C22" s="28"/>
      <c r="D22" s="29"/>
      <c r="E22" s="30"/>
      <c r="F22" s="3"/>
      <c r="G22" s="2"/>
    </row>
    <row r="23" spans="1:7" x14ac:dyDescent="0.25">
      <c r="A23" s="2"/>
      <c r="B23" s="3"/>
      <c r="C23" s="28"/>
      <c r="D23" s="29"/>
      <c r="E23" s="30"/>
      <c r="F23" s="3"/>
      <c r="G23" s="2"/>
    </row>
    <row r="24" spans="1:7" x14ac:dyDescent="0.25">
      <c r="A24" s="2"/>
      <c r="B24" s="3"/>
      <c r="C24" s="28"/>
      <c r="D24" s="29"/>
      <c r="E24" s="30"/>
      <c r="F24" s="3"/>
      <c r="G24" s="2"/>
    </row>
  </sheetData>
  <sortState ref="A8:D24">
    <sortCondition descending="1" ref="D8:D24"/>
  </sortState>
  <pageMargins left="0.7" right="0.7" top="0.75" bottom="0.75" header="0.3" footer="0.3"/>
  <pageSetup orientation="portrait" r:id="rId1"/>
  <headerFooter>
    <oddHeader>&amp;L&amp;"Tahoma,Bold"&amp;11U.S. Biathlon Association&amp;R&amp;"Tahoma,Bold"&amp;11 2014 USBA Race Points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workbookViewId="0">
      <selection sqref="A1:G15"/>
    </sheetView>
  </sheetViews>
  <sheetFormatPr defaultRowHeight="13.2" x14ac:dyDescent="0.25"/>
  <cols>
    <col min="2" max="2" width="20.6640625" customWidth="1"/>
  </cols>
  <sheetData>
    <row r="1" spans="1:7" x14ac:dyDescent="0.25">
      <c r="A1" s="16" t="s">
        <v>22</v>
      </c>
      <c r="B1" s="17" t="s">
        <v>33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38694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25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28</v>
      </c>
      <c r="C5" s="22"/>
      <c r="D5" s="22"/>
      <c r="E5" s="22" t="s">
        <v>55</v>
      </c>
      <c r="F5" s="38" t="e">
        <f>AVERAGE(C8:C12)*(AVERAGE(D8:D12)/100)</f>
        <v>#N/A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3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3"/>
      <c r="B8" s="3" t="s">
        <v>34</v>
      </c>
      <c r="C8" s="28">
        <v>3.3687499999999981E-2</v>
      </c>
      <c r="D8" s="29" t="e">
        <f>INDEX('Points Summary'!$H$4:$H$1143,G8)</f>
        <v>#N/A</v>
      </c>
      <c r="E8" s="30" t="e">
        <f>(AVERAGE($D$8:$D$12)/100*AVERAGE($C$8:$C$12))/C8</f>
        <v>#N/A</v>
      </c>
      <c r="F8" s="3"/>
      <c r="G8" s="2" t="e">
        <f>MATCH(B8,'Points Summary'!$B$4:$B$1144,0)</f>
        <v>#N/A</v>
      </c>
    </row>
    <row r="9" spans="1:7" x14ac:dyDescent="0.25">
      <c r="A9" s="3"/>
      <c r="B9" s="3" t="s">
        <v>35</v>
      </c>
      <c r="C9" s="28">
        <v>3.4754629629629608E-2</v>
      </c>
      <c r="D9" s="29" t="e">
        <f>INDEX('Points Summary'!$H$4:$H$1143,G9)</f>
        <v>#N/A</v>
      </c>
      <c r="E9" s="30" t="e">
        <f t="shared" ref="E9:E15" si="0">(AVERAGE($D$8:$D$12)/100*AVERAGE($C$8:$C$12))/C9</f>
        <v>#N/A</v>
      </c>
      <c r="F9" s="3"/>
      <c r="G9" s="2" t="e">
        <f>MATCH(B9,'Points Summary'!$B$4:$B$1144,0)</f>
        <v>#N/A</v>
      </c>
    </row>
    <row r="10" spans="1:7" x14ac:dyDescent="0.25">
      <c r="A10" s="3"/>
      <c r="B10" s="3" t="s">
        <v>36</v>
      </c>
      <c r="C10" s="28">
        <v>3.7079861111111057E-2</v>
      </c>
      <c r="D10" s="29" t="e">
        <f>INDEX('Points Summary'!$H$4:$H$1143,G10)</f>
        <v>#N/A</v>
      </c>
      <c r="E10" s="30" t="e">
        <f t="shared" si="0"/>
        <v>#N/A</v>
      </c>
      <c r="F10" s="3"/>
      <c r="G10" s="2" t="e">
        <f>MATCH(B10,'Points Summary'!$B$4:$B$1144,0)</f>
        <v>#N/A</v>
      </c>
    </row>
    <row r="11" spans="1:7" x14ac:dyDescent="0.25">
      <c r="A11" s="3"/>
      <c r="B11" s="3" t="s">
        <v>37</v>
      </c>
      <c r="C11" s="28">
        <v>3.8502314814814809E-2</v>
      </c>
      <c r="D11" s="29" t="e">
        <f>INDEX('Points Summary'!$H$4:$H$1143,G11)</f>
        <v>#N/A</v>
      </c>
      <c r="E11" s="30" t="e">
        <f t="shared" si="0"/>
        <v>#N/A</v>
      </c>
      <c r="F11" s="3"/>
      <c r="G11" s="2" t="e">
        <f>MATCH(B11,'Points Summary'!$B$4:$B$1144,0)</f>
        <v>#N/A</v>
      </c>
    </row>
    <row r="12" spans="1:7" x14ac:dyDescent="0.25">
      <c r="A12" s="3"/>
      <c r="B12" s="3" t="s">
        <v>38</v>
      </c>
      <c r="C12" s="28">
        <v>3.4199074074074076E-2</v>
      </c>
      <c r="D12" s="29" t="e">
        <f>INDEX('Points Summary'!$H$4:$H$1143,G12)</f>
        <v>#N/A</v>
      </c>
      <c r="E12" s="30" t="e">
        <f t="shared" si="0"/>
        <v>#N/A</v>
      </c>
      <c r="F12" s="3"/>
      <c r="G12" s="2" t="e">
        <f>MATCH(B12,'Points Summary'!$B$4:$B$1144,0)</f>
        <v>#N/A</v>
      </c>
    </row>
    <row r="13" spans="1:7" x14ac:dyDescent="0.25">
      <c r="A13" s="3"/>
      <c r="B13" s="3" t="s">
        <v>39</v>
      </c>
      <c r="C13" s="28">
        <v>3.6798611111111046E-2</v>
      </c>
      <c r="D13" s="29" t="e">
        <f>INDEX('Points Summary'!$H$4:$H$1143,G13)</f>
        <v>#N/A</v>
      </c>
      <c r="E13" s="30" t="e">
        <f t="shared" si="0"/>
        <v>#N/A</v>
      </c>
      <c r="F13" s="3"/>
      <c r="G13" s="2" t="e">
        <f>MATCH(B13,'Points Summary'!$B$4:$B$1144,0)</f>
        <v>#N/A</v>
      </c>
    </row>
    <row r="14" spans="1:7" x14ac:dyDescent="0.25">
      <c r="A14" s="3"/>
      <c r="B14" s="3" t="s">
        <v>40</v>
      </c>
      <c r="C14" s="28">
        <v>3.6369212962962971E-2</v>
      </c>
      <c r="D14" s="29" t="e">
        <f>INDEX('Points Summary'!$H$4:$H$1143,G14)</f>
        <v>#N/A</v>
      </c>
      <c r="E14" s="30" t="e">
        <f t="shared" si="0"/>
        <v>#N/A</v>
      </c>
      <c r="F14" s="3"/>
      <c r="G14" s="2" t="e">
        <f>MATCH(B14,'Points Summary'!$B$4:$B$1144,0)</f>
        <v>#N/A</v>
      </c>
    </row>
    <row r="15" spans="1:7" x14ac:dyDescent="0.25">
      <c r="A15" s="3"/>
      <c r="B15" s="3" t="s">
        <v>41</v>
      </c>
      <c r="C15" s="28">
        <v>3.9089120370370323E-2</v>
      </c>
      <c r="D15" s="29" t="e">
        <f>INDEX('Points Summary'!$H$4:$H$1143,G15)</f>
        <v>#N/A</v>
      </c>
      <c r="E15" s="30" t="e">
        <f t="shared" si="0"/>
        <v>#N/A</v>
      </c>
      <c r="F15" s="3"/>
      <c r="G15" s="2" t="e">
        <f>MATCH(B15,'Points Summary'!$B$4:$B$1144,0)</f>
        <v>#N/A</v>
      </c>
    </row>
  </sheetData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2005 Race Points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"/>
  <sheetViews>
    <sheetView topLeftCell="A4" workbookViewId="0">
      <selection activeCell="B22" sqref="B22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1024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43085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1025</v>
      </c>
      <c r="C5" s="22"/>
      <c r="D5" s="22"/>
      <c r="E5" s="22" t="s">
        <v>55</v>
      </c>
      <c r="F5" s="38">
        <f>AVERAGE(C8:C12)*(AVERAGE(D8:D12)/100)</f>
        <v>1.5766761501196488E-2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4</v>
      </c>
      <c r="B8" s="3" t="s">
        <v>50</v>
      </c>
      <c r="C8" s="51">
        <v>1.7136574074074071E-2</v>
      </c>
      <c r="D8" s="29">
        <f>INDEX('Points Summary'!$H$4:$H$1143,G8)</f>
        <v>94.460912223772951</v>
      </c>
      <c r="E8" s="124">
        <f t="shared" ref="E8:E28" si="0">(AVERAGE($D$8:$D$12)/100*AVERAGE($C$8:$C$12))/C8</f>
        <v>0.92006496940657623</v>
      </c>
      <c r="F8" s="3"/>
      <c r="G8" s="2">
        <f>MATCH(B8,'Points Summary'!$B$4:$B$1144,0)</f>
        <v>104</v>
      </c>
    </row>
    <row r="9" spans="1:7" x14ac:dyDescent="0.25">
      <c r="A9" s="2">
        <v>2</v>
      </c>
      <c r="B9" s="3" t="s">
        <v>460</v>
      </c>
      <c r="C9" s="51">
        <v>1.7008101851851854E-2</v>
      </c>
      <c r="D9" s="29">
        <f>INDEX('Points Summary'!$H$4:$H$1143,G9)</f>
        <v>92.189833981686178</v>
      </c>
      <c r="E9" s="124">
        <f t="shared" si="0"/>
        <v>0.92701476264265148</v>
      </c>
      <c r="F9" s="3"/>
      <c r="G9" s="2">
        <f>MATCH(B9,'Points Summary'!$B$4:$B$1144,0)</f>
        <v>139</v>
      </c>
    </row>
    <row r="10" spans="1:7" x14ac:dyDescent="0.25">
      <c r="A10" s="2">
        <v>1</v>
      </c>
      <c r="B10" s="3" t="s">
        <v>795</v>
      </c>
      <c r="C10" s="51">
        <v>1.6969907407407409E-2</v>
      </c>
      <c r="D10" s="29">
        <f>INDEX('Points Summary'!$H$4:$H$1143,G10)</f>
        <v>91.99586802493603</v>
      </c>
      <c r="E10" s="124">
        <f t="shared" si="0"/>
        <v>0.92910120972812471</v>
      </c>
      <c r="F10" s="3"/>
      <c r="G10" s="2">
        <f>MATCH(B10,'Points Summary'!$B$4:$B$1144,0)</f>
        <v>201</v>
      </c>
    </row>
    <row r="11" spans="1:7" x14ac:dyDescent="0.25">
      <c r="A11" s="2">
        <v>3</v>
      </c>
      <c r="B11" s="3" t="s">
        <v>838</v>
      </c>
      <c r="C11" s="51">
        <v>1.7127314814814814E-2</v>
      </c>
      <c r="D11" s="29">
        <f>INDEX('Points Summary'!$H$4:$H$1143,G11)</f>
        <v>90.307748533563512</v>
      </c>
      <c r="E11" s="124">
        <f t="shared" si="0"/>
        <v>0.92056236903863808</v>
      </c>
      <c r="F11" s="3"/>
      <c r="G11" s="2">
        <f>MATCH(B11,'Points Summary'!$B$4:$B$1144,0)</f>
        <v>57</v>
      </c>
    </row>
    <row r="12" spans="1:7" x14ac:dyDescent="0.25">
      <c r="A12" s="2">
        <v>7</v>
      </c>
      <c r="B12" s="3" t="s">
        <v>759</v>
      </c>
      <c r="C12" s="51">
        <v>1.7631944444444447E-2</v>
      </c>
      <c r="D12" s="29">
        <f>INDEX('Points Summary'!$H$4:$H$1143,G12)</f>
        <v>90.055069712413157</v>
      </c>
      <c r="E12" s="124">
        <f t="shared" si="0"/>
        <v>0.89421569758656716</v>
      </c>
      <c r="F12" s="3"/>
      <c r="G12" s="2">
        <f>MATCH(B12,'Points Summary'!$B$4:$B$1144,0)</f>
        <v>131</v>
      </c>
    </row>
    <row r="13" spans="1:7" x14ac:dyDescent="0.25">
      <c r="A13" s="2">
        <v>10</v>
      </c>
      <c r="B13" s="3" t="s">
        <v>103</v>
      </c>
      <c r="C13" s="51">
        <v>1.8457175925925925E-2</v>
      </c>
      <c r="D13" s="29">
        <f>INDEX('Points Summary'!$H$4:$H$1143,G13)</f>
        <v>89.964188620219048</v>
      </c>
      <c r="E13" s="124">
        <f t="shared" si="0"/>
        <v>0.8542347737526661</v>
      </c>
      <c r="F13" s="3"/>
      <c r="G13" s="2">
        <f>MATCH(B13,'Points Summary'!$B$4:$B$1144,0)</f>
        <v>163</v>
      </c>
    </row>
    <row r="14" spans="1:7" x14ac:dyDescent="0.25">
      <c r="A14" s="2">
        <v>9</v>
      </c>
      <c r="B14" s="3" t="s">
        <v>173</v>
      </c>
      <c r="C14" s="51">
        <v>1.813773148148148E-2</v>
      </c>
      <c r="D14" s="29">
        <f>INDEX('Points Summary'!$H$4:$H$1143,G14)</f>
        <v>89.585588407213393</v>
      </c>
      <c r="E14" s="124">
        <f t="shared" si="0"/>
        <v>0.86927968457876115</v>
      </c>
      <c r="F14" s="3"/>
      <c r="G14" s="2">
        <f>MATCH(B14,'Points Summary'!$B$4:$B$1144,0)</f>
        <v>47</v>
      </c>
    </row>
    <row r="15" spans="1:7" x14ac:dyDescent="0.25">
      <c r="A15" s="2">
        <v>8</v>
      </c>
      <c r="B15" s="3" t="s">
        <v>765</v>
      </c>
      <c r="C15" s="51">
        <v>1.7826388888888888E-2</v>
      </c>
      <c r="D15" s="29">
        <f>INDEX('Points Summary'!$H$4:$H$1143,G15)</f>
        <v>87.998149406139206</v>
      </c>
      <c r="E15" s="124">
        <f t="shared" si="0"/>
        <v>0.88446188397829928</v>
      </c>
      <c r="F15" s="3"/>
      <c r="G15" s="2">
        <f>MATCH(B15,'Points Summary'!$B$4:$B$1144,0)</f>
        <v>97</v>
      </c>
    </row>
    <row r="16" spans="1:7" x14ac:dyDescent="0.25">
      <c r="A16" s="2">
        <v>6</v>
      </c>
      <c r="B16" s="3" t="s">
        <v>104</v>
      </c>
      <c r="C16" s="51">
        <v>1.7578703703703704E-2</v>
      </c>
      <c r="D16" s="29">
        <f>INDEX('Points Summary'!$H$4:$H$1143,G16)</f>
        <v>87.280515799112706</v>
      </c>
      <c r="E16" s="124">
        <f t="shared" si="0"/>
        <v>0.89692401481655026</v>
      </c>
      <c r="F16" s="3"/>
      <c r="G16" s="2">
        <f>MATCH(B16,'Points Summary'!$B$4:$B$1144,0)</f>
        <v>166</v>
      </c>
    </row>
    <row r="17" spans="1:7" x14ac:dyDescent="0.25">
      <c r="A17" s="2">
        <v>13</v>
      </c>
      <c r="B17" s="3" t="s">
        <v>714</v>
      </c>
      <c r="C17" s="51">
        <v>1.9947916666666666E-2</v>
      </c>
      <c r="D17" s="29">
        <f>INDEX('Points Summary'!$H$4:$H$1143,G17)</f>
        <v>87.176205670220071</v>
      </c>
      <c r="E17" s="124">
        <f t="shared" si="0"/>
        <v>0.79039639901559422</v>
      </c>
      <c r="F17" s="3"/>
      <c r="G17" s="2">
        <f>MATCH(B17,'Points Summary'!$B$4:$B$1144,0)</f>
        <v>220</v>
      </c>
    </row>
    <row r="18" spans="1:7" x14ac:dyDescent="0.25">
      <c r="A18" s="2">
        <v>5</v>
      </c>
      <c r="B18" s="3" t="s">
        <v>756</v>
      </c>
      <c r="C18" s="51">
        <v>1.7550925925925925E-2</v>
      </c>
      <c r="D18" s="29">
        <f>INDEX('Points Summary'!$H$4:$H$1143,G18)</f>
        <v>85.052444447965044</v>
      </c>
      <c r="E18" s="124">
        <f t="shared" si="0"/>
        <v>0.89834357274029053</v>
      </c>
      <c r="F18" s="3"/>
      <c r="G18" s="2">
        <f>MATCH(B18,'Points Summary'!$B$4:$B$1144,0)</f>
        <v>80</v>
      </c>
    </row>
    <row r="19" spans="1:7" x14ac:dyDescent="0.25">
      <c r="A19" s="2">
        <v>17</v>
      </c>
      <c r="B19" s="3" t="s">
        <v>711</v>
      </c>
      <c r="C19" s="51">
        <v>2.0961805555555556E-2</v>
      </c>
      <c r="D19" s="29">
        <f>INDEX('Points Summary'!$H$4:$H$1143,G19)</f>
        <v>80.808467545736889</v>
      </c>
      <c r="E19" s="124">
        <f t="shared" si="0"/>
        <v>0.75216619386194938</v>
      </c>
      <c r="F19" s="3"/>
      <c r="G19" s="2">
        <f>MATCH(B19,'Points Summary'!$B$4:$B$1144,0)</f>
        <v>85</v>
      </c>
    </row>
    <row r="20" spans="1:7" x14ac:dyDescent="0.25">
      <c r="A20" s="2">
        <v>14</v>
      </c>
      <c r="B20" s="3" t="s">
        <v>718</v>
      </c>
      <c r="C20" s="51">
        <v>1.9950231481481482E-2</v>
      </c>
      <c r="D20" s="29">
        <f>INDEX('Points Summary'!$H$4:$H$1143,G20)</f>
        <v>79.62720219965918</v>
      </c>
      <c r="E20" s="124">
        <f t="shared" si="0"/>
        <v>0.79030468973915213</v>
      </c>
      <c r="F20" s="3"/>
      <c r="G20" s="2">
        <f>MATCH(B20,'Points Summary'!$B$4:$B$1144,0)</f>
        <v>305</v>
      </c>
    </row>
    <row r="21" spans="1:7" x14ac:dyDescent="0.25">
      <c r="A21" s="2">
        <v>15</v>
      </c>
      <c r="B21" s="3" t="s">
        <v>936</v>
      </c>
      <c r="C21" s="51">
        <v>2.019560185185185E-2</v>
      </c>
      <c r="D21" s="29">
        <f>INDEX('Points Summary'!$H$4:$H$1143,G21)</f>
        <v>79.01318682809638</v>
      </c>
      <c r="E21" s="124">
        <f t="shared" si="0"/>
        <v>0.7807027300724263</v>
      </c>
      <c r="F21" s="3"/>
      <c r="G21" s="2">
        <f>MATCH(B21,'Points Summary'!$B$4:$B$1144,0)</f>
        <v>330</v>
      </c>
    </row>
    <row r="22" spans="1:7" x14ac:dyDescent="0.25">
      <c r="A22" s="2">
        <v>12</v>
      </c>
      <c r="B22" s="3" t="s">
        <v>713</v>
      </c>
      <c r="C22" s="51">
        <v>1.9850694444444445E-2</v>
      </c>
      <c r="D22" s="29">
        <f>INDEX('Points Summary'!$H$4:$H$1143,G22)</f>
        <v>78.60794886388625</v>
      </c>
      <c r="E22" s="124">
        <f t="shared" si="0"/>
        <v>0.79426750259656953</v>
      </c>
      <c r="F22" s="3"/>
      <c r="G22" s="2">
        <f>MATCH(B22,'Points Summary'!$B$4:$B$1144,0)</f>
        <v>77</v>
      </c>
    </row>
    <row r="23" spans="1:7" x14ac:dyDescent="0.25">
      <c r="A23" s="2">
        <v>16</v>
      </c>
      <c r="B23" s="3" t="s">
        <v>394</v>
      </c>
      <c r="C23" s="51">
        <v>2.0795138888888887E-2</v>
      </c>
      <c r="D23" s="29">
        <f>INDEX('Points Summary'!$H$4:$H$1143,G23)</f>
        <v>77.891993104385335</v>
      </c>
      <c r="E23" s="124">
        <f t="shared" si="0"/>
        <v>0.75819457544574864</v>
      </c>
      <c r="F23" s="3"/>
      <c r="G23" s="2">
        <f>MATCH(B23,'Points Summary'!$B$4:$B$1144,0)</f>
        <v>106</v>
      </c>
    </row>
    <row r="24" spans="1:7" x14ac:dyDescent="0.25">
      <c r="A24" s="2">
        <v>18</v>
      </c>
      <c r="B24" s="3" t="s">
        <v>796</v>
      </c>
      <c r="C24" s="51">
        <v>2.1105324074074075E-2</v>
      </c>
      <c r="D24" s="29">
        <f>INDEX('Points Summary'!$H$4:$H$1143,G24)</f>
        <v>76.976708986449907</v>
      </c>
      <c r="E24" s="124">
        <f t="shared" si="0"/>
        <v>0.74705138124671044</v>
      </c>
      <c r="F24" s="3"/>
      <c r="G24" s="2">
        <f>MATCH(B24,'Points Summary'!$B$4:$B$1144,0)</f>
        <v>320</v>
      </c>
    </row>
    <row r="25" spans="1:7" x14ac:dyDescent="0.25">
      <c r="A25" s="2">
        <v>20</v>
      </c>
      <c r="B25" s="3" t="s">
        <v>730</v>
      </c>
      <c r="C25" s="51">
        <v>2.1665509259259263E-2</v>
      </c>
      <c r="D25" s="29">
        <f>INDEX('Points Summary'!$H$4:$H$1143,G25)</f>
        <v>69.065089787713617</v>
      </c>
      <c r="E25" s="124">
        <f t="shared" si="0"/>
        <v>0.72773555943339729</v>
      </c>
      <c r="F25" s="3"/>
      <c r="G25" s="2">
        <f>MATCH(B25,'Points Summary'!$B$4:$B$1144,0)</f>
        <v>355</v>
      </c>
    </row>
    <row r="26" spans="1:7" x14ac:dyDescent="0.25">
      <c r="A26" s="2">
        <v>19</v>
      </c>
      <c r="B26" s="3" t="s">
        <v>729</v>
      </c>
      <c r="C26" s="51">
        <v>2.1247685185185185E-2</v>
      </c>
      <c r="D26" s="29">
        <f>INDEX('Points Summary'!$H$4:$H$1143,G26)</f>
        <v>68.642687944653403</v>
      </c>
      <c r="E26" s="124">
        <f t="shared" si="0"/>
        <v>0.74204608002144923</v>
      </c>
      <c r="F26" s="3"/>
      <c r="G26" s="2">
        <f>MATCH(B26,'Points Summary'!$B$4:$B$1144,0)</f>
        <v>252</v>
      </c>
    </row>
    <row r="27" spans="1:7" x14ac:dyDescent="0.25">
      <c r="A27" s="2">
        <v>11</v>
      </c>
      <c r="B27" s="3" t="s">
        <v>1022</v>
      </c>
      <c r="C27" s="51">
        <v>1.8803240740740742E-2</v>
      </c>
      <c r="D27" s="29">
        <f>INDEX('Points Summary'!$H$4:$H$1143,G27)</f>
        <v>0</v>
      </c>
      <c r="E27" s="124">
        <f t="shared" si="0"/>
        <v>0.83851298393658524</v>
      </c>
      <c r="F27" s="3"/>
      <c r="G27" s="2">
        <f>MATCH(B27,'Points Summary'!$B$4:$B$1144,0)</f>
        <v>222</v>
      </c>
    </row>
    <row r="28" spans="1:7" x14ac:dyDescent="0.25">
      <c r="A28" s="2">
        <v>21</v>
      </c>
      <c r="B28" s="3" t="s">
        <v>1026</v>
      </c>
      <c r="C28" s="51">
        <v>2.1791666666666668E-2</v>
      </c>
      <c r="D28" s="29" t="e">
        <f>INDEX('Points Summary'!$H$4:$H$1143,G28)</f>
        <v>#N/A</v>
      </c>
      <c r="E28" s="124">
        <f t="shared" si="0"/>
        <v>0.7235225163072958</v>
      </c>
      <c r="F28" s="3"/>
      <c r="G28" s="2" t="e">
        <f>MATCH(B28,'Points Summary'!$B$4:$B$1144,0)</f>
        <v>#N/A</v>
      </c>
    </row>
    <row r="29" spans="1:7" x14ac:dyDescent="0.25">
      <c r="A29" s="2"/>
      <c r="B29" s="3"/>
      <c r="C29" s="51"/>
      <c r="D29" s="29"/>
      <c r="E29" s="30"/>
      <c r="F29" s="3"/>
      <c r="G29" s="2"/>
    </row>
    <row r="30" spans="1:7" x14ac:dyDescent="0.25">
      <c r="C30" s="28"/>
      <c r="D30" s="29"/>
      <c r="E30" s="30"/>
      <c r="F30" s="3"/>
      <c r="G30" s="2"/>
    </row>
    <row r="31" spans="1:7" x14ac:dyDescent="0.25">
      <c r="A31" s="2"/>
      <c r="B31" s="3"/>
      <c r="C31" s="51"/>
      <c r="D31" s="29"/>
      <c r="E31" s="30"/>
      <c r="F31" s="3"/>
      <c r="G31" s="2"/>
    </row>
    <row r="32" spans="1:7" x14ac:dyDescent="0.25">
      <c r="C32" s="28"/>
      <c r="D32" s="29"/>
      <c r="E32" s="30"/>
      <c r="F32" s="3"/>
      <c r="G32" s="2"/>
    </row>
    <row r="33" spans="2:7" x14ac:dyDescent="0.25">
      <c r="C33" s="28"/>
      <c r="D33" s="29"/>
      <c r="E33" s="30"/>
      <c r="F33" s="3"/>
      <c r="G33" s="2"/>
    </row>
    <row r="34" spans="2:7" x14ac:dyDescent="0.25">
      <c r="C34" s="28"/>
      <c r="D34" s="29"/>
      <c r="E34" s="30"/>
      <c r="F34" s="3"/>
      <c r="G34" s="2"/>
    </row>
    <row r="35" spans="2:7" x14ac:dyDescent="0.25">
      <c r="C35" s="28"/>
      <c r="D35" s="29"/>
      <c r="E35" s="30"/>
      <c r="F35" s="3"/>
      <c r="G35" s="2"/>
    </row>
    <row r="36" spans="2:7" x14ac:dyDescent="0.25">
      <c r="B36" s="3"/>
      <c r="C36" s="28"/>
      <c r="D36" s="29"/>
      <c r="E36" s="30"/>
      <c r="F36" s="3"/>
      <c r="G36" s="2"/>
    </row>
    <row r="37" spans="2:7" x14ac:dyDescent="0.25">
      <c r="C37" s="28"/>
      <c r="D37" s="29"/>
      <c r="E37" s="30"/>
      <c r="F37" s="3"/>
      <c r="G37" s="2"/>
    </row>
    <row r="38" spans="2:7" x14ac:dyDescent="0.25">
      <c r="C38" s="28"/>
      <c r="D38" s="29"/>
      <c r="E38" s="30"/>
      <c r="F38" s="3"/>
      <c r="G38" s="2"/>
    </row>
    <row r="39" spans="2:7" x14ac:dyDescent="0.25">
      <c r="C39" s="28"/>
      <c r="D39" s="29"/>
      <c r="E39" s="30"/>
      <c r="F39" s="3"/>
      <c r="G39" s="2"/>
    </row>
    <row r="40" spans="2:7" x14ac:dyDescent="0.25">
      <c r="C40" s="28"/>
      <c r="D40" s="29"/>
      <c r="E40" s="30"/>
      <c r="F40" s="3"/>
      <c r="G40" s="2"/>
    </row>
    <row r="41" spans="2:7" x14ac:dyDescent="0.25">
      <c r="C41" s="28"/>
      <c r="D41" s="29"/>
      <c r="E41" s="30"/>
      <c r="F41" s="3"/>
      <c r="G41" s="2"/>
    </row>
    <row r="42" spans="2:7" x14ac:dyDescent="0.25">
      <c r="C42" s="28"/>
      <c r="D42" s="29"/>
      <c r="E42" s="30"/>
      <c r="F42" s="3"/>
      <c r="G42" s="2"/>
    </row>
    <row r="43" spans="2:7" x14ac:dyDescent="0.25">
      <c r="C43" s="28"/>
      <c r="D43" s="29"/>
      <c r="E43" s="30"/>
      <c r="F43" s="3"/>
      <c r="G43" s="2"/>
    </row>
    <row r="44" spans="2:7" x14ac:dyDescent="0.25">
      <c r="C44" s="28"/>
      <c r="D44" s="29"/>
      <c r="E44" s="30"/>
      <c r="F44" s="3"/>
      <c r="G44" s="2"/>
    </row>
    <row r="45" spans="2:7" x14ac:dyDescent="0.25">
      <c r="C45" s="28"/>
      <c r="D45" s="29"/>
      <c r="E45" s="30"/>
      <c r="F45" s="3"/>
      <c r="G45" s="2"/>
    </row>
    <row r="46" spans="2:7" x14ac:dyDescent="0.25">
      <c r="C46" s="28"/>
      <c r="D46" s="29"/>
      <c r="E46" s="30"/>
      <c r="F46" s="3"/>
      <c r="G46" s="2"/>
    </row>
    <row r="47" spans="2:7" x14ac:dyDescent="0.25">
      <c r="C47" s="28"/>
      <c r="D47" s="29"/>
      <c r="E47" s="30"/>
      <c r="F47" s="3"/>
      <c r="G47" s="2"/>
    </row>
    <row r="48" spans="2:7" x14ac:dyDescent="0.25">
      <c r="B48" s="3"/>
      <c r="C48" s="28"/>
      <c r="D48" s="29"/>
      <c r="E48" s="30"/>
      <c r="F48" s="3"/>
      <c r="G48" s="2"/>
    </row>
    <row r="49" spans="2:7" x14ac:dyDescent="0.25">
      <c r="B49" s="3"/>
      <c r="C49" s="28"/>
      <c r="D49" s="29"/>
      <c r="E49" s="30"/>
      <c r="F49" s="3"/>
      <c r="G49" s="2"/>
    </row>
    <row r="50" spans="2:7" x14ac:dyDescent="0.25">
      <c r="B50" s="3"/>
      <c r="C50" s="28"/>
      <c r="D50" s="29"/>
      <c r="E50" s="30"/>
      <c r="F50" s="3"/>
      <c r="G50" s="2"/>
    </row>
    <row r="51" spans="2:7" x14ac:dyDescent="0.25">
      <c r="B51" s="3"/>
      <c r="C51" s="28"/>
      <c r="D51" s="29"/>
      <c r="E51" s="30"/>
      <c r="F51" s="3"/>
      <c r="G51" s="2"/>
    </row>
    <row r="52" spans="2:7" x14ac:dyDescent="0.25">
      <c r="B52" s="3"/>
      <c r="C52" s="28"/>
      <c r="D52" s="29"/>
      <c r="E52" s="30"/>
      <c r="F52" s="3"/>
      <c r="G52" s="2"/>
    </row>
    <row r="53" spans="2:7" x14ac:dyDescent="0.25">
      <c r="B53" s="3"/>
      <c r="C53" s="28"/>
      <c r="D53" s="29"/>
      <c r="E53" s="30"/>
      <c r="F53" s="3"/>
      <c r="G53" s="2"/>
    </row>
    <row r="54" spans="2:7" x14ac:dyDescent="0.25">
      <c r="B54" s="3"/>
      <c r="C54" s="28"/>
      <c r="D54" s="29"/>
      <c r="E54" s="30"/>
      <c r="F54" s="3"/>
      <c r="G54" s="2"/>
    </row>
    <row r="55" spans="2:7" x14ac:dyDescent="0.25">
      <c r="B55" s="3"/>
      <c r="C55" s="28"/>
      <c r="D55" s="29"/>
      <c r="E55" s="30"/>
      <c r="F55" s="3"/>
      <c r="G55" s="2"/>
    </row>
    <row r="56" spans="2:7" x14ac:dyDescent="0.25">
      <c r="C56" s="28"/>
      <c r="D56" s="29"/>
      <c r="E56" s="30"/>
      <c r="F56" s="3"/>
      <c r="G56" s="2"/>
    </row>
    <row r="57" spans="2:7" x14ac:dyDescent="0.25">
      <c r="C57" s="28"/>
      <c r="D57" s="29"/>
      <c r="E57" s="30"/>
      <c r="F57" s="3"/>
      <c r="G57" s="2"/>
    </row>
    <row r="58" spans="2:7" x14ac:dyDescent="0.25">
      <c r="C58" s="28"/>
      <c r="D58" s="29"/>
      <c r="E58" s="30"/>
      <c r="F58" s="3"/>
      <c r="G58" s="2"/>
    </row>
    <row r="59" spans="2:7" x14ac:dyDescent="0.25">
      <c r="C59" s="28"/>
      <c r="D59" s="29"/>
      <c r="E59" s="30"/>
      <c r="F59" s="3"/>
      <c r="G59" s="2"/>
    </row>
    <row r="60" spans="2:7" x14ac:dyDescent="0.25">
      <c r="C60" s="28"/>
      <c r="D60" s="29"/>
      <c r="E60" s="30"/>
      <c r="F60" s="3"/>
      <c r="G60" s="2"/>
    </row>
    <row r="61" spans="2:7" x14ac:dyDescent="0.25">
      <c r="C61" s="28"/>
      <c r="D61" s="29"/>
      <c r="E61" s="30"/>
      <c r="F61" s="3"/>
      <c r="G61" s="2"/>
    </row>
    <row r="62" spans="2:7" x14ac:dyDescent="0.25">
      <c r="C62" s="28"/>
      <c r="D62" s="29"/>
      <c r="E62" s="30"/>
      <c r="F62" s="3"/>
      <c r="G62" s="2"/>
    </row>
    <row r="63" spans="2:7" x14ac:dyDescent="0.25">
      <c r="C63" s="28"/>
      <c r="D63" s="29"/>
      <c r="E63" s="30"/>
      <c r="F63" s="3"/>
      <c r="G63" s="2"/>
    </row>
    <row r="64" spans="2:7" x14ac:dyDescent="0.25">
      <c r="C64" s="28"/>
      <c r="D64" s="29"/>
      <c r="E64" s="30"/>
      <c r="F64" s="3"/>
      <c r="G64" s="2"/>
    </row>
    <row r="65" spans="3:7" x14ac:dyDescent="0.25">
      <c r="C65" s="28"/>
      <c r="D65" s="29"/>
      <c r="E65" s="30"/>
      <c r="F65" s="3"/>
      <c r="G65" s="2"/>
    </row>
    <row r="66" spans="3:7" x14ac:dyDescent="0.25">
      <c r="C66" s="28"/>
      <c r="D66" s="29"/>
      <c r="E66" s="30"/>
      <c r="F66" s="3"/>
      <c r="G66" s="2"/>
    </row>
    <row r="67" spans="3:7" x14ac:dyDescent="0.25">
      <c r="C67" s="28"/>
      <c r="D67" s="29"/>
      <c r="E67" s="30"/>
      <c r="F67" s="3"/>
      <c r="G67" s="2"/>
    </row>
    <row r="68" spans="3:7" x14ac:dyDescent="0.25">
      <c r="C68" s="28"/>
      <c r="D68" s="29"/>
      <c r="E68" s="30"/>
      <c r="F68" s="3"/>
      <c r="G68" s="2"/>
    </row>
    <row r="69" spans="3:7" x14ac:dyDescent="0.25">
      <c r="C69" s="28"/>
      <c r="D69" s="29"/>
      <c r="E69" s="30"/>
      <c r="F69" s="3"/>
      <c r="G69" s="2"/>
    </row>
    <row r="70" spans="3:7" x14ac:dyDescent="0.25">
      <c r="C70" s="28"/>
      <c r="D70" s="29"/>
      <c r="E70" s="30"/>
      <c r="F70" s="3"/>
      <c r="G70" s="2"/>
    </row>
    <row r="71" spans="3:7" x14ac:dyDescent="0.25">
      <c r="C71" s="28"/>
      <c r="D71" s="29"/>
      <c r="E71" s="30"/>
      <c r="F71" s="3"/>
      <c r="G71" s="2"/>
    </row>
    <row r="72" spans="3:7" x14ac:dyDescent="0.25">
      <c r="C72" s="28"/>
      <c r="D72" s="29"/>
      <c r="E72" s="30"/>
      <c r="F72" s="3"/>
      <c r="G72" s="2"/>
    </row>
    <row r="73" spans="3:7" x14ac:dyDescent="0.25">
      <c r="C73" s="28"/>
      <c r="D73" s="29"/>
      <c r="E73" s="30"/>
      <c r="F73" s="3"/>
      <c r="G73" s="2"/>
    </row>
    <row r="74" spans="3:7" x14ac:dyDescent="0.25">
      <c r="C74" s="28"/>
      <c r="D74" s="29"/>
      <c r="E74" s="30"/>
      <c r="F74" s="3"/>
      <c r="G74" s="2"/>
    </row>
    <row r="75" spans="3:7" x14ac:dyDescent="0.25">
      <c r="C75" s="28"/>
      <c r="D75" s="29"/>
      <c r="E75" s="30"/>
      <c r="F75" s="3"/>
      <c r="G75" s="2"/>
    </row>
  </sheetData>
  <sortState ref="A8:G28">
    <sortCondition descending="1" ref="D8:D28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2018 Race Points</oddHeader>
    <oddFooter>&amp;R&amp;"Tahoma,Regular"Page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workbookViewId="0">
      <selection activeCell="B24" sqref="B24"/>
    </sheetView>
  </sheetViews>
  <sheetFormatPr defaultRowHeight="13.2" x14ac:dyDescent="0.25"/>
  <cols>
    <col min="2" max="2" width="24.6640625" customWidth="1"/>
    <col min="3" max="3" width="9.6640625" style="42" customWidth="1"/>
    <col min="4" max="7" width="9.6640625" customWidth="1"/>
  </cols>
  <sheetData>
    <row r="1" spans="1:7" x14ac:dyDescent="0.25">
      <c r="A1" s="16" t="s">
        <v>22</v>
      </c>
      <c r="B1" s="17" t="s">
        <v>1027</v>
      </c>
      <c r="C1" s="133"/>
      <c r="D1" s="18"/>
      <c r="E1" s="18"/>
      <c r="F1" s="18"/>
      <c r="G1" s="19"/>
    </row>
    <row r="2" spans="1:7" x14ac:dyDescent="0.25">
      <c r="A2" s="20" t="s">
        <v>23</v>
      </c>
      <c r="B2" s="21">
        <v>43086</v>
      </c>
      <c r="C2" s="56"/>
      <c r="D2" s="22"/>
      <c r="E2" s="22"/>
      <c r="F2" s="22"/>
      <c r="G2" s="23"/>
    </row>
    <row r="3" spans="1:7" x14ac:dyDescent="0.25">
      <c r="A3" s="20" t="s">
        <v>24</v>
      </c>
      <c r="B3" s="24" t="s">
        <v>25</v>
      </c>
      <c r="C3" s="56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56"/>
      <c r="D4" s="22"/>
      <c r="E4" s="22"/>
      <c r="F4" s="22"/>
      <c r="G4" s="23"/>
    </row>
    <row r="5" spans="1:7" x14ac:dyDescent="0.25">
      <c r="A5" s="20" t="s">
        <v>27</v>
      </c>
      <c r="B5" s="24" t="s">
        <v>1025</v>
      </c>
      <c r="C5" s="56"/>
      <c r="D5" s="22"/>
      <c r="E5" s="22" t="s">
        <v>55</v>
      </c>
      <c r="F5" s="38">
        <f>AVERAGE(C8:C10)*(AVERAGE(D8:D10)/100)</f>
        <v>2.4108163921782787E-2</v>
      </c>
      <c r="G5" s="23"/>
    </row>
    <row r="6" spans="1:7" x14ac:dyDescent="0.25">
      <c r="A6" s="25" t="s">
        <v>29</v>
      </c>
      <c r="B6" s="26"/>
      <c r="C6" s="134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</v>
      </c>
      <c r="B8" s="3" t="s">
        <v>50</v>
      </c>
      <c r="C8" s="51">
        <v>2.5265046296296296E-2</v>
      </c>
      <c r="D8" s="29">
        <f>INDEX('Points Summary'!$H$4:$H$1143,G8)</f>
        <v>94.460912223772951</v>
      </c>
      <c r="E8" s="124">
        <f t="shared" ref="E8:E24" si="0">(AVERAGE($D$8:$D$10)/100*AVERAGE($C$8:$C$10))/C8</f>
        <v>0.9542101620972252</v>
      </c>
      <c r="F8" s="3"/>
      <c r="G8" s="2">
        <f>MATCH(B8,'Points Summary'!$B$4:$B$1144,0)</f>
        <v>104</v>
      </c>
    </row>
    <row r="9" spans="1:7" x14ac:dyDescent="0.25">
      <c r="A9" s="2">
        <v>2</v>
      </c>
      <c r="B9" s="3" t="s">
        <v>460</v>
      </c>
      <c r="C9" s="51">
        <v>2.5440972222222219E-2</v>
      </c>
      <c r="D9" s="29">
        <f>INDEX('Points Summary'!$H$4:$H$1143,G9)</f>
        <v>92.189833981686178</v>
      </c>
      <c r="E9" s="124">
        <f t="shared" si="0"/>
        <v>0.9476117387025309</v>
      </c>
      <c r="F9" s="3"/>
      <c r="G9" s="2">
        <f>MATCH(B9,'Points Summary'!$B$4:$B$1144,0)</f>
        <v>139</v>
      </c>
    </row>
    <row r="10" spans="1:7" x14ac:dyDescent="0.25">
      <c r="A10" s="2">
        <v>6</v>
      </c>
      <c r="B10" s="3" t="s">
        <v>795</v>
      </c>
      <c r="C10" s="51">
        <v>2.7160879629629629E-2</v>
      </c>
      <c r="D10" s="29">
        <f>INDEX('Points Summary'!$H$4:$H$1143,G10)</f>
        <v>91.99586802493603</v>
      </c>
      <c r="E10" s="124">
        <f t="shared" si="0"/>
        <v>0.88760615453276215</v>
      </c>
      <c r="F10" s="3"/>
      <c r="G10" s="2">
        <f>MATCH(B10,'Points Summary'!$B$4:$B$1144,0)</f>
        <v>201</v>
      </c>
    </row>
    <row r="11" spans="1:7" x14ac:dyDescent="0.25">
      <c r="A11" s="2">
        <v>7</v>
      </c>
      <c r="B11" s="3" t="s">
        <v>838</v>
      </c>
      <c r="C11" s="51">
        <v>2.7554398148148151E-2</v>
      </c>
      <c r="D11" s="29">
        <f>INDEX('Points Summary'!$H$4:$H$1143,G11)</f>
        <v>90.307748533563512</v>
      </c>
      <c r="E11" s="124">
        <f t="shared" si="0"/>
        <v>0.87492979495191858</v>
      </c>
      <c r="F11" s="3"/>
      <c r="G11" s="2">
        <f>MATCH(B11,'Points Summary'!$B$4:$B$1144,0)</f>
        <v>57</v>
      </c>
    </row>
    <row r="12" spans="1:7" x14ac:dyDescent="0.25">
      <c r="A12" s="2">
        <v>4</v>
      </c>
      <c r="B12" s="3" t="s">
        <v>759</v>
      </c>
      <c r="C12" s="51">
        <v>2.6215277777777778E-2</v>
      </c>
      <c r="D12" s="29">
        <f>INDEX('Points Summary'!$H$4:$H$1143,G12)</f>
        <v>90.055069712413157</v>
      </c>
      <c r="E12" s="124">
        <f t="shared" si="0"/>
        <v>0.91962267675144937</v>
      </c>
      <c r="F12" s="3"/>
      <c r="G12" s="2">
        <f>MATCH(B12,'Points Summary'!$B$4:$B$1144,0)</f>
        <v>131</v>
      </c>
    </row>
    <row r="13" spans="1:7" x14ac:dyDescent="0.25">
      <c r="A13" s="2">
        <v>9</v>
      </c>
      <c r="B13" s="3" t="s">
        <v>103</v>
      </c>
      <c r="C13" s="51">
        <v>2.84849537037037E-2</v>
      </c>
      <c r="D13" s="29">
        <f>INDEX('Points Summary'!$H$4:$H$1143,G13)</f>
        <v>89.964188620219048</v>
      </c>
      <c r="E13" s="124">
        <f t="shared" si="0"/>
        <v>0.84634730926903945</v>
      </c>
      <c r="F13" s="3"/>
      <c r="G13" s="2">
        <f>MATCH(B13,'Points Summary'!$B$4:$B$1144,0)</f>
        <v>163</v>
      </c>
    </row>
    <row r="14" spans="1:7" x14ac:dyDescent="0.25">
      <c r="A14" s="2">
        <v>8</v>
      </c>
      <c r="B14" s="3" t="s">
        <v>765</v>
      </c>
      <c r="C14" s="51">
        <v>2.8214120370370369E-2</v>
      </c>
      <c r="D14" s="29">
        <f>INDEX('Points Summary'!$H$4:$H$1143,G14)</f>
        <v>87.998149406139206</v>
      </c>
      <c r="E14" s="124">
        <f t="shared" si="0"/>
        <v>0.85447157683145303</v>
      </c>
      <c r="F14" s="3"/>
      <c r="G14" s="2">
        <f>MATCH(B14,'Points Summary'!$B$4:$B$1144,0)</f>
        <v>97</v>
      </c>
    </row>
    <row r="15" spans="1:7" x14ac:dyDescent="0.25">
      <c r="A15" s="2">
        <v>10</v>
      </c>
      <c r="B15" s="3" t="s">
        <v>104</v>
      </c>
      <c r="C15" s="51">
        <v>2.8675925925925928E-2</v>
      </c>
      <c r="D15" s="29">
        <f>INDEX('Points Summary'!$H$4:$H$1143,G15)</f>
        <v>87.280515799112706</v>
      </c>
      <c r="E15" s="124">
        <f t="shared" si="0"/>
        <v>0.84071091493462735</v>
      </c>
      <c r="F15" s="3"/>
      <c r="G15" s="2">
        <f>MATCH(B15,'Points Summary'!$B$4:$B$1144,0)</f>
        <v>166</v>
      </c>
    </row>
    <row r="16" spans="1:7" x14ac:dyDescent="0.25">
      <c r="A16" s="2">
        <v>5</v>
      </c>
      <c r="B16" s="3" t="s">
        <v>756</v>
      </c>
      <c r="C16" s="51">
        <v>2.6821759259259257E-2</v>
      </c>
      <c r="D16" s="29">
        <f>INDEX('Points Summary'!$H$4:$H$1143,G16)</f>
        <v>85.052444447965044</v>
      </c>
      <c r="E16" s="124">
        <f t="shared" si="0"/>
        <v>0.89882858498404805</v>
      </c>
      <c r="F16" s="3"/>
      <c r="G16" s="2">
        <f>MATCH(B16,'Points Summary'!$B$4:$B$1144,0)</f>
        <v>80</v>
      </c>
    </row>
    <row r="17" spans="1:7" x14ac:dyDescent="0.25">
      <c r="A17" s="2">
        <v>13</v>
      </c>
      <c r="B17" s="3" t="s">
        <v>711</v>
      </c>
      <c r="C17" s="51">
        <v>3.1901620370370372E-2</v>
      </c>
      <c r="D17" s="29">
        <f>INDEX('Points Summary'!$H$4:$H$1143,G17)</f>
        <v>80.808467545736889</v>
      </c>
      <c r="E17" s="124">
        <f t="shared" si="0"/>
        <v>0.75570342954033765</v>
      </c>
      <c r="F17" s="3"/>
      <c r="G17" s="2">
        <f>MATCH(B17,'Points Summary'!$B$4:$B$1144,0)</f>
        <v>85</v>
      </c>
    </row>
    <row r="18" spans="1:7" x14ac:dyDescent="0.25">
      <c r="A18" s="2">
        <v>14</v>
      </c>
      <c r="B18" s="3" t="s">
        <v>718</v>
      </c>
      <c r="C18" s="51">
        <v>3.1901620370370372E-2</v>
      </c>
      <c r="D18" s="29">
        <f>INDEX('Points Summary'!$H$4:$H$1143,G18)</f>
        <v>79.62720219965918</v>
      </c>
      <c r="E18" s="124">
        <f t="shared" si="0"/>
        <v>0.75570342954033765</v>
      </c>
      <c r="F18" s="3"/>
      <c r="G18" s="2">
        <f>MATCH(B18,'Points Summary'!$B$4:$B$1144,0)</f>
        <v>305</v>
      </c>
    </row>
    <row r="19" spans="1:7" x14ac:dyDescent="0.25">
      <c r="A19" s="2">
        <v>11</v>
      </c>
      <c r="B19" s="3" t="s">
        <v>936</v>
      </c>
      <c r="C19" s="51">
        <v>3.0636574074074076E-2</v>
      </c>
      <c r="D19" s="29">
        <f>INDEX('Points Summary'!$H$4:$H$1143,G19)</f>
        <v>79.01318682809638</v>
      </c>
      <c r="E19" s="124">
        <f t="shared" si="0"/>
        <v>0.78690795725048457</v>
      </c>
      <c r="F19" s="3"/>
      <c r="G19" s="2">
        <f>MATCH(B19,'Points Summary'!$B$4:$B$1144,0)</f>
        <v>330</v>
      </c>
    </row>
    <row r="20" spans="1:7" x14ac:dyDescent="0.25">
      <c r="A20" s="2">
        <v>12</v>
      </c>
      <c r="B20" s="3" t="s">
        <v>796</v>
      </c>
      <c r="C20" s="51">
        <v>3.1434027777777776E-2</v>
      </c>
      <c r="D20" s="29">
        <f>INDEX('Points Summary'!$H$4:$H$1143,G20)</f>
        <v>76.976708986449907</v>
      </c>
      <c r="E20" s="124">
        <f t="shared" si="0"/>
        <v>0.76694479282817218</v>
      </c>
      <c r="F20" s="3"/>
      <c r="G20" s="2">
        <f>MATCH(B20,'Points Summary'!$B$4:$B$1144,0)</f>
        <v>320</v>
      </c>
    </row>
    <row r="21" spans="1:7" x14ac:dyDescent="0.25">
      <c r="A21" s="2">
        <v>15</v>
      </c>
      <c r="B21" s="3" t="s">
        <v>730</v>
      </c>
      <c r="C21" s="51">
        <v>3.2157407407407405E-2</v>
      </c>
      <c r="D21" s="29">
        <f>INDEX('Points Summary'!$H$4:$H$1143,G21)</f>
        <v>69.065089787713617</v>
      </c>
      <c r="E21" s="124">
        <f t="shared" si="0"/>
        <v>0.74969239952563815</v>
      </c>
      <c r="F21" s="3"/>
      <c r="G21" s="2">
        <f>MATCH(B21,'Points Summary'!$B$4:$B$1144,0)</f>
        <v>355</v>
      </c>
    </row>
    <row r="22" spans="1:7" x14ac:dyDescent="0.25">
      <c r="A22" s="2">
        <v>16</v>
      </c>
      <c r="B22" s="3" t="s">
        <v>729</v>
      </c>
      <c r="C22" s="51">
        <v>3.484375E-2</v>
      </c>
      <c r="D22" s="29">
        <f>INDEX('Points Summary'!$H$4:$H$1143,G22)</f>
        <v>68.642687944653403</v>
      </c>
      <c r="E22" s="124">
        <f t="shared" si="0"/>
        <v>0.69189349371932662</v>
      </c>
      <c r="F22" s="3"/>
      <c r="G22" s="2">
        <f>MATCH(B22,'Points Summary'!$B$4:$B$1144,0)</f>
        <v>252</v>
      </c>
    </row>
    <row r="23" spans="1:7" x14ac:dyDescent="0.25">
      <c r="A23" s="2">
        <v>3</v>
      </c>
      <c r="B23" s="3" t="s">
        <v>1022</v>
      </c>
      <c r="C23" s="51">
        <v>2.6138888888888889E-2</v>
      </c>
      <c r="D23" s="29">
        <f>INDEX('Points Summary'!$H$4:$H$1143,G23)</f>
        <v>0</v>
      </c>
      <c r="E23" s="124">
        <f t="shared" si="0"/>
        <v>0.9223102031712862</v>
      </c>
      <c r="F23" s="3"/>
      <c r="G23" s="2">
        <f>MATCH(B23,'Points Summary'!$B$4:$B$1144,0)</f>
        <v>222</v>
      </c>
    </row>
    <row r="24" spans="1:7" x14ac:dyDescent="0.25">
      <c r="A24" s="2">
        <v>17</v>
      </c>
      <c r="B24" s="3" t="s">
        <v>1031</v>
      </c>
      <c r="C24" s="51">
        <v>3.6423611111111115E-2</v>
      </c>
      <c r="D24" s="29">
        <f>INDEX('Points Summary'!$H$4:$H$1143,G24)</f>
        <v>0</v>
      </c>
      <c r="E24" s="124">
        <f t="shared" si="0"/>
        <v>0.66188286076963221</v>
      </c>
      <c r="F24" s="3"/>
      <c r="G24" s="2">
        <f>MATCH(B24,'Points Summary'!$B$4:$B$1144,0)</f>
        <v>353</v>
      </c>
    </row>
    <row r="25" spans="1:7" x14ac:dyDescent="0.25">
      <c r="A25" s="42"/>
      <c r="B25" s="3"/>
      <c r="C25" s="51"/>
      <c r="D25" s="29"/>
      <c r="E25" s="30"/>
      <c r="F25" s="3"/>
      <c r="G25" s="2"/>
    </row>
    <row r="26" spans="1:7" x14ac:dyDescent="0.25">
      <c r="A26" s="42"/>
      <c r="B26" s="3"/>
      <c r="C26" s="51"/>
      <c r="D26" s="29"/>
      <c r="E26" s="30"/>
      <c r="F26" s="3"/>
      <c r="G26" s="2"/>
    </row>
    <row r="27" spans="1:7" x14ac:dyDescent="0.25">
      <c r="D27" s="29"/>
      <c r="E27" s="30"/>
      <c r="F27" s="3"/>
      <c r="G27" s="2"/>
    </row>
    <row r="28" spans="1:7" x14ac:dyDescent="0.25">
      <c r="A28" s="42"/>
      <c r="B28" s="3"/>
      <c r="C28" s="51"/>
      <c r="D28" s="29"/>
      <c r="E28" s="30"/>
      <c r="F28" s="3"/>
      <c r="G28" s="2"/>
    </row>
    <row r="29" spans="1:7" x14ac:dyDescent="0.25">
      <c r="A29" s="42"/>
      <c r="B29" s="3"/>
      <c r="C29" s="51"/>
      <c r="D29" s="29"/>
      <c r="E29" s="30"/>
      <c r="F29" s="3"/>
      <c r="G29" s="2"/>
    </row>
    <row r="30" spans="1:7" x14ac:dyDescent="0.25">
      <c r="A30" s="42"/>
      <c r="B30" s="3"/>
      <c r="C30" s="51"/>
      <c r="D30" s="29"/>
      <c r="E30" s="30"/>
      <c r="F30" s="3"/>
      <c r="G30" s="2"/>
    </row>
  </sheetData>
  <sortState ref="A8:G24">
    <sortCondition descending="1" ref="D8:D20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2018 Race Points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B3" sqref="B3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1019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43085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43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1023</v>
      </c>
      <c r="C5" s="22"/>
      <c r="D5" s="22"/>
      <c r="E5" s="22" t="s">
        <v>55</v>
      </c>
      <c r="F5" s="38">
        <f>AVERAGE(C8:C11)*(AVERAGE(D8:D11)/100)</f>
        <v>2.2894768016683192E-2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14</v>
      </c>
      <c r="B8" s="114" t="s">
        <v>84</v>
      </c>
      <c r="C8" s="28">
        <v>2.3108796296296297E-2</v>
      </c>
      <c r="D8" s="29">
        <f>INDEX('Points Summary'!$H$4:$H$1143,G8)</f>
        <v>100.00430567075759</v>
      </c>
      <c r="E8" s="30">
        <f>(AVERAGE($D$8:$D$11)/100*AVERAGE($C$8:$C$11))/C8</f>
        <v>0.99073823331735333</v>
      </c>
      <c r="F8" s="3"/>
      <c r="G8" s="2">
        <f>MATCH(B8,'Points Summary'!$B$4:$B$1144,0)</f>
        <v>13</v>
      </c>
    </row>
    <row r="9" spans="1:7" x14ac:dyDescent="0.25">
      <c r="A9" s="2">
        <v>26</v>
      </c>
      <c r="B9" s="114" t="s">
        <v>7</v>
      </c>
      <c r="C9" s="28">
        <v>2.3594907407407408E-2</v>
      </c>
      <c r="D9" s="29">
        <f>INDEX('Points Summary'!$H$4:$H$1143,G9)</f>
        <v>95.350976065584277</v>
      </c>
      <c r="E9" s="30">
        <f>(AVERAGE($D$8:$D$11)/100*AVERAGE($C$8:$C$11))/C9</f>
        <v>0.97032667352174418</v>
      </c>
      <c r="F9" s="3"/>
      <c r="G9" s="2">
        <f>MATCH(B9,'Points Summary'!$B$4:$B$1144,0)</f>
        <v>63</v>
      </c>
    </row>
    <row r="10" spans="1:7" x14ac:dyDescent="0.25">
      <c r="A10" s="2">
        <v>30</v>
      </c>
      <c r="B10" s="3" t="s">
        <v>189</v>
      </c>
      <c r="C10" s="28">
        <v>2.4065972222222221E-2</v>
      </c>
      <c r="D10" s="29">
        <f>INDEX('Points Summary'!$H$4:$H$1143,G10)</f>
        <v>93.909537275665315</v>
      </c>
      <c r="E10" s="30">
        <f>(AVERAGE($D$8:$D$11)/100*AVERAGE($C$8:$C$11))/C10</f>
        <v>0.95133360103949782</v>
      </c>
      <c r="F10" s="3"/>
      <c r="G10" s="2">
        <f>MATCH(B10,'Points Summary'!$B$4:$B$1144,0)</f>
        <v>120</v>
      </c>
    </row>
    <row r="11" spans="1:7" x14ac:dyDescent="0.25">
      <c r="A11" s="2">
        <v>48</v>
      </c>
      <c r="B11" s="3" t="s">
        <v>70</v>
      </c>
      <c r="C11" s="28">
        <v>2.4648148148148148E-2</v>
      </c>
      <c r="D11" s="29">
        <f>INDEX('Points Summary'!$H$4:$H$1143,G11)</f>
        <v>94.642791354956501</v>
      </c>
      <c r="E11" s="30">
        <f>(AVERAGE($D$8:$D$11)/100*AVERAGE($C$8:$C$11))/C11</f>
        <v>0.92886361600367573</v>
      </c>
      <c r="F11" s="3"/>
      <c r="G11" s="2">
        <f>MATCH(B11,'Points Summary'!$B$4:$B$1144,0)</f>
        <v>309</v>
      </c>
    </row>
    <row r="12" spans="1:7" x14ac:dyDescent="0.25">
      <c r="A12" s="2"/>
      <c r="B12" s="3"/>
      <c r="C12" s="28"/>
      <c r="D12" s="29"/>
      <c r="E12" s="30"/>
      <c r="F12" s="3"/>
      <c r="G12" s="2"/>
    </row>
    <row r="13" spans="1:7" x14ac:dyDescent="0.25">
      <c r="A13" s="2"/>
      <c r="B13" s="3"/>
      <c r="C13" s="28">
        <v>2.2832175925925926E-2</v>
      </c>
      <c r="D13" s="28">
        <v>1.5497685185185182E-3</v>
      </c>
      <c r="E13" s="28">
        <f>C13+D13</f>
        <v>2.4381944444444446E-2</v>
      </c>
      <c r="F13" s="28">
        <f>E13-TIME(0,1,50)</f>
        <v>2.3108796296296297E-2</v>
      </c>
      <c r="G13" s="2"/>
    </row>
    <row r="14" spans="1:7" x14ac:dyDescent="0.25">
      <c r="A14" s="2"/>
      <c r="B14" s="3"/>
      <c r="C14" s="28">
        <v>2.2832175925925926E-2</v>
      </c>
      <c r="D14" s="28">
        <v>2.1192129629629629E-3</v>
      </c>
      <c r="E14" s="28">
        <f>C14+D14</f>
        <v>2.4951388888888888E-2</v>
      </c>
      <c r="F14" s="28">
        <f>E13-TIME(0,1,8)</f>
        <v>2.3594907407407408E-2</v>
      </c>
      <c r="G14" s="2"/>
    </row>
    <row r="15" spans="1:7" x14ac:dyDescent="0.25">
      <c r="A15" s="2"/>
      <c r="B15" s="3"/>
      <c r="C15" s="28">
        <v>2.2832175925925926E-2</v>
      </c>
      <c r="D15" s="28">
        <v>2.1597222222222222E-3</v>
      </c>
      <c r="E15" s="28">
        <f>C15+D15</f>
        <v>2.4991898148148149E-2</v>
      </c>
      <c r="F15" s="28">
        <f>E15-TIME(0,1,20)</f>
        <v>2.4065972222222221E-2</v>
      </c>
      <c r="G15" s="2"/>
    </row>
    <row r="16" spans="1:7" x14ac:dyDescent="0.25">
      <c r="A16" s="2"/>
      <c r="B16" s="3"/>
      <c r="C16" s="28">
        <v>2.2832175925925926E-2</v>
      </c>
      <c r="D16" s="28">
        <v>3.4131944444444444E-3</v>
      </c>
      <c r="E16" s="28">
        <f>C16+D16</f>
        <v>2.624537037037037E-2</v>
      </c>
      <c r="F16" s="28">
        <f>E16-TIME(0,2,18)</f>
        <v>2.4648148148148148E-2</v>
      </c>
      <c r="G16" s="2"/>
    </row>
    <row r="17" spans="1:7" x14ac:dyDescent="0.25">
      <c r="A17" s="2"/>
      <c r="B17" s="3"/>
      <c r="C17" s="28"/>
      <c r="D17" s="29"/>
      <c r="E17" s="30"/>
      <c r="F17" s="3"/>
      <c r="G17" s="2"/>
    </row>
    <row r="18" spans="1:7" x14ac:dyDescent="0.25">
      <c r="A18" s="2"/>
      <c r="B18" s="3"/>
      <c r="C18" s="28"/>
      <c r="D18" s="29"/>
      <c r="E18" s="30"/>
      <c r="F18" s="3"/>
      <c r="G18" s="2"/>
    </row>
    <row r="19" spans="1:7" x14ac:dyDescent="0.25">
      <c r="A19" s="2"/>
      <c r="B19" s="3"/>
      <c r="C19" s="28"/>
      <c r="D19" s="29"/>
      <c r="E19" s="30"/>
      <c r="F19" s="3"/>
      <c r="G19" s="2"/>
    </row>
    <row r="20" spans="1:7" x14ac:dyDescent="0.25">
      <c r="A20" s="2"/>
      <c r="B20" s="3"/>
      <c r="C20" s="28"/>
      <c r="D20" s="29"/>
      <c r="E20" s="30"/>
      <c r="F20" s="3"/>
      <c r="G20" s="2"/>
    </row>
  </sheetData>
  <sortState ref="A8:D12">
    <sortCondition descending="1" ref="D8:D12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2018 Race Points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workbookViewId="0">
      <selection activeCell="C8" sqref="C8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9" x14ac:dyDescent="0.25">
      <c r="A1" s="16" t="s">
        <v>22</v>
      </c>
      <c r="B1" s="17" t="s">
        <v>1027</v>
      </c>
      <c r="C1" s="18"/>
      <c r="D1" s="18"/>
      <c r="E1" s="18"/>
      <c r="F1" s="18"/>
      <c r="G1" s="19"/>
    </row>
    <row r="2" spans="1:9" x14ac:dyDescent="0.25">
      <c r="A2" s="20" t="s">
        <v>23</v>
      </c>
      <c r="B2" s="21">
        <v>43088</v>
      </c>
      <c r="C2" s="22"/>
      <c r="D2" s="22"/>
      <c r="E2" s="22"/>
      <c r="F2" s="22"/>
      <c r="G2" s="23"/>
    </row>
    <row r="3" spans="1:9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9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9" x14ac:dyDescent="0.25">
      <c r="A5" s="20" t="s">
        <v>27</v>
      </c>
      <c r="B5" s="24" t="s">
        <v>1025</v>
      </c>
      <c r="C5" s="22"/>
      <c r="D5" s="22"/>
      <c r="E5" s="22" t="s">
        <v>55</v>
      </c>
      <c r="F5" s="38">
        <f>AVERAGE(C8:C12)*(AVERAGE(D8:D12)/100)</f>
        <v>1.7494634508356383E-2</v>
      </c>
      <c r="G5" s="23"/>
    </row>
    <row r="6" spans="1:9" x14ac:dyDescent="0.25">
      <c r="A6" s="25" t="s">
        <v>29</v>
      </c>
      <c r="B6" s="26"/>
      <c r="C6" s="26"/>
      <c r="D6" s="26"/>
      <c r="E6" s="26"/>
      <c r="F6" s="26"/>
      <c r="G6" s="27"/>
    </row>
    <row r="7" spans="1:9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9" x14ac:dyDescent="0.25">
      <c r="A8" s="53">
        <v>4</v>
      </c>
      <c r="B8" s="3" t="s">
        <v>50</v>
      </c>
      <c r="C8" s="28">
        <v>1.8586805555555554E-2</v>
      </c>
      <c r="D8" s="29">
        <f>INDEX('Points Summary'!$H$4:$H$1143,G8)</f>
        <v>94.460912223772951</v>
      </c>
      <c r="E8" s="30">
        <f t="shared" ref="E8:E26" si="0">(AVERAGE($D$8:$D$12)/100*AVERAGE($C$8:$C$12))/C8</f>
        <v>0.94123944300516327</v>
      </c>
      <c r="F8" s="3"/>
      <c r="G8" s="2">
        <f>MATCH(B8,'Points Summary'!$B$4:$B$1144,0)</f>
        <v>104</v>
      </c>
    </row>
    <row r="9" spans="1:9" x14ac:dyDescent="0.25">
      <c r="A9" s="53">
        <v>6</v>
      </c>
      <c r="B9" s="3" t="s">
        <v>460</v>
      </c>
      <c r="C9" s="28">
        <v>1.8814814814814815E-2</v>
      </c>
      <c r="D9" s="29">
        <f>INDEX('Points Summary'!$H$4:$H$1143,G9)</f>
        <v>92.189833981686178</v>
      </c>
      <c r="E9" s="30">
        <f t="shared" si="0"/>
        <v>0.92983293646776044</v>
      </c>
      <c r="F9" s="3"/>
      <c r="G9" s="2">
        <f>MATCH(B9,'Points Summary'!$B$4:$B$1144,0)</f>
        <v>139</v>
      </c>
    </row>
    <row r="10" spans="1:9" x14ac:dyDescent="0.25">
      <c r="A10" s="2">
        <v>3</v>
      </c>
      <c r="B10" s="3" t="s">
        <v>795</v>
      </c>
      <c r="C10" s="28">
        <v>1.8523148148148146E-2</v>
      </c>
      <c r="D10" s="29">
        <f>INDEX('Points Summary'!$H$4:$H$1143,G10)</f>
        <v>91.99586802493603</v>
      </c>
      <c r="E10" s="30">
        <f t="shared" si="0"/>
        <v>0.94447414491501602</v>
      </c>
      <c r="F10" s="3"/>
      <c r="G10" s="2">
        <f>MATCH(B10,'Points Summary'!$B$4:$B$1144,0)</f>
        <v>201</v>
      </c>
    </row>
    <row r="11" spans="1:9" x14ac:dyDescent="0.25">
      <c r="A11" s="53">
        <v>9</v>
      </c>
      <c r="B11" s="3" t="s">
        <v>838</v>
      </c>
      <c r="C11" s="28">
        <v>1.9761574074074074E-2</v>
      </c>
      <c r="D11" s="29">
        <f>INDEX('Points Summary'!$H$4:$H$1143,G11)</f>
        <v>90.307748533563512</v>
      </c>
      <c r="E11" s="30">
        <f t="shared" si="0"/>
        <v>0.88528547588262363</v>
      </c>
      <c r="F11" s="3"/>
      <c r="G11" s="2">
        <f>MATCH(B11,'Points Summary'!$B$4:$B$1144,0)</f>
        <v>57</v>
      </c>
    </row>
    <row r="12" spans="1:9" x14ac:dyDescent="0.25">
      <c r="A12" s="53">
        <v>8</v>
      </c>
      <c r="B12" s="3" t="s">
        <v>759</v>
      </c>
      <c r="C12" s="28">
        <v>1.9598379629629629E-2</v>
      </c>
      <c r="D12" s="29">
        <f>INDEX('Points Summary'!$H$4:$H$1143,G12)</f>
        <v>90.055069712413157</v>
      </c>
      <c r="E12" s="30">
        <f t="shared" si="0"/>
        <v>0.89265719100099894</v>
      </c>
      <c r="F12" s="3"/>
      <c r="G12" s="2">
        <f>MATCH(B12,'Points Summary'!$B$4:$B$1144,0)</f>
        <v>131</v>
      </c>
    </row>
    <row r="13" spans="1:9" x14ac:dyDescent="0.25">
      <c r="A13" s="42">
        <v>7</v>
      </c>
      <c r="B13" s="3" t="s">
        <v>103</v>
      </c>
      <c r="C13" s="28">
        <v>1.9578703703703702E-2</v>
      </c>
      <c r="D13" s="29">
        <f>INDEX('Points Summary'!$H$4:$H$1143,G13)</f>
        <v>89.964188620219048</v>
      </c>
      <c r="E13" s="30">
        <f t="shared" si="0"/>
        <v>0.89355428087135946</v>
      </c>
      <c r="F13" s="3"/>
      <c r="G13" s="2">
        <f>MATCH(B13,'Points Summary'!$B$4:$B$1144,0)</f>
        <v>163</v>
      </c>
    </row>
    <row r="14" spans="1:9" x14ac:dyDescent="0.25">
      <c r="A14" s="53">
        <v>10</v>
      </c>
      <c r="B14" s="3" t="s">
        <v>173</v>
      </c>
      <c r="C14" s="28">
        <v>1.9910879629629629E-2</v>
      </c>
      <c r="D14" s="29">
        <f>INDEX('Points Summary'!$H$4:$H$1143,G14)</f>
        <v>89.585588407213393</v>
      </c>
      <c r="E14" s="30">
        <f t="shared" si="0"/>
        <v>0.87864699268847968</v>
      </c>
      <c r="F14" s="3"/>
      <c r="G14" s="2">
        <f>MATCH(B14,'Points Summary'!$B$4:$B$1144,0)</f>
        <v>47</v>
      </c>
      <c r="I14" s="3"/>
    </row>
    <row r="15" spans="1:9" x14ac:dyDescent="0.25">
      <c r="A15" s="53">
        <v>11</v>
      </c>
      <c r="B15" s="3" t="s">
        <v>765</v>
      </c>
      <c r="C15" s="28">
        <v>2.0283564814814813E-2</v>
      </c>
      <c r="D15" s="29">
        <f>INDEX('Points Summary'!$H$4:$H$1143,G15)</f>
        <v>87.998149406139206</v>
      </c>
      <c r="E15" s="30">
        <f t="shared" si="0"/>
        <v>0.86250295093979545</v>
      </c>
      <c r="F15" s="3"/>
      <c r="G15" s="2">
        <f>MATCH(B15,'Points Summary'!$B$4:$B$1144,0)</f>
        <v>97</v>
      </c>
    </row>
    <row r="16" spans="1:9" x14ac:dyDescent="0.25">
      <c r="A16" s="53">
        <v>2</v>
      </c>
      <c r="B16" s="3" t="s">
        <v>104</v>
      </c>
      <c r="C16" s="28">
        <v>1.8172453703703705E-2</v>
      </c>
      <c r="D16" s="29">
        <f>INDEX('Points Summary'!$H$4:$H$1143,G16)</f>
        <v>87.280515799112706</v>
      </c>
      <c r="E16" s="30">
        <f t="shared" si="0"/>
        <v>0.96270073340678397</v>
      </c>
      <c r="F16" s="3"/>
      <c r="G16" s="2">
        <f>MATCH(B16,'Points Summary'!$B$4:$B$1144,0)</f>
        <v>166</v>
      </c>
    </row>
    <row r="17" spans="1:7" x14ac:dyDescent="0.25">
      <c r="A17" s="53">
        <v>15</v>
      </c>
      <c r="B17" s="3" t="s">
        <v>714</v>
      </c>
      <c r="C17" s="28">
        <v>2.1569444444444443E-2</v>
      </c>
      <c r="D17" s="29">
        <f>INDEX('Points Summary'!$H$4:$H$1143,G17)</f>
        <v>87.176205670220071</v>
      </c>
      <c r="E17" s="30">
        <f t="shared" si="0"/>
        <v>0.81108414977569843</v>
      </c>
      <c r="F17" s="3"/>
      <c r="G17" s="2">
        <f>MATCH(B17,'Points Summary'!$B$4:$B$1144,0)</f>
        <v>220</v>
      </c>
    </row>
    <row r="18" spans="1:7" x14ac:dyDescent="0.25">
      <c r="A18" s="53">
        <v>1</v>
      </c>
      <c r="B18" s="3" t="s">
        <v>756</v>
      </c>
      <c r="C18" s="28">
        <v>1.7849537037037035E-2</v>
      </c>
      <c r="D18" s="29">
        <f>INDEX('Points Summary'!$H$4:$H$1143,G18)</f>
        <v>85.052444447965044</v>
      </c>
      <c r="E18" s="30">
        <f t="shared" si="0"/>
        <v>0.98011698970431305</v>
      </c>
      <c r="F18" s="3"/>
      <c r="G18" s="2">
        <f>MATCH(B18,'Points Summary'!$B$4:$B$1144,0)</f>
        <v>80</v>
      </c>
    </row>
    <row r="19" spans="1:7" x14ac:dyDescent="0.25">
      <c r="A19" s="53">
        <v>13</v>
      </c>
      <c r="B19" s="3" t="s">
        <v>718</v>
      </c>
      <c r="C19" s="28">
        <v>2.1012731481481483E-2</v>
      </c>
      <c r="D19" s="29">
        <f>INDEX('Points Summary'!$H$4:$H$1143,G19)</f>
        <v>79.62720219965918</v>
      </c>
      <c r="E19" s="30">
        <f t="shared" si="0"/>
        <v>0.83257307712585593</v>
      </c>
      <c r="F19" s="3"/>
      <c r="G19" s="2">
        <f>MATCH(B19,'Points Summary'!$B$4:$B$1144,0)</f>
        <v>305</v>
      </c>
    </row>
    <row r="20" spans="1:7" x14ac:dyDescent="0.25">
      <c r="A20" s="53">
        <v>14</v>
      </c>
      <c r="B20" s="3" t="s">
        <v>936</v>
      </c>
      <c r="C20" s="28">
        <v>2.1283564814814814E-2</v>
      </c>
      <c r="D20" s="29">
        <f>INDEX('Points Summary'!$H$4:$H$1143,G20)</f>
        <v>79.01318682809638</v>
      </c>
      <c r="E20" s="30">
        <f t="shared" si="0"/>
        <v>0.82197858585131955</v>
      </c>
      <c r="F20" s="3"/>
      <c r="G20" s="2">
        <f>MATCH(B20,'Points Summary'!$B$4:$B$1144,0)</f>
        <v>330</v>
      </c>
    </row>
    <row r="21" spans="1:7" x14ac:dyDescent="0.25">
      <c r="A21" s="53">
        <v>16</v>
      </c>
      <c r="B21" s="3" t="s">
        <v>713</v>
      </c>
      <c r="C21" s="28">
        <v>2.2070601851851852E-2</v>
      </c>
      <c r="D21" s="29">
        <f>INDEX('Points Summary'!$H$4:$H$1143,G21)</f>
        <v>78.60794886388625</v>
      </c>
      <c r="E21" s="30">
        <f t="shared" si="0"/>
        <v>0.79266685275682602</v>
      </c>
      <c r="F21" s="3"/>
      <c r="G21" s="2">
        <f>MATCH(B21,'Points Summary'!$B$4:$B$1144,0)</f>
        <v>77</v>
      </c>
    </row>
    <row r="22" spans="1:7" x14ac:dyDescent="0.25">
      <c r="A22" s="53">
        <v>17</v>
      </c>
      <c r="B22" s="3" t="s">
        <v>846</v>
      </c>
      <c r="C22" s="28">
        <v>2.2958333333333334E-2</v>
      </c>
      <c r="D22" s="29">
        <f>INDEX('Points Summary'!$H$4:$H$1143,G22)</f>
        <v>72.812737226805623</v>
      </c>
      <c r="E22" s="30">
        <f t="shared" si="0"/>
        <v>0.76201674809537778</v>
      </c>
      <c r="F22" s="3"/>
      <c r="G22" s="2">
        <f>MATCH(B22,'Points Summary'!$B$4:$B$1144,0)</f>
        <v>168</v>
      </c>
    </row>
    <row r="23" spans="1:7" x14ac:dyDescent="0.25">
      <c r="A23" s="53">
        <v>18</v>
      </c>
      <c r="B23" s="3" t="s">
        <v>730</v>
      </c>
      <c r="C23" s="28">
        <v>2.390046296296296E-2</v>
      </c>
      <c r="D23" s="29">
        <f>INDEX('Points Summary'!$H$4:$H$1143,G23)</f>
        <v>69.065089787713617</v>
      </c>
      <c r="E23" s="30">
        <f t="shared" si="0"/>
        <v>0.73197889662081927</v>
      </c>
      <c r="F23" s="3"/>
      <c r="G23" s="2">
        <f>MATCH(B23,'Points Summary'!$B$4:$B$1144,0)</f>
        <v>355</v>
      </c>
    </row>
    <row r="24" spans="1:7" x14ac:dyDescent="0.25">
      <c r="A24" s="53">
        <v>19</v>
      </c>
      <c r="B24" s="3" t="s">
        <v>729</v>
      </c>
      <c r="C24" s="28">
        <v>2.4229166666666666E-2</v>
      </c>
      <c r="D24" s="29">
        <f>INDEX('Points Summary'!$H$4:$H$1143,G24)</f>
        <v>68.642687944653403</v>
      </c>
      <c r="E24" s="30">
        <f t="shared" si="0"/>
        <v>0.72204854376707339</v>
      </c>
      <c r="F24" s="3"/>
      <c r="G24" s="2">
        <f>MATCH(B24,'Points Summary'!$B$4:$B$1144,0)</f>
        <v>252</v>
      </c>
    </row>
    <row r="25" spans="1:7" x14ac:dyDescent="0.25">
      <c r="A25" s="53">
        <v>5</v>
      </c>
      <c r="B25" s="3" t="s">
        <v>1022</v>
      </c>
      <c r="C25" s="28">
        <v>1.874189814814815E-2</v>
      </c>
      <c r="D25" s="29">
        <f>INDEX('Points Summary'!$H$4:$H$1143,G25)</f>
        <v>0</v>
      </c>
      <c r="E25" s="30">
        <f t="shared" si="0"/>
        <v>0.93345051659481959</v>
      </c>
      <c r="F25" s="3"/>
      <c r="G25" s="2">
        <f>MATCH(B25,'Points Summary'!$B$4:$B$1144,0)</f>
        <v>222</v>
      </c>
    </row>
    <row r="26" spans="1:7" x14ac:dyDescent="0.25">
      <c r="A26" s="53">
        <v>12</v>
      </c>
      <c r="B26" s="3" t="s">
        <v>1028</v>
      </c>
      <c r="C26" s="28">
        <v>2.0468750000000001E-2</v>
      </c>
      <c r="D26" s="29">
        <f>INDEX('Points Summary'!$H$4:$H$1143,G26)</f>
        <v>0</v>
      </c>
      <c r="E26" s="30">
        <f t="shared" si="0"/>
        <v>0.85469970117160954</v>
      </c>
      <c r="F26" s="3"/>
      <c r="G26" s="2">
        <f>MATCH(B26,'Points Summary'!$B$4:$B$1144,0)</f>
        <v>28</v>
      </c>
    </row>
    <row r="27" spans="1:7" x14ac:dyDescent="0.25">
      <c r="A27" s="53"/>
      <c r="B27" s="3"/>
      <c r="C27" s="28"/>
      <c r="D27" s="29"/>
      <c r="E27" s="30"/>
      <c r="F27" s="3"/>
      <c r="G27" s="2"/>
    </row>
    <row r="28" spans="1:7" x14ac:dyDescent="0.25">
      <c r="A28" s="53"/>
      <c r="B28" s="3"/>
      <c r="C28" s="28"/>
      <c r="D28" s="29"/>
      <c r="E28" s="30"/>
      <c r="F28" s="3"/>
      <c r="G28" s="2"/>
    </row>
    <row r="29" spans="1:7" x14ac:dyDescent="0.25">
      <c r="A29" s="53"/>
      <c r="B29" s="3"/>
      <c r="C29" s="28"/>
      <c r="D29" s="29"/>
      <c r="E29" s="30"/>
      <c r="F29" s="3"/>
      <c r="G29" s="2"/>
    </row>
    <row r="30" spans="1:7" x14ac:dyDescent="0.25">
      <c r="A30" s="53"/>
      <c r="B30" s="3"/>
      <c r="C30" s="28"/>
      <c r="D30" s="29"/>
      <c r="E30" s="30"/>
      <c r="F30" s="3"/>
      <c r="G30" s="2"/>
    </row>
    <row r="31" spans="1:7" x14ac:dyDescent="0.25">
      <c r="A31" s="53"/>
      <c r="B31" s="3"/>
      <c r="C31" s="28"/>
      <c r="D31" s="29"/>
      <c r="E31" s="30"/>
      <c r="F31" s="3"/>
      <c r="G31" s="2"/>
    </row>
    <row r="32" spans="1:7" x14ac:dyDescent="0.25">
      <c r="A32" s="53"/>
      <c r="C32" s="28"/>
      <c r="D32" s="29"/>
      <c r="E32" s="30"/>
      <c r="F32" s="3"/>
      <c r="G32" s="2"/>
    </row>
    <row r="33" spans="1:1" x14ac:dyDescent="0.25">
      <c r="A33" s="53"/>
    </row>
  </sheetData>
  <sortState ref="A8:G26">
    <sortCondition descending="1" ref="D8:D26"/>
  </sortState>
  <phoneticPr fontId="9" type="noConversion"/>
  <printOptions horizontalCentered="1"/>
  <pageMargins left="0.75" right="0.75" top="1" bottom="1" header="0.5" footer="0.5"/>
  <pageSetup orientation="portrait" horizontalDpi="200" verticalDpi="200" r:id="rId1"/>
  <headerFooter alignWithMargins="0">
    <oddHeader>&amp;L&amp;"Tahoma,Bold"&amp;11U.S. Biathlon Association&amp;R&amp;"Tahoma,Bold"&amp;11 2018 Race Points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activeCell="A8" sqref="A8:G18"/>
    </sheetView>
  </sheetViews>
  <sheetFormatPr defaultRowHeight="13.2" x14ac:dyDescent="0.25"/>
  <cols>
    <col min="2" max="2" width="24.6640625" customWidth="1"/>
    <col min="3" max="3" width="9.6640625" style="42" customWidth="1"/>
    <col min="4" max="7" width="9.6640625" customWidth="1"/>
    <col min="9" max="9" width="14.88671875" customWidth="1"/>
  </cols>
  <sheetData>
    <row r="1" spans="1:9" x14ac:dyDescent="0.25">
      <c r="A1" s="16" t="s">
        <v>22</v>
      </c>
      <c r="B1" s="17" t="s">
        <v>1029</v>
      </c>
      <c r="C1" s="133"/>
      <c r="D1" s="18"/>
      <c r="E1" s="18"/>
      <c r="F1" s="18"/>
      <c r="G1" s="19"/>
    </row>
    <row r="2" spans="1:9" x14ac:dyDescent="0.25">
      <c r="A2" s="20" t="s">
        <v>23</v>
      </c>
      <c r="B2" s="21">
        <v>43079</v>
      </c>
      <c r="C2" s="56"/>
      <c r="D2" s="22"/>
      <c r="E2" s="22"/>
      <c r="F2" s="22"/>
      <c r="G2" s="23"/>
    </row>
    <row r="3" spans="1:9" x14ac:dyDescent="0.25">
      <c r="A3" s="20" t="s">
        <v>24</v>
      </c>
      <c r="B3" s="24" t="s">
        <v>25</v>
      </c>
      <c r="C3" s="56"/>
      <c r="D3" s="22"/>
      <c r="E3" s="22"/>
      <c r="F3" s="22"/>
      <c r="G3" s="23"/>
    </row>
    <row r="4" spans="1:9" x14ac:dyDescent="0.25">
      <c r="A4" s="20" t="s">
        <v>1</v>
      </c>
      <c r="B4" s="24" t="s">
        <v>26</v>
      </c>
      <c r="C4" s="56"/>
      <c r="D4" s="22"/>
      <c r="E4" s="22"/>
      <c r="F4" s="22"/>
      <c r="G4" s="23"/>
    </row>
    <row r="5" spans="1:9" x14ac:dyDescent="0.25">
      <c r="A5" s="20" t="s">
        <v>27</v>
      </c>
      <c r="B5" s="24" t="s">
        <v>763</v>
      </c>
      <c r="C5" s="56"/>
      <c r="D5" s="22"/>
      <c r="E5" s="22" t="s">
        <v>55</v>
      </c>
      <c r="F5" s="38">
        <f>AVERAGE(C8:C12)*(AVERAGE(D8:D12)/100)</f>
        <v>1.794217518130312E-2</v>
      </c>
      <c r="G5" s="23"/>
    </row>
    <row r="6" spans="1:9" x14ac:dyDescent="0.25">
      <c r="A6" s="25" t="s">
        <v>29</v>
      </c>
      <c r="B6" s="26"/>
      <c r="C6" s="134"/>
      <c r="D6" s="26"/>
      <c r="E6" s="26"/>
      <c r="F6" s="26"/>
      <c r="G6" s="27"/>
    </row>
    <row r="7" spans="1:9" x14ac:dyDescent="0.25">
      <c r="A7" s="53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9" ht="14.4" x14ac:dyDescent="0.25">
      <c r="A8" s="53">
        <v>3</v>
      </c>
      <c r="B8" s="3" t="s">
        <v>460</v>
      </c>
      <c r="C8" s="28">
        <v>2.0486111111111111E-2</v>
      </c>
      <c r="D8" s="29">
        <f>INDEX('Points Summary'!$H$4:$H$1143,G8)</f>
        <v>92.189833981686178</v>
      </c>
      <c r="E8" s="30">
        <f t="shared" ref="E8:E18" si="0">(AVERAGE($D$8:$D$12)/100*AVERAGE($C$8:$C$12))/C8</f>
        <v>0.87582143257886413</v>
      </c>
      <c r="F8" s="3"/>
      <c r="G8" s="2">
        <f>MATCH(B8,'Points Summary'!$B$4:$B$1144,0)</f>
        <v>139</v>
      </c>
      <c r="I8" s="223"/>
    </row>
    <row r="9" spans="1:9" ht="14.4" x14ac:dyDescent="0.25">
      <c r="A9" s="53">
        <v>2</v>
      </c>
      <c r="B9" s="3" t="s">
        <v>173</v>
      </c>
      <c r="C9" s="28">
        <v>2.0474537037037038E-2</v>
      </c>
      <c r="D9" s="29">
        <f>INDEX('Points Summary'!$H$4:$H$1143,G9)</f>
        <v>89.585588407213393</v>
      </c>
      <c r="E9" s="30">
        <f t="shared" si="0"/>
        <v>0.87631652666172388</v>
      </c>
      <c r="F9" s="3"/>
      <c r="G9" s="2">
        <f>MATCH(B9,'Points Summary'!$B$4:$B$1144,0)</f>
        <v>47</v>
      </c>
      <c r="I9" s="223"/>
    </row>
    <row r="10" spans="1:9" ht="14.4" x14ac:dyDescent="0.25">
      <c r="A10" s="53">
        <v>1</v>
      </c>
      <c r="B10" s="3" t="s">
        <v>756</v>
      </c>
      <c r="C10" s="28">
        <v>1.9699074074074074E-2</v>
      </c>
      <c r="D10" s="29">
        <f>INDEX('Points Summary'!$H$4:$H$1143,G10)</f>
        <v>85.052444447965044</v>
      </c>
      <c r="E10" s="30">
        <f t="shared" si="0"/>
        <v>0.91081312318718544</v>
      </c>
      <c r="F10" s="3"/>
      <c r="G10" s="2">
        <f>MATCH(B10,'Points Summary'!$B$4:$B$1144,0)</f>
        <v>80</v>
      </c>
      <c r="I10" s="223"/>
    </row>
    <row r="11" spans="1:9" ht="14.4" x14ac:dyDescent="0.25">
      <c r="A11" s="53">
        <v>5</v>
      </c>
      <c r="B11" s="3" t="s">
        <v>394</v>
      </c>
      <c r="C11" s="28">
        <v>2.3738425925925923E-2</v>
      </c>
      <c r="D11" s="29">
        <f>INDEX('Points Summary'!$H$4:$H$1143,G11)</f>
        <v>77.891993104385335</v>
      </c>
      <c r="E11" s="30">
        <f t="shared" si="0"/>
        <v>0.75582834503392959</v>
      </c>
      <c r="F11" s="3"/>
      <c r="G11" s="2">
        <f>MATCH(B11,'Points Summary'!$B$4:$B$1144,0)</f>
        <v>106</v>
      </c>
      <c r="I11" s="223"/>
    </row>
    <row r="12" spans="1:9" ht="14.4" x14ac:dyDescent="0.25">
      <c r="A12" s="53">
        <v>6</v>
      </c>
      <c r="B12" s="3" t="s">
        <v>730</v>
      </c>
      <c r="C12" s="28">
        <v>2.4004629629629629E-2</v>
      </c>
      <c r="D12" s="29">
        <f>INDEX('Points Summary'!$H$4:$H$1143,G12)</f>
        <v>69.065089787713617</v>
      </c>
      <c r="E12" s="30">
        <f t="shared" si="0"/>
        <v>0.74744644921147041</v>
      </c>
      <c r="F12" s="3"/>
      <c r="G12" s="2">
        <f>MATCH(B12,'Points Summary'!$B$4:$B$1144,0)</f>
        <v>355</v>
      </c>
      <c r="I12" s="223"/>
    </row>
    <row r="13" spans="1:9" ht="14.4" x14ac:dyDescent="0.25">
      <c r="A13" s="53">
        <v>10</v>
      </c>
      <c r="B13" s="3" t="s">
        <v>116</v>
      </c>
      <c r="C13" s="28">
        <v>2.8333333333333332E-2</v>
      </c>
      <c r="D13" s="29">
        <f>INDEX('Points Summary'!$H$4:$H$1143,G13)</f>
        <v>61.715806117498708</v>
      </c>
      <c r="E13" s="30">
        <f t="shared" si="0"/>
        <v>0.63325324169305131</v>
      </c>
      <c r="F13" s="3"/>
      <c r="G13" s="2">
        <f>MATCH(B13,'Points Summary'!$B$4:$B$1144,0)</f>
        <v>155</v>
      </c>
      <c r="I13" s="223"/>
    </row>
    <row r="14" spans="1:9" ht="14.4" x14ac:dyDescent="0.25">
      <c r="A14" s="53">
        <v>11</v>
      </c>
      <c r="B14" s="3" t="s">
        <v>845</v>
      </c>
      <c r="C14" s="28">
        <v>4.1192129629629634E-2</v>
      </c>
      <c r="D14" s="29">
        <f>INDEX('Points Summary'!$H$4:$H$1143,G14)</f>
        <v>54.303932065615079</v>
      </c>
      <c r="E14" s="30">
        <f t="shared" si="0"/>
        <v>0.43557289566299223</v>
      </c>
      <c r="F14" s="3"/>
      <c r="G14" s="2">
        <f>MATCH(B14,'Points Summary'!$B$4:$B$1144,0)</f>
        <v>29</v>
      </c>
      <c r="I14" s="223"/>
    </row>
    <row r="15" spans="1:9" ht="14.4" x14ac:dyDescent="0.25">
      <c r="A15" s="53">
        <v>4</v>
      </c>
      <c r="B15" s="3" t="s">
        <v>1028</v>
      </c>
      <c r="C15" s="28">
        <v>2.2615740740740742E-2</v>
      </c>
      <c r="D15" s="29">
        <f>INDEX('Points Summary'!$H$4:$H$1143,G15)</f>
        <v>0</v>
      </c>
      <c r="E15" s="30">
        <f t="shared" si="0"/>
        <v>0.79334899471063947</v>
      </c>
      <c r="F15" s="3"/>
      <c r="G15" s="2">
        <f>MATCH(B15,'Points Summary'!$B$4:$B$1144,0)</f>
        <v>28</v>
      </c>
      <c r="I15" s="223"/>
    </row>
    <row r="16" spans="1:9" ht="14.4" x14ac:dyDescent="0.25">
      <c r="A16" s="53">
        <v>7</v>
      </c>
      <c r="B16" s="3" t="s">
        <v>1030</v>
      </c>
      <c r="C16" s="28">
        <v>2.6006944444444447E-2</v>
      </c>
      <c r="D16" s="29">
        <f>INDEX('Points Summary'!$H$4:$H$1143,G16)</f>
        <v>0</v>
      </c>
      <c r="E16" s="30">
        <f t="shared" si="0"/>
        <v>0.68989939281913193</v>
      </c>
      <c r="F16" s="3"/>
      <c r="G16" s="2">
        <f>MATCH(B16,'Points Summary'!$B$4:$B$1144,0)</f>
        <v>396</v>
      </c>
      <c r="I16" s="223"/>
    </row>
    <row r="17" spans="1:9" ht="14.4" x14ac:dyDescent="0.25">
      <c r="A17" s="53">
        <v>8</v>
      </c>
      <c r="B17" s="3" t="s">
        <v>1031</v>
      </c>
      <c r="C17" s="28">
        <v>2.6689814814814816E-2</v>
      </c>
      <c r="D17" s="29">
        <f>INDEX('Points Summary'!$H$4:$H$1143,G17)</f>
        <v>0</v>
      </c>
      <c r="E17" s="30">
        <f t="shared" si="0"/>
        <v>0.67224802066981326</v>
      </c>
      <c r="F17" s="3"/>
      <c r="G17" s="2">
        <f>MATCH(B17,'Points Summary'!$B$4:$B$1144,0)</f>
        <v>353</v>
      </c>
      <c r="I17" s="223"/>
    </row>
    <row r="18" spans="1:9" ht="14.4" x14ac:dyDescent="0.25">
      <c r="A18" s="53">
        <v>9</v>
      </c>
      <c r="B18" s="3" t="s">
        <v>1032</v>
      </c>
      <c r="C18" s="28">
        <v>2.7881944444444445E-2</v>
      </c>
      <c r="D18" s="29">
        <f>INDEX('Points Summary'!$H$4:$H$1143,G18)</f>
        <v>0</v>
      </c>
      <c r="E18" s="30">
        <f t="shared" si="0"/>
        <v>0.6435051621687794</v>
      </c>
      <c r="F18" s="3"/>
      <c r="G18" s="2">
        <f>MATCH(B18,'Points Summary'!$B$4:$B$1144,0)</f>
        <v>79</v>
      </c>
      <c r="I18" s="223"/>
    </row>
    <row r="19" spans="1:9" x14ac:dyDescent="0.25">
      <c r="A19" s="53"/>
      <c r="B19" s="3"/>
      <c r="C19" s="28"/>
      <c r="D19" s="29"/>
      <c r="E19" s="30"/>
      <c r="F19" s="3"/>
      <c r="G19" s="2"/>
    </row>
    <row r="20" spans="1:9" x14ac:dyDescent="0.25">
      <c r="A20" s="53"/>
      <c r="B20" s="3"/>
      <c r="C20" s="51"/>
      <c r="D20" s="29"/>
      <c r="E20" s="30"/>
      <c r="F20" s="3"/>
      <c r="G20" s="2"/>
    </row>
    <row r="21" spans="1:9" x14ac:dyDescent="0.25">
      <c r="A21" s="53"/>
      <c r="C21" s="51"/>
      <c r="D21" s="29"/>
      <c r="E21" s="30"/>
      <c r="F21" s="3"/>
      <c r="G21" s="2"/>
    </row>
    <row r="22" spans="1:9" x14ac:dyDescent="0.25">
      <c r="A22" s="53"/>
      <c r="C22" s="51"/>
      <c r="D22" s="29"/>
      <c r="E22" s="30"/>
      <c r="F22" s="3"/>
      <c r="G22" s="2"/>
    </row>
    <row r="23" spans="1:9" x14ac:dyDescent="0.25">
      <c r="A23" s="53"/>
      <c r="C23" s="51"/>
      <c r="D23" s="29"/>
      <c r="E23" s="30"/>
      <c r="F23" s="3"/>
      <c r="G23" s="2"/>
    </row>
    <row r="24" spans="1:9" x14ac:dyDescent="0.25">
      <c r="A24" s="53"/>
      <c r="C24" s="51"/>
      <c r="D24" s="29"/>
      <c r="E24" s="30"/>
      <c r="F24" s="3"/>
      <c r="G24" s="2"/>
    </row>
    <row r="25" spans="1:9" x14ac:dyDescent="0.25">
      <c r="C25" s="51"/>
      <c r="D25" s="29"/>
      <c r="E25" s="30"/>
      <c r="F25" s="3"/>
      <c r="G25" s="2"/>
    </row>
    <row r="26" spans="1:9" x14ac:dyDescent="0.25">
      <c r="E26" s="30"/>
    </row>
  </sheetData>
  <sortState ref="A8:G18">
    <sortCondition descending="1" ref="D8:D18"/>
  </sortState>
  <phoneticPr fontId="9" type="noConversion"/>
  <printOptions horizontalCentered="1"/>
  <pageMargins left="0.75" right="0.75" top="1" bottom="1" header="0.5" footer="0.5"/>
  <pageSetup orientation="portrait" horizontalDpi="200" verticalDpi="200" r:id="rId1"/>
  <headerFooter alignWithMargins="0">
    <oddHeader>&amp;L&amp;"Tahoma,Bold"&amp;11U.S. Biathlon Association&amp;R&amp;"Tahoma,Bold"&amp;11 2018 Race Points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"/>
  <sheetViews>
    <sheetView topLeftCell="A13" workbookViewId="0">
      <selection activeCell="B27" sqref="B27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1047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43097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670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763</v>
      </c>
      <c r="C5" s="22"/>
      <c r="D5" s="22"/>
      <c r="E5" s="22" t="s">
        <v>55</v>
      </c>
      <c r="F5" s="38">
        <f>AVERAGE(C8:C10)*(AVERAGE(D8:D10)/100)</f>
        <v>1.7763694804210872E-2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53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53">
        <v>5</v>
      </c>
      <c r="B8" s="3" t="s">
        <v>714</v>
      </c>
      <c r="C8" s="51">
        <f>TIME(0,29,7.7)</f>
        <v>2.0219907407407409E-2</v>
      </c>
      <c r="D8" s="29">
        <f>INDEX('Points Summary'!$H$4:$H$1143,G8)</f>
        <v>87.176205670220071</v>
      </c>
      <c r="E8" s="124">
        <f t="shared" ref="E8:E37" si="0">(AVERAGE($D$8:$D$10)/100*AVERAGE($C$8:$C$10))/C8</f>
        <v>0.87852503210293031</v>
      </c>
      <c r="F8" s="3"/>
      <c r="G8" s="2">
        <f>MATCH(B8,'Points Summary'!$B$4:$B$1144,0)</f>
        <v>220</v>
      </c>
    </row>
    <row r="9" spans="1:7" x14ac:dyDescent="0.25">
      <c r="A9" s="53">
        <v>1</v>
      </c>
      <c r="B9" s="3" t="s">
        <v>756</v>
      </c>
      <c r="C9" s="51">
        <f>TIME(0,26,36.4)</f>
        <v>1.8472222222222223E-2</v>
      </c>
      <c r="D9" s="29">
        <f>INDEX('Points Summary'!$H$4:$H$1143,G9)</f>
        <v>85.052444447965044</v>
      </c>
      <c r="E9" s="124">
        <f t="shared" si="0"/>
        <v>0.96164362849863361</v>
      </c>
      <c r="F9" s="3"/>
      <c r="G9" s="2">
        <f>MATCH(B9,'Points Summary'!$B$4:$B$1144,0)</f>
        <v>80</v>
      </c>
    </row>
    <row r="10" spans="1:7" x14ac:dyDescent="0.25">
      <c r="A10" s="53">
        <v>19</v>
      </c>
      <c r="B10" s="3" t="s">
        <v>712</v>
      </c>
      <c r="C10" s="51">
        <f>TIME(0,34,31.8)</f>
        <v>2.3969907407407409E-2</v>
      </c>
      <c r="D10" s="29">
        <f>INDEX('Points Summary'!$H$4:$H$1143,G10)</f>
        <v>82.907092027259509</v>
      </c>
      <c r="E10" s="124">
        <f t="shared" si="0"/>
        <v>0.74108316324665346</v>
      </c>
      <c r="F10" s="3"/>
      <c r="G10" s="2">
        <f>MATCH(B10,'Points Summary'!$B$4:$B$1144,0)</f>
        <v>459</v>
      </c>
    </row>
    <row r="11" spans="1:7" x14ac:dyDescent="0.25">
      <c r="A11" s="53">
        <v>12</v>
      </c>
      <c r="B11" s="3" t="s">
        <v>711</v>
      </c>
      <c r="C11" s="51">
        <f>TIME(0,31,51.8)</f>
        <v>2.2118055555555557E-2</v>
      </c>
      <c r="D11" s="29">
        <f>INDEX('Points Summary'!$H$4:$H$1143,G11)</f>
        <v>80.808467545736889</v>
      </c>
      <c r="E11" s="124">
        <f t="shared" si="0"/>
        <v>0.80313094248237527</v>
      </c>
      <c r="F11" s="3"/>
      <c r="G11" s="2">
        <f>MATCH(B11,'Points Summary'!$B$4:$B$1144,0)</f>
        <v>85</v>
      </c>
    </row>
    <row r="12" spans="1:7" x14ac:dyDescent="0.25">
      <c r="A12" s="53">
        <v>8</v>
      </c>
      <c r="B12" s="3" t="s">
        <v>713</v>
      </c>
      <c r="C12" s="51">
        <f>TIME(0,29,39.9)</f>
        <v>2.0590277777777777E-2</v>
      </c>
      <c r="D12" s="29">
        <f>INDEX('Points Summary'!$H$4:$H$1143,G12)</f>
        <v>78.60794886388625</v>
      </c>
      <c r="E12" s="124">
        <f t="shared" si="0"/>
        <v>0.86272244580315871</v>
      </c>
      <c r="F12" s="3"/>
      <c r="G12" s="2">
        <f>MATCH(B12,'Points Summary'!$B$4:$B$1144,0)</f>
        <v>77</v>
      </c>
    </row>
    <row r="13" spans="1:7" x14ac:dyDescent="0.25">
      <c r="A13" s="53">
        <v>3</v>
      </c>
      <c r="B13" s="3" t="s">
        <v>805</v>
      </c>
      <c r="C13" s="51">
        <f>TIME(0,28,7.1)</f>
        <v>1.9525462962962963E-2</v>
      </c>
      <c r="D13" s="29">
        <f>INDEX('Points Summary'!$H$4:$H$1143,G13)</f>
        <v>74.181042242341434</v>
      </c>
      <c r="E13" s="124">
        <f t="shared" si="0"/>
        <v>0.90977073567505584</v>
      </c>
      <c r="F13" s="3"/>
      <c r="G13" s="2">
        <f>MATCH(B13,'Points Summary'!$B$4:$B$1144,0)</f>
        <v>307</v>
      </c>
    </row>
    <row r="14" spans="1:7" x14ac:dyDescent="0.25">
      <c r="A14" s="53">
        <v>10</v>
      </c>
      <c r="B14" s="3" t="s">
        <v>846</v>
      </c>
      <c r="C14" s="51">
        <f>TIME(0,30,19.4)</f>
        <v>2.1053240740740744E-2</v>
      </c>
      <c r="D14" s="29">
        <f>INDEX('Points Summary'!$H$4:$H$1143,G14)</f>
        <v>72.812737226805623</v>
      </c>
      <c r="E14" s="124">
        <f t="shared" si="0"/>
        <v>0.84375108910600283</v>
      </c>
      <c r="F14" s="3"/>
      <c r="G14" s="2">
        <f>MATCH(B14,'Points Summary'!$B$4:$B$1144,0)</f>
        <v>168</v>
      </c>
    </row>
    <row r="15" spans="1:7" x14ac:dyDescent="0.25">
      <c r="A15" s="53">
        <v>6</v>
      </c>
      <c r="B15" s="3" t="s">
        <v>772</v>
      </c>
      <c r="C15" s="51">
        <f>TIME(0,29,11.7)</f>
        <v>2.0266203703703703E-2</v>
      </c>
      <c r="D15" s="29">
        <f>INDEX('Points Summary'!$H$4:$H$1143,G15)</f>
        <v>72.044863189139662</v>
      </c>
      <c r="E15" s="124">
        <f t="shared" si="0"/>
        <v>0.87651812169264387</v>
      </c>
      <c r="F15" s="3"/>
      <c r="G15" s="2">
        <f>MATCH(B15,'Points Summary'!$B$4:$B$1144,0)</f>
        <v>90</v>
      </c>
    </row>
    <row r="16" spans="1:7" x14ac:dyDescent="0.25">
      <c r="A16" s="53">
        <v>11</v>
      </c>
      <c r="B16" s="3" t="s">
        <v>808</v>
      </c>
      <c r="C16" s="51">
        <f>TIME(0,31,1.2)</f>
        <v>2.1539351851851851E-2</v>
      </c>
      <c r="D16" s="29">
        <f>INDEX('Points Summary'!$H$4:$H$1143,G16)</f>
        <v>67.576996559312562</v>
      </c>
      <c r="E16" s="124">
        <f t="shared" si="0"/>
        <v>0.82470888290371813</v>
      </c>
      <c r="F16" s="3"/>
      <c r="G16" s="2">
        <f>MATCH(B16,'Points Summary'!$B$4:$B$1144,0)</f>
        <v>441</v>
      </c>
    </row>
    <row r="17" spans="1:7" x14ac:dyDescent="0.25">
      <c r="A17" s="53">
        <v>24</v>
      </c>
      <c r="B17" s="3" t="s">
        <v>806</v>
      </c>
      <c r="C17" s="51">
        <f>TIME(0,36,39.2)</f>
        <v>2.5451388888888888E-2</v>
      </c>
      <c r="D17" s="29">
        <f>INDEX('Points Summary'!$H$4:$H$1143,G17)</f>
        <v>66.849948914111152</v>
      </c>
      <c r="E17" s="124">
        <f t="shared" si="0"/>
        <v>0.69794598957881737</v>
      </c>
      <c r="F17" s="3"/>
      <c r="G17" s="2">
        <f>MATCH(B17,'Points Summary'!$B$4:$B$1144,0)</f>
        <v>107</v>
      </c>
    </row>
    <row r="18" spans="1:7" x14ac:dyDescent="0.25">
      <c r="A18" s="53">
        <v>13</v>
      </c>
      <c r="B18" s="3" t="s">
        <v>847</v>
      </c>
      <c r="C18" s="51">
        <f>TIME(0,32,12.1)</f>
        <v>2.2361111111111113E-2</v>
      </c>
      <c r="D18" s="29">
        <f>INDEX('Points Summary'!$H$4:$H$1143,G18)</f>
        <v>64.150558601474174</v>
      </c>
      <c r="E18" s="124">
        <f t="shared" si="0"/>
        <v>0.79440125832495811</v>
      </c>
      <c r="F18" s="3"/>
      <c r="G18" s="2">
        <f>MATCH(B18,'Points Summary'!$B$4:$B$1144,0)</f>
        <v>446</v>
      </c>
    </row>
    <row r="19" spans="1:7" x14ac:dyDescent="0.25">
      <c r="A19" s="53">
        <v>20</v>
      </c>
      <c r="B19" s="3" t="s">
        <v>894</v>
      </c>
      <c r="C19" s="51">
        <f>TIME(0,34,42.8)</f>
        <v>2.4097222222222225E-2</v>
      </c>
      <c r="D19" s="29" t="e">
        <f>INDEX('Points Summary'!$H$4:$H$1143,G19)</f>
        <v>#N/A</v>
      </c>
      <c r="E19" s="124">
        <f t="shared" si="0"/>
        <v>0.73716773827272775</v>
      </c>
      <c r="F19" s="3"/>
      <c r="G19" s="2" t="e">
        <f>MATCH(B19,'Points Summary'!$B$4:$B$1144,0)</f>
        <v>#N/A</v>
      </c>
    </row>
    <row r="20" spans="1:7" x14ac:dyDescent="0.25">
      <c r="A20" s="53">
        <v>29</v>
      </c>
      <c r="B20" s="3" t="s">
        <v>116</v>
      </c>
      <c r="C20" s="51">
        <f>TIME(0,40,17.6)</f>
        <v>2.7974537037037034E-2</v>
      </c>
      <c r="D20" s="29">
        <f>INDEX('Points Summary'!$H$4:$H$1143,G20)</f>
        <v>61.715806117498708</v>
      </c>
      <c r="E20" s="124">
        <f t="shared" si="0"/>
        <v>0.63499513077526659</v>
      </c>
      <c r="F20" s="3"/>
      <c r="G20" s="2">
        <f>MATCH(B20,'Points Summary'!$B$4:$B$1144,0)</f>
        <v>155</v>
      </c>
    </row>
    <row r="21" spans="1:7" x14ac:dyDescent="0.25">
      <c r="A21" s="53">
        <v>21</v>
      </c>
      <c r="B21" s="3" t="s">
        <v>774</v>
      </c>
      <c r="C21" s="51">
        <f>TIME(0,34,44)</f>
        <v>2.4120370370370372E-2</v>
      </c>
      <c r="D21" s="29">
        <f>INDEX('Points Summary'!$H$4:$H$1143,G21)</f>
        <v>61.077198295781812</v>
      </c>
      <c r="E21" s="124">
        <f t="shared" si="0"/>
        <v>0.7364602836294718</v>
      </c>
      <c r="F21" s="3"/>
      <c r="G21" s="2">
        <f>MATCH(B21,'Points Summary'!$B$4:$B$1144,0)</f>
        <v>258</v>
      </c>
    </row>
    <row r="22" spans="1:7" x14ac:dyDescent="0.25">
      <c r="A22" s="53">
        <v>30</v>
      </c>
      <c r="B22" s="3" t="s">
        <v>807</v>
      </c>
      <c r="C22" s="51">
        <f>TIME(0,40,23)</f>
        <v>2.8043981481481479E-2</v>
      </c>
      <c r="D22" s="29">
        <f>INDEX('Points Summary'!$H$4:$H$1143,G22)</f>
        <v>57.978576795632257</v>
      </c>
      <c r="E22" s="124">
        <f t="shared" si="0"/>
        <v>0.63342271196195599</v>
      </c>
      <c r="F22" s="3"/>
      <c r="G22" s="2">
        <f>MATCH(B22,'Points Summary'!$B$4:$B$1144,0)</f>
        <v>433</v>
      </c>
    </row>
    <row r="23" spans="1:7" x14ac:dyDescent="0.25">
      <c r="A23" s="53">
        <v>2</v>
      </c>
      <c r="B23" s="3" t="s">
        <v>1028</v>
      </c>
      <c r="C23" s="51">
        <f>TIME(0,27,52.2)</f>
        <v>1.9351851851851853E-2</v>
      </c>
      <c r="D23" s="29">
        <f>INDEX('Points Summary'!$H$4:$H$1143,G23)</f>
        <v>0</v>
      </c>
      <c r="E23" s="124">
        <f t="shared" si="0"/>
        <v>0.91793255447596844</v>
      </c>
      <c r="F23" s="3"/>
      <c r="G23" s="2">
        <f>MATCH(B23,'Points Summary'!$B$4:$B$1144,0)</f>
        <v>28</v>
      </c>
    </row>
    <row r="24" spans="1:7" x14ac:dyDescent="0.25">
      <c r="A24" s="53">
        <v>4</v>
      </c>
      <c r="B24" s="3" t="s">
        <v>796</v>
      </c>
      <c r="C24" s="51">
        <f>TIME(0,28,50.7)</f>
        <v>2.0023148148148148E-2</v>
      </c>
      <c r="D24" s="29">
        <f>INDEX('Points Summary'!$H$4:$H$1143,G24)</f>
        <v>76.976708986449907</v>
      </c>
      <c r="E24" s="124">
        <f t="shared" si="0"/>
        <v>0.8871579370426701</v>
      </c>
      <c r="F24" s="3"/>
      <c r="G24" s="2">
        <f>MATCH(B24,'Points Summary'!$B$4:$B$1144,0)</f>
        <v>320</v>
      </c>
    </row>
    <row r="25" spans="1:7" x14ac:dyDescent="0.25">
      <c r="A25" s="53">
        <v>7</v>
      </c>
      <c r="B25" s="3" t="s">
        <v>1034</v>
      </c>
      <c r="C25" s="51">
        <f>TIME(0,29,32.9)</f>
        <v>2.0509259259259258E-2</v>
      </c>
      <c r="D25" s="29">
        <f>INDEX('Points Summary'!$H$4:$H$1143,G25)</f>
        <v>0</v>
      </c>
      <c r="E25" s="124">
        <f t="shared" si="0"/>
        <v>0.86613049158229083</v>
      </c>
      <c r="F25" s="3"/>
      <c r="G25" s="2">
        <f>MATCH(B25,'Points Summary'!$B$4:$B$1144,0)</f>
        <v>103</v>
      </c>
    </row>
    <row r="26" spans="1:7" x14ac:dyDescent="0.25">
      <c r="A26" s="53">
        <v>9</v>
      </c>
      <c r="B26" s="3" t="s">
        <v>1035</v>
      </c>
      <c r="C26" s="51">
        <f>TIME(0,30,7.6)</f>
        <v>2.0914351851851851E-2</v>
      </c>
      <c r="D26" s="29">
        <f>INDEX('Points Summary'!$H$4:$H$1143,G26)</f>
        <v>0</v>
      </c>
      <c r="E26" s="124">
        <f t="shared" si="0"/>
        <v>0.84935430607848339</v>
      </c>
      <c r="F26" s="3"/>
      <c r="G26" s="2">
        <f>MATCH(B26,'Points Summary'!$B$4:$B$1144,0)</f>
        <v>161</v>
      </c>
    </row>
    <row r="27" spans="1:7" x14ac:dyDescent="0.25">
      <c r="A27" s="53">
        <v>14</v>
      </c>
      <c r="B27" s="3" t="s">
        <v>839</v>
      </c>
      <c r="C27" s="51">
        <f>TIME(0,32,14.1)</f>
        <v>2.238425925925926E-2</v>
      </c>
      <c r="D27" s="29">
        <f>INDEX('Points Summary'!$H$4:$H$1143,G27)</f>
        <v>66.795927850866093</v>
      </c>
      <c r="E27" s="124">
        <f t="shared" si="0"/>
        <v>0.79357974719949287</v>
      </c>
      <c r="F27" s="3"/>
      <c r="G27" s="2">
        <f>MATCH(B27,'Points Summary'!$B$4:$B$1144,0)</f>
        <v>64</v>
      </c>
    </row>
    <row r="28" spans="1:7" x14ac:dyDescent="0.25">
      <c r="A28" s="53">
        <v>15</v>
      </c>
      <c r="B28" s="3" t="s">
        <v>1030</v>
      </c>
      <c r="C28" s="51">
        <f>TIME(0,33,1.2)</f>
        <v>2.2928240740740739E-2</v>
      </c>
      <c r="D28" s="29">
        <f>INDEX('Points Summary'!$H$4:$H$1143,G28)</f>
        <v>0</v>
      </c>
      <c r="E28" s="124">
        <f t="shared" si="0"/>
        <v>0.77475175723564838</v>
      </c>
      <c r="F28" s="3"/>
      <c r="G28" s="2">
        <f>MATCH(B28,'Points Summary'!$B$4:$B$1144,0)</f>
        <v>396</v>
      </c>
    </row>
    <row r="29" spans="1:7" x14ac:dyDescent="0.25">
      <c r="A29" s="53">
        <v>16</v>
      </c>
      <c r="B29" s="3" t="s">
        <v>1037</v>
      </c>
      <c r="C29" s="51">
        <f>TIME(0,33,42.9)</f>
        <v>2.3402777777777783E-2</v>
      </c>
      <c r="D29" s="29">
        <f>INDEX('Points Summary'!$H$4:$H$1143,G29)</f>
        <v>0</v>
      </c>
      <c r="E29" s="124">
        <f t="shared" si="0"/>
        <v>0.75904215187132495</v>
      </c>
      <c r="F29" s="3"/>
      <c r="G29" s="2">
        <f>MATCH(B29,'Points Summary'!$B$4:$B$1144,0)</f>
        <v>42</v>
      </c>
    </row>
    <row r="30" spans="1:7" x14ac:dyDescent="0.25">
      <c r="A30" s="53">
        <v>17</v>
      </c>
      <c r="B30" s="3" t="s">
        <v>1038</v>
      </c>
      <c r="C30" s="51">
        <f>TIME(0,34,14.7)</f>
        <v>2.3773148148148151E-2</v>
      </c>
      <c r="D30" s="29">
        <f>INDEX('Points Summary'!$H$4:$H$1143,G30)</f>
        <v>0</v>
      </c>
      <c r="E30" s="124">
        <f t="shared" si="0"/>
        <v>0.74721676294246309</v>
      </c>
      <c r="F30" s="3"/>
      <c r="G30" s="2">
        <f>MATCH(B30,'Points Summary'!$B$4:$B$1144,0)</f>
        <v>55</v>
      </c>
    </row>
    <row r="31" spans="1:7" x14ac:dyDescent="0.25">
      <c r="A31" s="53">
        <v>18</v>
      </c>
      <c r="B31" s="3" t="s">
        <v>1039</v>
      </c>
      <c r="C31" s="51">
        <f>TIME(0,34,14.7)</f>
        <v>2.3773148148148151E-2</v>
      </c>
      <c r="D31" s="29">
        <f>INDEX('Points Summary'!$H$4:$H$1143,G31)</f>
        <v>0</v>
      </c>
      <c r="E31" s="124">
        <f t="shared" si="0"/>
        <v>0.74721676294246309</v>
      </c>
      <c r="F31" s="3"/>
      <c r="G31" s="2">
        <f>MATCH(B31,'Points Summary'!$B$4:$B$1144,0)</f>
        <v>343</v>
      </c>
    </row>
    <row r="32" spans="1:7" x14ac:dyDescent="0.25">
      <c r="A32" s="53">
        <v>22</v>
      </c>
      <c r="B32" s="3" t="s">
        <v>1040</v>
      </c>
      <c r="C32" s="51">
        <f>TIME(0,34,48)</f>
        <v>2.4166666666666666E-2</v>
      </c>
      <c r="D32" s="29">
        <f>INDEX('Points Summary'!$H$4:$H$1143,G32)</f>
        <v>0</v>
      </c>
      <c r="E32" s="124">
        <f t="shared" si="0"/>
        <v>0.73504944017424301</v>
      </c>
      <c r="F32" s="3"/>
      <c r="G32" s="2">
        <f>MATCH(B32,'Points Summary'!$B$4:$B$1144,0)</f>
        <v>198</v>
      </c>
    </row>
    <row r="33" spans="1:7" x14ac:dyDescent="0.25">
      <c r="A33" s="53">
        <v>23</v>
      </c>
      <c r="B33" s="3" t="s">
        <v>1041</v>
      </c>
      <c r="C33" s="51">
        <f>TIME(0,35,36.2)</f>
        <v>2.4722222222222225E-2</v>
      </c>
      <c r="D33" s="29">
        <f>INDEX('Points Summary'!$H$4:$H$1143,G33)</f>
        <v>0</v>
      </c>
      <c r="E33" s="124">
        <f t="shared" si="0"/>
        <v>0.71853147522650707</v>
      </c>
      <c r="F33" s="3"/>
      <c r="G33" s="2">
        <f>MATCH(B33,'Points Summary'!$B$4:$B$1144,0)</f>
        <v>164</v>
      </c>
    </row>
    <row r="34" spans="1:7" x14ac:dyDescent="0.25">
      <c r="A34" s="53">
        <v>25</v>
      </c>
      <c r="B34" s="3" t="s">
        <v>1042</v>
      </c>
      <c r="C34" s="51">
        <f>TIME(0,37,39.2)</f>
        <v>2.614583333333333E-2</v>
      </c>
      <c r="D34" s="29">
        <f>INDEX('Points Summary'!$H$4:$H$1143,G34)</f>
        <v>0</v>
      </c>
      <c r="E34" s="124">
        <f t="shared" si="0"/>
        <v>0.67940824749173068</v>
      </c>
      <c r="F34" s="3"/>
      <c r="G34" s="2">
        <f>MATCH(B34,'Points Summary'!$B$4:$B$1144,0)</f>
        <v>417</v>
      </c>
    </row>
    <row r="35" spans="1:7" x14ac:dyDescent="0.25">
      <c r="A35" s="53">
        <v>26</v>
      </c>
      <c r="B35" s="3" t="s">
        <v>1043</v>
      </c>
      <c r="C35" s="51">
        <f>TIME(0,37,39)</f>
        <v>2.614583333333333E-2</v>
      </c>
      <c r="D35" s="29">
        <f>INDEX('Points Summary'!$H$4:$H$1143,G35)</f>
        <v>0</v>
      </c>
      <c r="E35" s="124">
        <f t="shared" si="0"/>
        <v>0.67940824749173068</v>
      </c>
      <c r="F35" s="3"/>
      <c r="G35" s="2">
        <f>MATCH(B35,'Points Summary'!$B$4:$B$1144,0)</f>
        <v>310</v>
      </c>
    </row>
    <row r="36" spans="1:7" x14ac:dyDescent="0.25">
      <c r="A36" s="53">
        <v>27</v>
      </c>
      <c r="B36" s="3" t="s">
        <v>1044</v>
      </c>
      <c r="C36" s="51">
        <f>TIME(0,39,34.8)</f>
        <v>2.7476851851851853E-2</v>
      </c>
      <c r="D36" s="29">
        <f>INDEX('Points Summary'!$H$4:$H$1143,G36)</f>
        <v>0</v>
      </c>
      <c r="E36" s="124">
        <f t="shared" si="0"/>
        <v>0.6464967274995026</v>
      </c>
      <c r="F36" s="3"/>
      <c r="G36" s="2">
        <f>MATCH(B36,'Points Summary'!$B$4:$B$1144,0)</f>
        <v>36</v>
      </c>
    </row>
    <row r="37" spans="1:7" x14ac:dyDescent="0.25">
      <c r="A37" s="53">
        <v>28</v>
      </c>
      <c r="B37" s="3" t="s">
        <v>1045</v>
      </c>
      <c r="C37" s="51">
        <f>TIME(0,40,2.3)</f>
        <v>2.7800925925925923E-2</v>
      </c>
      <c r="D37" s="29">
        <f>INDEX('Points Summary'!$H$4:$H$1143,G37)</f>
        <v>0</v>
      </c>
      <c r="E37" s="124">
        <f t="shared" si="0"/>
        <v>0.63896054583006634</v>
      </c>
      <c r="F37" s="3"/>
      <c r="G37" s="2">
        <f>MATCH(B37,'Points Summary'!$B$4:$B$1144,0)</f>
        <v>289</v>
      </c>
    </row>
    <row r="38" spans="1:7" x14ac:dyDescent="0.25">
      <c r="A38" s="53"/>
      <c r="B38" s="3"/>
      <c r="C38" s="51"/>
      <c r="D38" s="29"/>
      <c r="E38" s="30"/>
      <c r="F38" s="3"/>
      <c r="G38" s="2"/>
    </row>
    <row r="39" spans="1:7" x14ac:dyDescent="0.25">
      <c r="A39" s="53"/>
      <c r="B39" s="3"/>
      <c r="C39" s="51"/>
      <c r="D39" s="29"/>
      <c r="E39" s="30"/>
      <c r="F39" s="3"/>
      <c r="G39" s="2"/>
    </row>
    <row r="40" spans="1:7" x14ac:dyDescent="0.25">
      <c r="A40" s="53"/>
      <c r="B40" s="3"/>
      <c r="C40" s="51"/>
      <c r="D40" s="29"/>
      <c r="E40" s="30"/>
      <c r="F40" s="3"/>
      <c r="G40" s="2"/>
    </row>
    <row r="41" spans="1:7" x14ac:dyDescent="0.25">
      <c r="A41" s="53"/>
      <c r="B41" s="3"/>
      <c r="C41" s="51"/>
      <c r="D41" s="29"/>
      <c r="E41" s="30"/>
      <c r="F41" s="3"/>
      <c r="G41" s="2"/>
    </row>
    <row r="42" spans="1:7" x14ac:dyDescent="0.25">
      <c r="A42" s="53"/>
      <c r="B42" s="3"/>
      <c r="C42" s="51"/>
      <c r="D42" s="29"/>
      <c r="E42" s="30"/>
      <c r="F42" s="3"/>
      <c r="G42" s="2"/>
    </row>
    <row r="43" spans="1:7" x14ac:dyDescent="0.25">
      <c r="A43" s="53"/>
      <c r="B43" s="3"/>
      <c r="C43" s="51"/>
      <c r="D43" s="29"/>
      <c r="E43" s="30"/>
      <c r="F43" s="3"/>
      <c r="G43" s="2"/>
    </row>
    <row r="44" spans="1:7" x14ac:dyDescent="0.25">
      <c r="A44" s="53"/>
      <c r="B44" s="3"/>
      <c r="C44" s="51"/>
      <c r="D44" s="29"/>
      <c r="E44" s="30"/>
      <c r="F44" s="3"/>
      <c r="G44" s="2"/>
    </row>
    <row r="45" spans="1:7" x14ac:dyDescent="0.25">
      <c r="A45" s="53"/>
      <c r="B45" s="3"/>
      <c r="C45" s="51"/>
      <c r="D45" s="29"/>
      <c r="E45" s="30"/>
      <c r="F45" s="3"/>
      <c r="G45" s="2"/>
    </row>
    <row r="46" spans="1:7" x14ac:dyDescent="0.25">
      <c r="A46" s="53"/>
      <c r="B46" s="3"/>
      <c r="C46" s="51"/>
      <c r="D46" s="29"/>
      <c r="E46" s="30"/>
      <c r="F46" s="3"/>
      <c r="G46" s="2"/>
    </row>
    <row r="47" spans="1:7" x14ac:dyDescent="0.25">
      <c r="A47" s="53"/>
      <c r="B47" s="3"/>
      <c r="C47" s="51"/>
      <c r="D47" s="29"/>
      <c r="E47" s="30"/>
      <c r="F47" s="3"/>
      <c r="G47" s="2"/>
    </row>
    <row r="48" spans="1:7" x14ac:dyDescent="0.25">
      <c r="A48" s="53"/>
      <c r="B48" s="3"/>
      <c r="C48" s="51"/>
      <c r="D48" s="29"/>
      <c r="E48" s="30"/>
      <c r="F48" s="3"/>
      <c r="G48" s="2"/>
    </row>
    <row r="49" spans="1:7" x14ac:dyDescent="0.25">
      <c r="A49" s="53"/>
      <c r="B49" s="3"/>
      <c r="C49" s="51"/>
      <c r="D49" s="29"/>
      <c r="E49" s="30"/>
      <c r="F49" s="3"/>
      <c r="G49" s="2"/>
    </row>
    <row r="50" spans="1:7" x14ac:dyDescent="0.25">
      <c r="A50" s="53"/>
      <c r="B50" s="3"/>
      <c r="C50" s="51"/>
      <c r="D50" s="29"/>
      <c r="E50" s="30"/>
      <c r="F50" s="3"/>
      <c r="G50" s="2"/>
    </row>
  </sheetData>
  <sortState ref="A8:G37">
    <sortCondition ref="C23:C37"/>
  </sortState>
  <printOptions horizontalCentered="1"/>
  <pageMargins left="0.7" right="0.7" top="0.75" bottom="0.75" header="0.3" footer="0.3"/>
  <pageSetup orientation="portrait" horizontalDpi="1200" verticalDpi="1200" r:id="rId1"/>
  <headerFooter>
    <oddHeader>&amp;L&amp;"Tahoma,Bold"&amp;11U.S. Biathlon Association&amp;R&amp;"Tahoma,Bold"&amp;11 2018 Race Points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workbookViewId="0">
      <selection activeCell="B26" sqref="B26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1048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43098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670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763</v>
      </c>
      <c r="C5" s="22"/>
      <c r="D5" s="22"/>
      <c r="E5" s="22" t="s">
        <v>55</v>
      </c>
      <c r="F5" s="38">
        <f>AVERAGE(C8:C10)*(AVERAGE(D8:D10)/100)</f>
        <v>1.2746943907343778E-2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53">
        <v>1</v>
      </c>
      <c r="B8" s="3" t="s">
        <v>714</v>
      </c>
      <c r="C8" s="51">
        <v>1.3834490740740739E-2</v>
      </c>
      <c r="D8" s="29">
        <f>INDEX('Points Summary'!$H$4:$H$1143,G8)</f>
        <v>87.176205670220071</v>
      </c>
      <c r="E8" s="124">
        <f>(AVERAGE($D$8:$D$10)/100*AVERAGE($C$8:$C$10))/C8</f>
        <v>0.92138873386974196</v>
      </c>
      <c r="F8" s="3"/>
      <c r="G8" s="2">
        <f>MATCH(B8,'Points Summary'!$B$4:$B$1144,0)</f>
        <v>220</v>
      </c>
    </row>
    <row r="9" spans="1:7" x14ac:dyDescent="0.25">
      <c r="A9" s="53">
        <v>2</v>
      </c>
      <c r="B9" s="3" t="s">
        <v>756</v>
      </c>
      <c r="C9" s="51">
        <v>1.4292824074074074E-2</v>
      </c>
      <c r="D9" s="29">
        <f>INDEX('Points Summary'!$H$4:$H$1143,G9)</f>
        <v>85.052444447965044</v>
      </c>
      <c r="E9" s="124">
        <f t="shared" ref="E9:E20" si="0">(AVERAGE($D$8:$D$10)/100*AVERAGE($C$8:$C$10))/C9</f>
        <v>0.89184221685521292</v>
      </c>
      <c r="F9" s="3"/>
      <c r="G9" s="2">
        <f>MATCH(B9,'Points Summary'!$B$4:$B$1144,0)</f>
        <v>80</v>
      </c>
    </row>
    <row r="10" spans="1:7" x14ac:dyDescent="0.25">
      <c r="A10" s="53">
        <v>15</v>
      </c>
      <c r="B10" s="3" t="s">
        <v>712</v>
      </c>
      <c r="C10" s="51">
        <v>1.6837962962962961E-2</v>
      </c>
      <c r="D10" s="29">
        <f>INDEX('Points Summary'!$H$4:$H$1143,G10)</f>
        <v>82.907092027259509</v>
      </c>
      <c r="E10" s="124">
        <f t="shared" si="0"/>
        <v>0.75703598679853079</v>
      </c>
      <c r="F10" s="3"/>
      <c r="G10" s="2">
        <f>MATCH(B10,'Points Summary'!$B$4:$B$1144,0)</f>
        <v>459</v>
      </c>
    </row>
    <row r="11" spans="1:7" x14ac:dyDescent="0.25">
      <c r="A11" s="53">
        <v>3</v>
      </c>
      <c r="B11" s="3" t="s">
        <v>711</v>
      </c>
      <c r="C11" s="51">
        <v>1.4585648148148148E-2</v>
      </c>
      <c r="D11" s="29">
        <f>INDEX('Points Summary'!$H$4:$H$1143,G11)</f>
        <v>80.808467545736889</v>
      </c>
      <c r="E11" s="124">
        <f t="shared" si="0"/>
        <v>0.87393743341890373</v>
      </c>
      <c r="F11" s="3"/>
      <c r="G11" s="2">
        <f>MATCH(B11,'Points Summary'!$B$4:$B$1144,0)</f>
        <v>85</v>
      </c>
    </row>
    <row r="12" spans="1:7" x14ac:dyDescent="0.25">
      <c r="A12" s="53">
        <v>13</v>
      </c>
      <c r="B12" s="3" t="s">
        <v>713</v>
      </c>
      <c r="C12" s="51">
        <v>1.6349537037037037E-2</v>
      </c>
      <c r="D12" s="29">
        <f>INDEX('Points Summary'!$H$4:$H$1143,G12)</f>
        <v>78.60794886388625</v>
      </c>
      <c r="E12" s="124">
        <f t="shared" si="0"/>
        <v>0.77965167322278239</v>
      </c>
      <c r="F12" s="3"/>
      <c r="G12" s="2">
        <f>MATCH(B12,'Points Summary'!$B$4:$B$1144,0)</f>
        <v>77</v>
      </c>
    </row>
    <row r="13" spans="1:7" x14ac:dyDescent="0.25">
      <c r="A13" s="53">
        <v>4</v>
      </c>
      <c r="B13" s="3" t="s">
        <v>805</v>
      </c>
      <c r="C13" s="51">
        <v>1.4706018518518519E-2</v>
      </c>
      <c r="D13" s="29">
        <f>INDEX('Points Summary'!$H$4:$H$1143,G13)</f>
        <v>74.181042242341434</v>
      </c>
      <c r="E13" s="124">
        <f t="shared" si="0"/>
        <v>0.86678415992011837</v>
      </c>
      <c r="F13" s="3"/>
      <c r="G13" s="2">
        <f>MATCH(B13,'Points Summary'!$B$4:$B$1144,0)</f>
        <v>307</v>
      </c>
    </row>
    <row r="14" spans="1:7" x14ac:dyDescent="0.25">
      <c r="A14" s="53">
        <v>8</v>
      </c>
      <c r="B14" s="3" t="s">
        <v>846</v>
      </c>
      <c r="C14" s="51">
        <v>1.5306712962962965E-2</v>
      </c>
      <c r="D14" s="29">
        <f>INDEX('Points Summary'!$H$4:$H$1143,G14)</f>
        <v>72.812737226805623</v>
      </c>
      <c r="E14" s="124">
        <f t="shared" si="0"/>
        <v>0.83276820687675035</v>
      </c>
      <c r="F14" s="3"/>
      <c r="G14" s="2">
        <f>MATCH(B14,'Points Summary'!$B$4:$B$1144,0)</f>
        <v>168</v>
      </c>
    </row>
    <row r="15" spans="1:7" x14ac:dyDescent="0.25">
      <c r="A15" s="53">
        <v>11</v>
      </c>
      <c r="B15" s="3" t="s">
        <v>772</v>
      </c>
      <c r="C15" s="51">
        <v>1.6025462962962964E-2</v>
      </c>
      <c r="D15" s="29">
        <f>INDEX('Points Summary'!$H$4:$H$1143,G15)</f>
        <v>72.044863189139662</v>
      </c>
      <c r="E15" s="124">
        <f t="shared" si="0"/>
        <v>0.79541813779756065</v>
      </c>
      <c r="F15" s="3"/>
      <c r="G15" s="2">
        <f>MATCH(B15,'Points Summary'!$B$4:$B$1144,0)</f>
        <v>90</v>
      </c>
    </row>
    <row r="16" spans="1:7" x14ac:dyDescent="0.25">
      <c r="A16" s="53">
        <v>12</v>
      </c>
      <c r="B16" s="3" t="s">
        <v>808</v>
      </c>
      <c r="C16" s="51">
        <v>1.6085648148148148E-2</v>
      </c>
      <c r="D16" s="29">
        <f>INDEX('Points Summary'!$H$4:$H$1143,G16)</f>
        <v>67.576996559312562</v>
      </c>
      <c r="E16" s="124">
        <f t="shared" si="0"/>
        <v>0.79244204460677969</v>
      </c>
      <c r="F16" s="3"/>
      <c r="G16" s="2">
        <f>MATCH(B16,'Points Summary'!$B$4:$B$1144,0)</f>
        <v>441</v>
      </c>
    </row>
    <row r="17" spans="1:7" x14ac:dyDescent="0.25">
      <c r="A17" s="53">
        <v>25</v>
      </c>
      <c r="B17" s="3" t="s">
        <v>806</v>
      </c>
      <c r="C17" s="51">
        <v>1.9671296296296298E-2</v>
      </c>
      <c r="D17" s="29">
        <f>INDEX('Points Summary'!$H$4:$H$1143,G17)</f>
        <v>66.849948914111152</v>
      </c>
      <c r="E17" s="124">
        <f t="shared" si="0"/>
        <v>0.64799714850229606</v>
      </c>
      <c r="F17" s="3"/>
      <c r="G17" s="2">
        <f>MATCH(B17,'Points Summary'!$B$4:$B$1144,0)</f>
        <v>107</v>
      </c>
    </row>
    <row r="18" spans="1:7" x14ac:dyDescent="0.25">
      <c r="A18" s="53">
        <v>10</v>
      </c>
      <c r="B18" s="3" t="s">
        <v>847</v>
      </c>
      <c r="C18" s="51">
        <v>1.5936342592592592E-2</v>
      </c>
      <c r="D18" s="29">
        <f>INDEX('Points Summary'!$H$4:$H$1143,G18)</f>
        <v>64.150558601474174</v>
      </c>
      <c r="E18" s="124">
        <f t="shared" si="0"/>
        <v>0.79986633277253427</v>
      </c>
      <c r="F18" s="3"/>
      <c r="G18" s="2">
        <f>MATCH(B18,'Points Summary'!$B$4:$B$1144,0)</f>
        <v>446</v>
      </c>
    </row>
    <row r="19" spans="1:7" x14ac:dyDescent="0.25">
      <c r="A19" s="53">
        <v>17</v>
      </c>
      <c r="B19" s="3" t="s">
        <v>894</v>
      </c>
      <c r="C19" s="51">
        <v>1.7001157407407406E-2</v>
      </c>
      <c r="D19" s="29" t="e">
        <f>INDEX('Points Summary'!$H$4:$H$1143,G19)</f>
        <v>#N/A</v>
      </c>
      <c r="E19" s="124">
        <f t="shared" si="0"/>
        <v>0.74976918346688171</v>
      </c>
      <c r="F19" s="3"/>
      <c r="G19" s="2" t="e">
        <f>MATCH(B19,'Points Summary'!$B$4:$B$1144,0)</f>
        <v>#N/A</v>
      </c>
    </row>
    <row r="20" spans="1:7" x14ac:dyDescent="0.25">
      <c r="A20" s="53">
        <v>22</v>
      </c>
      <c r="B20" s="3" t="s">
        <v>774</v>
      </c>
      <c r="C20" s="51">
        <v>1.8475694444444444E-2</v>
      </c>
      <c r="D20" s="29">
        <f>INDEX('Points Summary'!$H$4:$H$1143,G20)</f>
        <v>61.077198295781812</v>
      </c>
      <c r="E20" s="124">
        <f t="shared" si="0"/>
        <v>0.68993043512779706</v>
      </c>
      <c r="F20" s="3"/>
      <c r="G20" s="2">
        <f>MATCH(B20,'Points Summary'!$B$4:$B$1144,0)</f>
        <v>258</v>
      </c>
    </row>
    <row r="21" spans="1:7" x14ac:dyDescent="0.25">
      <c r="A21" s="53">
        <v>5</v>
      </c>
      <c r="B21" s="3" t="s">
        <v>1028</v>
      </c>
      <c r="C21" s="51">
        <v>1.4824074074074075E-2</v>
      </c>
      <c r="D21" s="29">
        <f>INDEX('Points Summary'!$H$4:$H$1143,G21)</f>
        <v>0</v>
      </c>
      <c r="E21" s="124">
        <f t="shared" ref="E21:E36" si="1">(AVERAGE($D$8:$D$10)/100*AVERAGE($C$8:$C$10))/C21</f>
        <v>0.85988128794074203</v>
      </c>
      <c r="F21" s="3"/>
      <c r="G21" s="2">
        <f>MATCH(B21,'Points Summary'!$B$4:$B$1144,0)</f>
        <v>28</v>
      </c>
    </row>
    <row r="22" spans="1:7" x14ac:dyDescent="0.25">
      <c r="A22" s="53">
        <v>6</v>
      </c>
      <c r="B22" s="3" t="s">
        <v>796</v>
      </c>
      <c r="C22" s="51">
        <v>1.4968750000000001E-2</v>
      </c>
      <c r="D22" s="29">
        <f>INDEX('Points Summary'!$H$4:$H$1143,G22)</f>
        <v>76.976708986449907</v>
      </c>
      <c r="E22" s="124">
        <f t="shared" si="1"/>
        <v>0.85157036541753839</v>
      </c>
      <c r="F22" s="3"/>
      <c r="G22" s="2">
        <f>MATCH(B22,'Points Summary'!$B$4:$B$1144,0)</f>
        <v>320</v>
      </c>
    </row>
    <row r="23" spans="1:7" x14ac:dyDescent="0.25">
      <c r="A23" s="53">
        <v>7</v>
      </c>
      <c r="B23" s="3" t="s">
        <v>1035</v>
      </c>
      <c r="C23" s="51">
        <v>1.5218749999999998E-2</v>
      </c>
      <c r="D23" s="29">
        <f>INDEX('Points Summary'!$H$4:$H$1143,G23)</f>
        <v>0</v>
      </c>
      <c r="E23" s="124">
        <f t="shared" si="1"/>
        <v>0.83758152984599787</v>
      </c>
      <c r="F23" s="3"/>
      <c r="G23" s="2">
        <f>MATCH(B23,'Points Summary'!$B$4:$B$1144,0)</f>
        <v>161</v>
      </c>
    </row>
    <row r="24" spans="1:7" x14ac:dyDescent="0.25">
      <c r="A24" s="53">
        <v>9</v>
      </c>
      <c r="B24" s="3" t="s">
        <v>1034</v>
      </c>
      <c r="C24" s="51">
        <v>1.5555555555555553E-2</v>
      </c>
      <c r="D24" s="29">
        <f>INDEX('Points Summary'!$H$4:$H$1143,G24)</f>
        <v>0</v>
      </c>
      <c r="E24" s="124">
        <f t="shared" si="1"/>
        <v>0.8194463940435287</v>
      </c>
      <c r="F24" s="3"/>
      <c r="G24" s="2">
        <f>MATCH(B24,'Points Summary'!$B$4:$B$1144,0)</f>
        <v>103</v>
      </c>
    </row>
    <row r="25" spans="1:7" x14ac:dyDescent="0.25">
      <c r="A25" s="53">
        <v>14</v>
      </c>
      <c r="B25" s="3" t="s">
        <v>1039</v>
      </c>
      <c r="C25" s="51">
        <v>1.6467592592592593E-2</v>
      </c>
      <c r="D25" s="29">
        <f>INDEX('Points Summary'!$H$4:$H$1143,G25)</f>
        <v>0</v>
      </c>
      <c r="E25" s="124">
        <f t="shared" si="1"/>
        <v>0.77406237952945067</v>
      </c>
      <c r="F25" s="3"/>
      <c r="G25" s="2">
        <f>MATCH(B25,'Points Summary'!$B$4:$B$1144,0)</f>
        <v>343</v>
      </c>
    </row>
    <row r="26" spans="1:7" x14ac:dyDescent="0.25">
      <c r="A26" s="53">
        <v>16</v>
      </c>
      <c r="B26" s="3" t="s">
        <v>839</v>
      </c>
      <c r="C26" s="51">
        <v>1.692824074074074E-2</v>
      </c>
      <c r="D26" s="29">
        <f>INDEX('Points Summary'!$H$4:$H$1143,G26)</f>
        <v>66.795927850866093</v>
      </c>
      <c r="E26" s="124">
        <f t="shared" si="1"/>
        <v>0.75299873758683333</v>
      </c>
      <c r="F26" s="3"/>
      <c r="G26" s="2">
        <f>MATCH(B26,'Points Summary'!$B$4:$B$1144,0)</f>
        <v>64</v>
      </c>
    </row>
    <row r="27" spans="1:7" x14ac:dyDescent="0.25">
      <c r="A27" s="53">
        <v>18</v>
      </c>
      <c r="B27" s="3" t="s">
        <v>1040</v>
      </c>
      <c r="C27" s="51">
        <v>1.734490740740741E-2</v>
      </c>
      <c r="D27" s="29">
        <f>INDEX('Points Summary'!$H$4:$H$1143,G27)</f>
        <v>0</v>
      </c>
      <c r="E27" s="124">
        <f t="shared" si="1"/>
        <v>0.73490988495562681</v>
      </c>
      <c r="F27" s="3"/>
      <c r="G27" s="2">
        <f>MATCH(B27,'Points Summary'!$B$4:$B$1144,0)</f>
        <v>198</v>
      </c>
    </row>
    <row r="28" spans="1:7" x14ac:dyDescent="0.25">
      <c r="A28" s="53">
        <v>19</v>
      </c>
      <c r="B28" s="3" t="s">
        <v>1030</v>
      </c>
      <c r="C28" s="51">
        <v>1.828472222222222E-2</v>
      </c>
      <c r="D28" s="29">
        <f>INDEX('Points Summary'!$H$4:$H$1143,G28)</f>
        <v>0</v>
      </c>
      <c r="E28" s="124">
        <f t="shared" si="1"/>
        <v>0.6971363169986724</v>
      </c>
      <c r="F28" s="3"/>
      <c r="G28" s="2">
        <f>MATCH(B28,'Points Summary'!$B$4:$B$1144,0)</f>
        <v>396</v>
      </c>
    </row>
    <row r="29" spans="1:7" x14ac:dyDescent="0.25">
      <c r="A29" s="53">
        <v>20</v>
      </c>
      <c r="B29" s="3" t="s">
        <v>1037</v>
      </c>
      <c r="C29" s="51">
        <v>1.8368055555555554E-2</v>
      </c>
      <c r="D29" s="29">
        <f>INDEX('Points Summary'!$H$4:$H$1143,G29)</f>
        <v>0</v>
      </c>
      <c r="E29" s="124">
        <f t="shared" si="1"/>
        <v>0.69397350573062544</v>
      </c>
      <c r="F29" s="3"/>
      <c r="G29" s="2">
        <f>MATCH(B29,'Points Summary'!$B$4:$B$1144,0)</f>
        <v>42</v>
      </c>
    </row>
    <row r="30" spans="1:7" x14ac:dyDescent="0.25">
      <c r="A30" s="53">
        <v>21</v>
      </c>
      <c r="B30" s="3" t="s">
        <v>1038</v>
      </c>
      <c r="C30" s="51">
        <v>1.8445601851851852E-2</v>
      </c>
      <c r="D30" s="29">
        <f>INDEX('Points Summary'!$H$4:$H$1143,G30)</f>
        <v>0</v>
      </c>
      <c r="E30" s="124">
        <f t="shared" si="1"/>
        <v>0.69105600401236267</v>
      </c>
      <c r="F30" s="3"/>
      <c r="G30" s="2">
        <f>MATCH(B30,'Points Summary'!$B$4:$B$1144,0)</f>
        <v>55</v>
      </c>
    </row>
    <row r="31" spans="1:7" x14ac:dyDescent="0.25">
      <c r="A31" s="53">
        <v>23</v>
      </c>
      <c r="B31" s="3" t="s">
        <v>1042</v>
      </c>
      <c r="C31" s="51">
        <v>1.8988425925925926E-2</v>
      </c>
      <c r="D31" s="29">
        <f>INDEX('Points Summary'!$H$4:$H$1143,G31)</f>
        <v>0</v>
      </c>
      <c r="E31" s="124">
        <f t="shared" si="1"/>
        <v>0.67130071534469249</v>
      </c>
      <c r="F31" s="3"/>
      <c r="G31" s="2">
        <f>MATCH(B31,'Points Summary'!$B$4:$B$1144,0)</f>
        <v>417</v>
      </c>
    </row>
    <row r="32" spans="1:7" x14ac:dyDescent="0.25">
      <c r="A32" s="53">
        <v>24</v>
      </c>
      <c r="B32" s="3" t="s">
        <v>1043</v>
      </c>
      <c r="C32" s="51">
        <v>1.9223379629629628E-2</v>
      </c>
      <c r="D32" s="29">
        <f>INDEX('Points Summary'!$H$4:$H$1143,G32)</f>
        <v>0</v>
      </c>
      <c r="E32" s="124">
        <f t="shared" si="1"/>
        <v>0.66309588391504759</v>
      </c>
      <c r="F32" s="3"/>
      <c r="G32" s="2">
        <f>MATCH(B32,'Points Summary'!$B$4:$B$1144,0)</f>
        <v>310</v>
      </c>
    </row>
    <row r="33" spans="1:7" x14ac:dyDescent="0.25">
      <c r="A33" s="53">
        <v>26</v>
      </c>
      <c r="B33" s="3" t="s">
        <v>1044</v>
      </c>
      <c r="C33" s="51">
        <v>2.041087962962963E-2</v>
      </c>
      <c r="D33" s="29">
        <f>INDEX('Points Summary'!$H$4:$H$1143,G33)</f>
        <v>0</v>
      </c>
      <c r="E33" s="124">
        <f t="shared" si="1"/>
        <v>0.62451712707371843</v>
      </c>
      <c r="F33" s="3"/>
      <c r="G33" s="2">
        <f>MATCH(B33,'Points Summary'!$B$4:$B$1144,0)</f>
        <v>36</v>
      </c>
    </row>
    <row r="34" spans="1:7" x14ac:dyDescent="0.25">
      <c r="A34" s="53">
        <v>27</v>
      </c>
      <c r="B34" s="3" t="s">
        <v>1041</v>
      </c>
      <c r="C34" s="51">
        <v>2.0750000000000001E-2</v>
      </c>
      <c r="D34" s="29">
        <f>INDEX('Points Summary'!$H$4:$H$1143,G34)</f>
        <v>0</v>
      </c>
      <c r="E34" s="124">
        <f t="shared" si="1"/>
        <v>0.61431054975150734</v>
      </c>
      <c r="F34" s="3"/>
      <c r="G34" s="2">
        <f>MATCH(B34,'Points Summary'!$B$4:$B$1144,0)</f>
        <v>164</v>
      </c>
    </row>
    <row r="35" spans="1:7" x14ac:dyDescent="0.25">
      <c r="A35" s="53">
        <v>28</v>
      </c>
      <c r="B35" s="3" t="s">
        <v>1045</v>
      </c>
      <c r="C35" s="51">
        <v>2.0812500000000001E-2</v>
      </c>
      <c r="D35" s="29">
        <f>INDEX('Points Summary'!$H$4:$H$1143,G35)</f>
        <v>0</v>
      </c>
      <c r="E35" s="124">
        <f t="shared" si="1"/>
        <v>0.61246577332582719</v>
      </c>
      <c r="F35" s="3"/>
      <c r="G35" s="2">
        <f>MATCH(B35,'Points Summary'!$B$4:$B$1144,0)</f>
        <v>289</v>
      </c>
    </row>
    <row r="36" spans="1:7" x14ac:dyDescent="0.25">
      <c r="A36" s="53">
        <v>29</v>
      </c>
      <c r="B36" s="3" t="s">
        <v>1046</v>
      </c>
      <c r="C36" s="51">
        <v>2.2989583333333331E-2</v>
      </c>
      <c r="D36" s="29">
        <f>INDEX('Points Summary'!$H$4:$H$1143,G36)</f>
        <v>0</v>
      </c>
      <c r="E36" s="124">
        <f t="shared" si="1"/>
        <v>0.55446606937245257</v>
      </c>
      <c r="F36" s="3"/>
      <c r="G36" s="2">
        <f>MATCH(B36,'Points Summary'!$B$4:$B$1144,0)</f>
        <v>156</v>
      </c>
    </row>
    <row r="37" spans="1:7" x14ac:dyDescent="0.25">
      <c r="B37" s="3"/>
    </row>
    <row r="38" spans="1:7" x14ac:dyDescent="0.25">
      <c r="B38" s="3"/>
    </row>
    <row r="39" spans="1:7" x14ac:dyDescent="0.25">
      <c r="B39" s="3"/>
    </row>
    <row r="40" spans="1:7" x14ac:dyDescent="0.25">
      <c r="B40" s="3"/>
    </row>
    <row r="41" spans="1:7" x14ac:dyDescent="0.25">
      <c r="B41" s="3"/>
    </row>
    <row r="42" spans="1:7" x14ac:dyDescent="0.25">
      <c r="B42" s="3"/>
    </row>
    <row r="43" spans="1:7" x14ac:dyDescent="0.25">
      <c r="B43" s="3"/>
    </row>
  </sheetData>
  <sortState ref="A21:G36">
    <sortCondition ref="C21:C36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2018 Race Points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Q1122"/>
  <sheetViews>
    <sheetView topLeftCell="DT82" zoomScaleNormal="100" workbookViewId="0">
      <selection activeCell="EK100" sqref="EK100:EL100"/>
    </sheetView>
  </sheetViews>
  <sheetFormatPr defaultRowHeight="13.2" x14ac:dyDescent="0.25"/>
  <cols>
    <col min="2" max="2" width="22.33203125" customWidth="1"/>
    <col min="3" max="3" width="6.5546875" style="42" customWidth="1"/>
    <col min="4" max="4" width="6.5546875" customWidth="1"/>
    <col min="5" max="129" width="10.6640625" customWidth="1"/>
    <col min="130" max="130" width="9.6640625" customWidth="1"/>
    <col min="131" max="131" width="20.5546875" customWidth="1"/>
    <col min="133" max="134" width="8.88671875" style="42"/>
    <col min="135" max="137" width="6.6640625" customWidth="1"/>
    <col min="143" max="143" width="20.6640625" customWidth="1"/>
    <col min="146" max="146" width="21.6640625" customWidth="1"/>
    <col min="147" max="147" width="6.5546875" style="42" customWidth="1"/>
    <col min="148" max="149" width="6.5546875" customWidth="1"/>
    <col min="154" max="154" width="21.6640625" customWidth="1"/>
    <col min="155" max="157" width="6.5546875" customWidth="1"/>
    <col min="161" max="161" width="21.6640625" customWidth="1"/>
    <col min="162" max="164" width="6.5546875" customWidth="1"/>
  </cols>
  <sheetData>
    <row r="1" spans="1:147" x14ac:dyDescent="0.25">
      <c r="A1" s="9">
        <v>2018</v>
      </c>
      <c r="B1" s="10" t="s">
        <v>0</v>
      </c>
      <c r="C1" s="9" t="s">
        <v>1</v>
      </c>
      <c r="D1" s="9" t="s">
        <v>60</v>
      </c>
      <c r="E1" s="108" t="s">
        <v>4</v>
      </c>
      <c r="F1" s="108" t="s">
        <v>4</v>
      </c>
      <c r="G1" s="109" t="s">
        <v>19</v>
      </c>
      <c r="H1" s="154" t="s">
        <v>992</v>
      </c>
      <c r="I1" s="1" t="s">
        <v>540</v>
      </c>
      <c r="J1" s="1" t="s">
        <v>541</v>
      </c>
      <c r="K1" s="1" t="s">
        <v>542</v>
      </c>
      <c r="L1" s="1" t="s">
        <v>543</v>
      </c>
      <c r="M1" s="1" t="s">
        <v>544</v>
      </c>
      <c r="N1" s="11" t="s">
        <v>545</v>
      </c>
      <c r="O1" s="11" t="s">
        <v>546</v>
      </c>
      <c r="P1" s="11" t="s">
        <v>547</v>
      </c>
      <c r="Q1" s="11" t="s">
        <v>548</v>
      </c>
      <c r="R1" s="11" t="s">
        <v>549</v>
      </c>
      <c r="S1" s="11" t="s">
        <v>550</v>
      </c>
      <c r="T1" s="11" t="s">
        <v>551</v>
      </c>
      <c r="U1" s="11" t="s">
        <v>552</v>
      </c>
      <c r="V1" s="1" t="s">
        <v>553</v>
      </c>
      <c r="W1" s="1" t="s">
        <v>554</v>
      </c>
      <c r="X1" s="1" t="s">
        <v>555</v>
      </c>
      <c r="Y1" s="1" t="s">
        <v>556</v>
      </c>
      <c r="Z1" s="1" t="s">
        <v>557</v>
      </c>
      <c r="AA1" s="1" t="s">
        <v>558</v>
      </c>
      <c r="AB1" s="1" t="s">
        <v>559</v>
      </c>
      <c r="AC1" s="1" t="s">
        <v>560</v>
      </c>
      <c r="AD1" s="1" t="s">
        <v>561</v>
      </c>
      <c r="AE1" s="1" t="s">
        <v>562</v>
      </c>
      <c r="AF1" s="1" t="s">
        <v>563</v>
      </c>
      <c r="AG1" s="1" t="s">
        <v>564</v>
      </c>
      <c r="AH1" s="1" t="s">
        <v>565</v>
      </c>
      <c r="AI1" s="1" t="s">
        <v>566</v>
      </c>
      <c r="AJ1" s="1" t="s">
        <v>567</v>
      </c>
      <c r="AK1" s="1" t="s">
        <v>568</v>
      </c>
      <c r="AL1" s="1" t="s">
        <v>569</v>
      </c>
      <c r="AM1" s="1" t="s">
        <v>570</v>
      </c>
      <c r="AN1" s="1" t="s">
        <v>571</v>
      </c>
      <c r="AO1" s="1" t="s">
        <v>572</v>
      </c>
      <c r="AP1" s="1" t="s">
        <v>573</v>
      </c>
      <c r="AQ1" s="1" t="s">
        <v>574</v>
      </c>
      <c r="AR1" s="1" t="s">
        <v>575</v>
      </c>
      <c r="AS1" s="1" t="s">
        <v>576</v>
      </c>
      <c r="AT1" s="1" t="s">
        <v>577</v>
      </c>
      <c r="AU1" s="1" t="s">
        <v>578</v>
      </c>
      <c r="AV1" s="1" t="s">
        <v>579</v>
      </c>
      <c r="AW1" s="1" t="s">
        <v>580</v>
      </c>
      <c r="AX1" s="200" t="s">
        <v>581</v>
      </c>
      <c r="AY1" s="201" t="s">
        <v>582</v>
      </c>
      <c r="AZ1" s="1" t="s">
        <v>583</v>
      </c>
      <c r="BA1" s="1" t="s">
        <v>584</v>
      </c>
      <c r="BB1" s="1" t="s">
        <v>585</v>
      </c>
      <c r="BC1" s="1" t="s">
        <v>586</v>
      </c>
      <c r="BD1" s="1" t="s">
        <v>587</v>
      </c>
      <c r="BE1" s="1" t="s">
        <v>588</v>
      </c>
      <c r="BF1" s="1" t="s">
        <v>589</v>
      </c>
      <c r="BG1" s="1" t="s">
        <v>590</v>
      </c>
      <c r="BH1" s="1" t="s">
        <v>591</v>
      </c>
      <c r="BI1" s="1" t="s">
        <v>592</v>
      </c>
      <c r="BJ1" s="1" t="s">
        <v>593</v>
      </c>
      <c r="BK1" s="1" t="s">
        <v>594</v>
      </c>
      <c r="BL1" s="1" t="s">
        <v>595</v>
      </c>
      <c r="BM1" s="1" t="s">
        <v>596</v>
      </c>
      <c r="BN1" s="1" t="s">
        <v>597</v>
      </c>
      <c r="BO1" s="1" t="s">
        <v>598</v>
      </c>
      <c r="BP1" s="1" t="s">
        <v>599</v>
      </c>
      <c r="BQ1" s="1" t="s">
        <v>600</v>
      </c>
      <c r="BR1" s="1" t="s">
        <v>601</v>
      </c>
      <c r="BS1" s="1" t="s">
        <v>602</v>
      </c>
      <c r="BT1" s="1" t="s">
        <v>603</v>
      </c>
      <c r="BU1" s="1" t="s">
        <v>604</v>
      </c>
      <c r="BV1" s="1" t="s">
        <v>605</v>
      </c>
      <c r="BW1" s="1" t="s">
        <v>606</v>
      </c>
      <c r="BX1" s="1" t="s">
        <v>607</v>
      </c>
      <c r="BY1" s="1" t="s">
        <v>608</v>
      </c>
      <c r="BZ1" s="1" t="s">
        <v>609</v>
      </c>
      <c r="CA1" s="1" t="s">
        <v>610</v>
      </c>
      <c r="CB1" s="1" t="s">
        <v>611</v>
      </c>
      <c r="CC1" s="1" t="s">
        <v>612</v>
      </c>
      <c r="CD1" s="1" t="s">
        <v>613</v>
      </c>
      <c r="CE1" s="1" t="s">
        <v>614</v>
      </c>
      <c r="CF1" s="1" t="s">
        <v>615</v>
      </c>
      <c r="CG1" s="1" t="s">
        <v>616</v>
      </c>
      <c r="CH1" s="1" t="s">
        <v>617</v>
      </c>
      <c r="CI1" s="1" t="s">
        <v>618</v>
      </c>
      <c r="CJ1" s="1" t="s">
        <v>619</v>
      </c>
      <c r="CK1" s="1" t="s">
        <v>620</v>
      </c>
      <c r="CL1" s="1" t="s">
        <v>621</v>
      </c>
      <c r="CM1" s="1" t="s">
        <v>622</v>
      </c>
      <c r="CN1" s="1" t="s">
        <v>623</v>
      </c>
      <c r="CO1" s="1" t="s">
        <v>624</v>
      </c>
      <c r="CP1" s="1" t="s">
        <v>625</v>
      </c>
      <c r="CQ1" s="1" t="s">
        <v>626</v>
      </c>
      <c r="CR1" s="1" t="s">
        <v>627</v>
      </c>
      <c r="CS1" s="1" t="s">
        <v>628</v>
      </c>
      <c r="CT1" s="1" t="s">
        <v>629</v>
      </c>
      <c r="CU1" s="1" t="s">
        <v>630</v>
      </c>
      <c r="CV1" s="1" t="s">
        <v>631</v>
      </c>
      <c r="CW1" s="1" t="s">
        <v>632</v>
      </c>
      <c r="CX1" s="1" t="s">
        <v>633</v>
      </c>
      <c r="CY1" s="1" t="s">
        <v>634</v>
      </c>
      <c r="CZ1" s="11" t="s">
        <v>635</v>
      </c>
      <c r="DA1" s="11" t="s">
        <v>636</v>
      </c>
      <c r="DB1" s="11" t="s">
        <v>637</v>
      </c>
      <c r="DC1" s="11" t="s">
        <v>638</v>
      </c>
      <c r="DD1" s="11" t="s">
        <v>639</v>
      </c>
      <c r="DE1" s="11" t="s">
        <v>640</v>
      </c>
      <c r="DF1" s="11" t="s">
        <v>641</v>
      </c>
      <c r="DG1" s="11" t="s">
        <v>642</v>
      </c>
      <c r="DH1" s="11" t="s">
        <v>643</v>
      </c>
      <c r="DI1" s="11" t="s">
        <v>644</v>
      </c>
      <c r="DJ1" s="11" t="s">
        <v>645</v>
      </c>
      <c r="DK1" s="11" t="s">
        <v>646</v>
      </c>
      <c r="DL1" s="11" t="s">
        <v>647</v>
      </c>
      <c r="DM1" s="11" t="s">
        <v>648</v>
      </c>
      <c r="DN1" s="11" t="s">
        <v>649</v>
      </c>
      <c r="DO1" s="11" t="s">
        <v>736</v>
      </c>
      <c r="DP1" s="11" t="s">
        <v>737</v>
      </c>
      <c r="DQ1" s="11" t="s">
        <v>738</v>
      </c>
      <c r="DR1" s="11" t="s">
        <v>739</v>
      </c>
      <c r="DS1" s="11" t="s">
        <v>740</v>
      </c>
      <c r="DT1" s="11" t="s">
        <v>741</v>
      </c>
      <c r="DU1" s="11" t="s">
        <v>745</v>
      </c>
      <c r="DV1" s="11" t="s">
        <v>746</v>
      </c>
      <c r="DW1" s="11" t="s">
        <v>748</v>
      </c>
      <c r="DX1" s="11" t="s">
        <v>749</v>
      </c>
      <c r="DY1" s="11" t="s">
        <v>384</v>
      </c>
      <c r="DZ1" s="11"/>
      <c r="EA1" t="s">
        <v>652</v>
      </c>
      <c r="EC1" s="113">
        <v>2017</v>
      </c>
      <c r="ED1" s="42">
        <v>2018</v>
      </c>
      <c r="EE1" s="69">
        <v>43101</v>
      </c>
      <c r="EF1" s="69">
        <v>43132</v>
      </c>
      <c r="EG1" s="69" t="s">
        <v>183</v>
      </c>
      <c r="EI1" s="69">
        <v>43101</v>
      </c>
      <c r="EJ1" s="69">
        <v>43132</v>
      </c>
      <c r="EK1" s="42" t="s">
        <v>183</v>
      </c>
      <c r="EL1" s="42" t="s">
        <v>82</v>
      </c>
      <c r="EM1" s="42"/>
      <c r="EQ1"/>
    </row>
    <row r="2" spans="1:147" x14ac:dyDescent="0.25">
      <c r="A2" s="9"/>
      <c r="B2" s="10"/>
      <c r="C2" s="9"/>
      <c r="D2" s="9"/>
      <c r="E2" s="108" t="s">
        <v>654</v>
      </c>
      <c r="F2" s="108" t="s">
        <v>655</v>
      </c>
      <c r="G2" s="109" t="s">
        <v>539</v>
      </c>
      <c r="H2" s="109" t="s">
        <v>538</v>
      </c>
      <c r="I2" s="130" t="str">
        <f>'Race 1'!$B$1</f>
        <v>WYSEF</v>
      </c>
      <c r="J2" s="130" t="str">
        <f>'Race 2'!$B$1</f>
        <v>WC 1</v>
      </c>
      <c r="K2" s="130" t="str">
        <f>'Race 3'!$B$1</f>
        <v>WC 1</v>
      </c>
      <c r="L2" s="130" t="str">
        <f>'Race 4'!$B$1</f>
        <v>WC 1</v>
      </c>
      <c r="M2" s="130" t="str">
        <f>'Race 5'!$B$1</f>
        <v>WC 2</v>
      </c>
      <c r="N2" s="130" t="str">
        <f>'Race 6'!$B$1</f>
        <v>WC 2</v>
      </c>
      <c r="O2" s="130" t="str">
        <f>'Race 7'!$B$1</f>
        <v>Altius Cup 1</v>
      </c>
      <c r="P2" s="130" t="str">
        <f>'Race 8'!$B$1</f>
        <v>WC 3</v>
      </c>
      <c r="Q2" s="130" t="str">
        <f>'Race 9'!$B$1</f>
        <v>IBU Cup Trial 1</v>
      </c>
      <c r="R2" s="130" t="str">
        <f>'Race 10'!$B$1</f>
        <v>WC 3</v>
      </c>
      <c r="S2" s="130" t="str">
        <f>'Race 11'!$B$1</f>
        <v>IBU Cup Trial 2</v>
      </c>
      <c r="T2" s="130" t="str">
        <f>'Race 12'!$B$1</f>
        <v>IBU Cup Trial 3</v>
      </c>
      <c r="U2" s="130" t="str">
        <f>'Race 13'!$B$1</f>
        <v>WC 3</v>
      </c>
      <c r="V2" s="130" t="str">
        <f>'Race 14'!$B$1</f>
        <v>IBU Cup Trial 3</v>
      </c>
      <c r="W2" s="130" t="str">
        <f>'Race 15'!$B$1</f>
        <v>MN Cup 1</v>
      </c>
      <c r="X2" s="130" t="str">
        <f>'Race 16'!$B$1</f>
        <v>Jr Trials 1</v>
      </c>
      <c r="Y2" s="130" t="str">
        <f>'Race 17'!$B$1</f>
        <v>Jr Trials 2</v>
      </c>
      <c r="Z2" s="130" t="str">
        <f>'Race 18'!$B$1</f>
        <v>WC 4</v>
      </c>
      <c r="AA2" s="130" t="str">
        <f>'Race 19'!$B$1</f>
        <v>IBU Cup 4</v>
      </c>
      <c r="AB2" s="130" t="str">
        <f>'Race 20'!$B$1</f>
        <v>IBU Cup 4</v>
      </c>
      <c r="AC2" s="130" t="str">
        <f>'Race 21'!$B$1</f>
        <v>WI 1</v>
      </c>
      <c r="AD2" s="130" t="str">
        <f>'Race 22'!$B$1</f>
        <v>WYSEF</v>
      </c>
      <c r="AE2" s="130" t="str">
        <f>'Race 23'!$B$1</f>
        <v>WC 5</v>
      </c>
      <c r="AF2" s="130" t="str">
        <f>'Race 24'!$B$1</f>
        <v>IBU Cup 5</v>
      </c>
      <c r="AG2" s="130" t="str">
        <f>'Race 25'!$B$1</f>
        <v>CO 1</v>
      </c>
      <c r="AH2" s="130" t="str">
        <f>'Race 26'!$B$1</f>
        <v>WC 6</v>
      </c>
      <c r="AI2" s="130" t="str">
        <f>'Race 27'!$B$1</f>
        <v>WC 6</v>
      </c>
      <c r="AJ2" s="130" t="str">
        <f>'Race 28'!$B$1</f>
        <v>NYSSRA 1</v>
      </c>
      <c r="AK2" s="130" t="str">
        <f>'Race 29'!$B$1</f>
        <v>NYSSRA 2</v>
      </c>
      <c r="AL2" s="130" t="str">
        <f>'Race 30'!$B$1</f>
        <v>CO 2</v>
      </c>
      <c r="AM2" s="130" t="str">
        <f>'Race 31'!$B$1</f>
        <v>WA 1</v>
      </c>
      <c r="AN2" s="130" t="str">
        <f>'Race 32'!$B$1</f>
        <v>WA 2</v>
      </c>
      <c r="AO2" s="130" t="str">
        <f>'Race 33'!$B$1</f>
        <v>WI 2</v>
      </c>
      <c r="AP2" s="130" t="str">
        <f>'Race 34'!$B$1</f>
        <v>ECH 1</v>
      </c>
      <c r="AQ2" s="130" t="str">
        <f>'Race 35'!$B$1</f>
        <v>ECH 2</v>
      </c>
      <c r="AR2" s="130" t="str">
        <f>'Race 36'!$B$1</f>
        <v>NYSSRA 3</v>
      </c>
      <c r="AS2" s="130" t="str">
        <f>'Race 37'!$B$1</f>
        <v>EABC 1</v>
      </c>
      <c r="AT2" s="130" t="str">
        <f>'Race 38'!$B$1</f>
        <v>EABC 3</v>
      </c>
      <c r="AU2" s="130" t="str">
        <f>'Race 39'!$B$1</f>
        <v>EABC 4</v>
      </c>
      <c r="AV2" s="130" t="str">
        <f>'Race 40'!$B$1</f>
        <v>NYSSRA 4</v>
      </c>
      <c r="AW2" s="130" t="str">
        <f>'Race 41'!$B$1</f>
        <v>NGB R1</v>
      </c>
      <c r="AX2" s="202" t="str">
        <f>'Race 42'!$B$1</f>
        <v>NGR R2</v>
      </c>
      <c r="AY2" s="203" t="str">
        <f>'Race 43'!$B$1</f>
        <v>ESWG</v>
      </c>
      <c r="AZ2" s="130" t="str">
        <f>'Race 44'!$B$1</f>
        <v>EABC 5</v>
      </c>
      <c r="BA2" s="130" t="str">
        <f>'Race 45'!$B$1</f>
        <v xml:space="preserve">NorAm 5 </v>
      </c>
      <c r="BB2" s="130" t="str">
        <f>'Race 46'!$B$1</f>
        <v xml:space="preserve">NorAm 5 </v>
      </c>
      <c r="BC2" s="130" t="str">
        <f>'Race 47'!$B$1</f>
        <v xml:space="preserve">OWG </v>
      </c>
      <c r="BD2" s="130" t="str">
        <f>'Race 48'!$B$1</f>
        <v>NorAm 5</v>
      </c>
      <c r="BE2" s="130" t="str">
        <f>'Race 49'!$B$1</f>
        <v>NorAm 5</v>
      </c>
      <c r="BF2" s="130" t="str">
        <f>'Race 50'!$B$1</f>
        <v>OWG</v>
      </c>
      <c r="BG2" s="130" t="str">
        <f>'Race 51'!$B$1</f>
        <v>WI 3</v>
      </c>
      <c r="BH2" s="130" t="str">
        <f>'Race 52'!$B$1</f>
        <v>WI 3</v>
      </c>
      <c r="BI2" s="130" t="str">
        <f>'Race 53'!$B$1</f>
        <v>OWG</v>
      </c>
      <c r="BJ2" s="130" t="str">
        <f>'Race 54'!$B$1</f>
        <v>NorAm 6</v>
      </c>
      <c r="BK2" s="130" t="str">
        <f>'Race 55'!$B$1</f>
        <v>NorAm 6</v>
      </c>
      <c r="BL2" s="130" t="str">
        <f>'Race 56'!$B$1</f>
        <v>NorAm 6</v>
      </c>
      <c r="BM2" s="130" t="str">
        <f>'Race 57'!$B$1</f>
        <v>NorAm 6</v>
      </c>
      <c r="BN2" s="130" t="str">
        <f>'Race 58'!$B$1</f>
        <v>NorAm 6</v>
      </c>
      <c r="BO2" s="130" t="str">
        <f>'Race 59'!$B$1</f>
        <v>WI 5</v>
      </c>
      <c r="BP2" s="130" t="str">
        <f>'Race 60'!$B$1</f>
        <v>EABC 5</v>
      </c>
      <c r="BQ2" s="130" t="str">
        <f>'Race 61'!$B$1</f>
        <v>EABC 6</v>
      </c>
      <c r="BR2" s="130" t="str">
        <f>'Race 62'!$B$1</f>
        <v>NYSSRA</v>
      </c>
      <c r="BS2" s="130" t="str">
        <f>'Race 63'!$B$1</f>
        <v>CO Champs</v>
      </c>
      <c r="BT2" s="130" t="str">
        <f>'Race 64'!$B$1</f>
        <v>CO Champs</v>
      </c>
      <c r="BU2" s="130" t="str">
        <f>'Race 65'!$B$1</f>
        <v>WJYCH 1</v>
      </c>
      <c r="BV2" s="130" t="str">
        <f>'Race 66'!$B$1</f>
        <v>Jr Cup 3</v>
      </c>
      <c r="BW2" s="130" t="str">
        <f>'Race 67'!$B$1</f>
        <v>Jr Cup 3</v>
      </c>
      <c r="BX2" s="130" t="str">
        <f>'Race 68'!$B$1</f>
        <v>Eur Jr Champ</v>
      </c>
      <c r="BY2" s="130" t="str">
        <f>'Race 69'!$B$1</f>
        <v>WJYCH 1</v>
      </c>
      <c r="BZ2" s="130" t="str">
        <f>'Race 70'!$B$1</f>
        <v>WJYCH 2</v>
      </c>
      <c r="CA2" s="130" t="str">
        <f>'Race 71'!$B$1</f>
        <v>WA 3</v>
      </c>
      <c r="CB2" s="130" t="str">
        <f>'Race 72'!$B$1</f>
        <v>WJYCH 2</v>
      </c>
      <c r="CC2" s="130" t="str">
        <f>'Race 73'!$B$1</f>
        <v>WJYCH 3</v>
      </c>
      <c r="CD2" s="130" t="str">
        <f>'Race 74'!$B$1</f>
        <v>WI 6</v>
      </c>
      <c r="CE2" s="130" t="str">
        <f>'Race 75'!$B$1</f>
        <v>NG Champ</v>
      </c>
      <c r="CF2" s="130" t="str">
        <f>'Race 76'!$B$1</f>
        <v>NG Champ</v>
      </c>
      <c r="CG2" s="130" t="str">
        <f>'Race 77'!$B$1</f>
        <v>WC 7</v>
      </c>
      <c r="CH2" s="130" t="str">
        <f>'Race 78'!$B$1</f>
        <v>WC 7</v>
      </c>
      <c r="CI2" s="130" t="str">
        <f>'Race 79'!$B$1</f>
        <v>WC 8</v>
      </c>
      <c r="CJ2" s="130" t="str">
        <f>'Race 80'!$B$1</f>
        <v>WC 8</v>
      </c>
      <c r="CK2" s="130" t="str">
        <f>'Race 81'!$B$1</f>
        <v>WA 5</v>
      </c>
      <c r="CL2" s="130" t="str">
        <f>'Race 82'!$B$1</f>
        <v>WA 6</v>
      </c>
      <c r="CM2" s="130" t="str">
        <f>'Race 83'!$B$1</f>
        <v>WMCh</v>
      </c>
      <c r="CN2" s="130" t="str">
        <f>'Race 84'!$B$1</f>
        <v>Natl Chmps</v>
      </c>
      <c r="CO2" s="130" t="str">
        <f>'Race 85'!$B$1</f>
        <v>Natl Chmps</v>
      </c>
      <c r="CP2" s="130" t="str">
        <f>'Race 86'!$B$1</f>
        <v>Natl Chmps</v>
      </c>
      <c r="CQ2" s="130" t="str">
        <f>'Race 87'!$B$1</f>
        <v>Natl Chmps</v>
      </c>
      <c r="CR2" s="130" t="str">
        <f>'Race 88'!$B$1</f>
        <v>CA 1</v>
      </c>
      <c r="CS2" s="130" t="str">
        <f>'Race 89'!$B$1</f>
        <v>CA 2</v>
      </c>
      <c r="CT2" s="130" t="str">
        <f>'Race 90'!$B$1</f>
        <v>CA 3</v>
      </c>
      <c r="CU2" s="130" t="str">
        <f>'Race 91'!$B$1</f>
        <v>CA 4</v>
      </c>
      <c r="CV2" s="130" t="str">
        <f>'Race 92'!$B$1</f>
        <v>Natl Chmps</v>
      </c>
      <c r="CW2" s="130" t="str">
        <f>'Race 93'!$B$1</f>
        <v>Natl Chmps</v>
      </c>
      <c r="CX2" s="130" t="str">
        <f>'Race 94'!$B$1</f>
        <v>CO Champs</v>
      </c>
      <c r="CY2" s="130" t="str">
        <f>'Race 95'!$B$1</f>
        <v>CO Champs</v>
      </c>
      <c r="CZ2" s="130" t="str">
        <f>'Race 96'!$B$1</f>
        <v>CISM</v>
      </c>
      <c r="DA2" s="130">
        <f>'Race 97'!$B$1</f>
        <v>0</v>
      </c>
      <c r="DB2" s="130">
        <f>'Race 98'!$B$1</f>
        <v>0</v>
      </c>
      <c r="DC2" s="130">
        <f>'Race 99'!$B$1</f>
        <v>0</v>
      </c>
      <c r="DD2" s="130">
        <f>'Race 100'!$B$1</f>
        <v>0</v>
      </c>
      <c r="DE2" s="130">
        <f>'Race 101'!$B$1</f>
        <v>0</v>
      </c>
      <c r="DF2" s="130">
        <f>'Race 102'!$B$1</f>
        <v>0</v>
      </c>
      <c r="DG2" s="130">
        <f>'Race 103'!$B$1</f>
        <v>0</v>
      </c>
      <c r="DH2" s="130" t="str">
        <f>'Race 104'!$B$1</f>
        <v>NACH</v>
      </c>
      <c r="DI2" s="130">
        <f>'Race 105'!$B$1</f>
        <v>0</v>
      </c>
      <c r="DJ2" s="130">
        <f>'Race 106'!$B$1</f>
        <v>0</v>
      </c>
      <c r="DK2" s="130">
        <f>'Race 107'!$B$1</f>
        <v>0</v>
      </c>
      <c r="DL2" s="130">
        <f>'Race 108'!$B$1</f>
        <v>0</v>
      </c>
      <c r="DM2" s="130">
        <f>'Race 109'!$B$1</f>
        <v>0</v>
      </c>
      <c r="DN2" s="130">
        <f>'Race 110'!$B$1</f>
        <v>0</v>
      </c>
      <c r="DO2" s="130">
        <f>'Race 111'!$B$1</f>
        <v>0</v>
      </c>
      <c r="DP2" s="130">
        <f>'Race 112'!$B$1</f>
        <v>0</v>
      </c>
      <c r="DQ2" s="130">
        <f>'Race 113'!$B$1</f>
        <v>0</v>
      </c>
      <c r="DR2" s="130">
        <f>'Race 114'!$B$1</f>
        <v>0</v>
      </c>
      <c r="DS2" s="130">
        <f>'Race 115'!$B$1</f>
        <v>0</v>
      </c>
      <c r="DT2" s="130">
        <f>'Race 116'!$B$1</f>
        <v>0</v>
      </c>
      <c r="DU2" s="130">
        <f>'Race 117'!$B$1</f>
        <v>0</v>
      </c>
      <c r="DV2" s="130">
        <f>'Race 118'!$B$1</f>
        <v>0</v>
      </c>
      <c r="DW2" s="130">
        <f>'Race 119'!$B$1</f>
        <v>0</v>
      </c>
      <c r="DX2" s="130">
        <f>'Race 120'!$B$1</f>
        <v>0</v>
      </c>
      <c r="DY2" s="131"/>
      <c r="DZ2" s="11"/>
      <c r="EA2" t="s">
        <v>653</v>
      </c>
      <c r="EC2" s="113" t="s">
        <v>538</v>
      </c>
      <c r="ED2" s="42" t="s">
        <v>183</v>
      </c>
      <c r="EE2" s="69" t="s">
        <v>651</v>
      </c>
      <c r="EF2" s="69" t="s">
        <v>651</v>
      </c>
      <c r="EG2" s="69" t="s">
        <v>651</v>
      </c>
      <c r="EI2" s="69" t="s">
        <v>650</v>
      </c>
      <c r="EJ2" s="69" t="s">
        <v>650</v>
      </c>
      <c r="EK2" s="42" t="s">
        <v>650</v>
      </c>
      <c r="EL2" s="42">
        <v>2018</v>
      </c>
      <c r="EM2" s="42" t="s">
        <v>29</v>
      </c>
      <c r="EQ2"/>
    </row>
    <row r="3" spans="1:147" x14ac:dyDescent="0.25">
      <c r="A3" s="12" t="s">
        <v>2</v>
      </c>
      <c r="B3" s="47" t="s">
        <v>3</v>
      </c>
      <c r="C3" s="48"/>
      <c r="D3" s="48"/>
      <c r="E3" s="147" t="s">
        <v>993</v>
      </c>
      <c r="F3" s="147" t="s">
        <v>994</v>
      </c>
      <c r="G3" s="110" t="s">
        <v>20</v>
      </c>
      <c r="H3" s="110" t="s">
        <v>211</v>
      </c>
      <c r="I3" s="132">
        <f>'Race 1'!$B$2</f>
        <v>43061</v>
      </c>
      <c r="J3" s="132">
        <f>'Race 2'!$B$2</f>
        <v>42684</v>
      </c>
      <c r="K3" s="132">
        <f>'Race 3'!$B$2</f>
        <v>43071</v>
      </c>
      <c r="L3" s="132">
        <f>'Race 4'!$B$2</f>
        <v>43072</v>
      </c>
      <c r="M3" s="132">
        <f>'Race 5'!$B$2</f>
        <v>43077</v>
      </c>
      <c r="N3" s="132">
        <f>'Race 6'!$B$2</f>
        <v>43078</v>
      </c>
      <c r="O3" s="132">
        <f>'Race 7'!$B$2</f>
        <v>43079</v>
      </c>
      <c r="P3" s="132">
        <f>'Race 8'!$B$2</f>
        <v>43084</v>
      </c>
      <c r="Q3" s="132">
        <f>'Race 9'!$B$2</f>
        <v>43084</v>
      </c>
      <c r="R3" s="132">
        <f>'Race 10'!$B$2</f>
        <v>43086</v>
      </c>
      <c r="S3" s="132">
        <f>'Race 11'!$B$2</f>
        <v>43085</v>
      </c>
      <c r="T3" s="132">
        <f>'Race 12'!$B$2</f>
        <v>43086</v>
      </c>
      <c r="U3" s="132">
        <f>'Race 13'!$B$2</f>
        <v>43085</v>
      </c>
      <c r="V3" s="132">
        <f>'Race 14'!$B$2</f>
        <v>43088</v>
      </c>
      <c r="W3" s="132">
        <f>'Race 15'!$B$2</f>
        <v>43079</v>
      </c>
      <c r="X3" s="132">
        <f>'Race 16'!$B$2</f>
        <v>43097</v>
      </c>
      <c r="Y3" s="132">
        <f>'Race 17'!$B$2</f>
        <v>43098</v>
      </c>
      <c r="Z3" s="132">
        <f>'Race 18'!$B$2</f>
        <v>43105</v>
      </c>
      <c r="AA3" s="132">
        <f>'Race 19'!$B$2</f>
        <v>43106</v>
      </c>
      <c r="AB3" s="132">
        <f>'Race 20'!$B$2</f>
        <v>43107</v>
      </c>
      <c r="AC3" s="132">
        <f>'Race 21'!$B$2</f>
        <v>43107</v>
      </c>
      <c r="AD3" s="132">
        <f>'Race 22'!$B$2</f>
        <v>43107</v>
      </c>
      <c r="AE3" s="132">
        <f>'Race 23'!$B$2</f>
        <v>43110</v>
      </c>
      <c r="AF3" s="132">
        <f>'Race 24'!$B$2</f>
        <v>43113</v>
      </c>
      <c r="AG3" s="132">
        <f>'Race 25'!$B$2</f>
        <v>43113</v>
      </c>
      <c r="AH3" s="132">
        <f>'Race 26'!$B$2</f>
        <v>43119</v>
      </c>
      <c r="AI3" s="132">
        <f>'Race 27'!$B$2</f>
        <v>43120</v>
      </c>
      <c r="AJ3" s="132">
        <f>'Race 28'!$B$2</f>
        <v>43120</v>
      </c>
      <c r="AK3" s="132">
        <f>'Race 29'!$B$2</f>
        <v>43121</v>
      </c>
      <c r="AL3" s="132">
        <f>'Race 30'!$B$2</f>
        <v>43114</v>
      </c>
      <c r="AM3" s="132">
        <f>'Race 31'!$B$2</f>
        <v>43151</v>
      </c>
      <c r="AN3" s="132">
        <f>'Race 32'!$B$2</f>
        <v>43152</v>
      </c>
      <c r="AO3" s="132">
        <f>'Race 33'!$B$2</f>
        <v>43121</v>
      </c>
      <c r="AP3" s="132">
        <f>'Race 34'!$B$2</f>
        <v>43124</v>
      </c>
      <c r="AQ3" s="132">
        <f>'Race 35'!$B$2</f>
        <v>43126</v>
      </c>
      <c r="AR3" s="132">
        <f>'Race 36'!$B$2</f>
        <v>43127</v>
      </c>
      <c r="AS3" s="132">
        <f>'Race 37'!$B$2</f>
        <v>43104</v>
      </c>
      <c r="AT3" s="132">
        <f>'Race 38'!$B$2</f>
        <v>43118</v>
      </c>
      <c r="AU3" s="132">
        <f>'Race 39'!$B$2</f>
        <v>43125</v>
      </c>
      <c r="AV3" s="132">
        <f>'Race 40'!$B$2</f>
        <v>43128</v>
      </c>
      <c r="AW3" s="132">
        <f>'Race 41'!$B$2</f>
        <v>43126</v>
      </c>
      <c r="AX3" s="204">
        <f>'Race 42'!$B$2</f>
        <v>43127</v>
      </c>
      <c r="AY3" s="205">
        <f>'Race 43'!$B$2</f>
        <v>43134</v>
      </c>
      <c r="AZ3" s="132">
        <f>'Race 44'!$B$2</f>
        <v>43132</v>
      </c>
      <c r="BA3" s="132">
        <f>'Race 45'!$B$2</f>
        <v>43141</v>
      </c>
      <c r="BB3" s="132">
        <f>'Race 46'!$B$2</f>
        <v>43141</v>
      </c>
      <c r="BC3" s="132">
        <f>'Race 47'!$B$2</f>
        <v>43142</v>
      </c>
      <c r="BD3" s="132">
        <f>'Race 48'!$B$2</f>
        <v>43142</v>
      </c>
      <c r="BE3" s="132">
        <f>'Race 49'!$B$2</f>
        <v>43142</v>
      </c>
      <c r="BF3" s="132">
        <f>'Race 50'!$B$2</f>
        <v>43112</v>
      </c>
      <c r="BG3" s="132">
        <f>'Race 51'!$B$2</f>
        <v>43141</v>
      </c>
      <c r="BH3" s="132">
        <f>'Race 52'!$B$2</f>
        <v>43141</v>
      </c>
      <c r="BI3" s="132">
        <f>'Race 53'!$B$2</f>
        <v>43146</v>
      </c>
      <c r="BJ3" s="132">
        <f>'Race 54'!$B$2</f>
        <v>43148</v>
      </c>
      <c r="BK3" s="132">
        <f>'Race 55'!$B$2</f>
        <v>43148</v>
      </c>
      <c r="BL3" s="132">
        <f>'Race 56'!$B$2</f>
        <v>43148</v>
      </c>
      <c r="BM3" s="132">
        <f>'Race 57'!$B$2</f>
        <v>43149</v>
      </c>
      <c r="BN3" s="132">
        <f>'Race 58'!$B$2</f>
        <v>43149</v>
      </c>
      <c r="BO3" s="132">
        <f>'Race 59'!$B$2</f>
        <v>43149</v>
      </c>
      <c r="BP3" s="132">
        <f>'Race 60'!$B$2</f>
        <v>43139</v>
      </c>
      <c r="BQ3" s="132">
        <f>'Race 61'!$B$2</f>
        <v>43146</v>
      </c>
      <c r="BR3" s="132">
        <f>'Race 62'!$B$2</f>
        <v>43155</v>
      </c>
      <c r="BS3" s="132">
        <f>'Race 63'!$B$2</f>
        <v>43149</v>
      </c>
      <c r="BT3" s="132">
        <f>'Race 64'!$B$2</f>
        <v>43148</v>
      </c>
      <c r="BU3" s="132">
        <f>'Race 65'!$B$2</f>
        <v>43157</v>
      </c>
      <c r="BV3" s="132">
        <f>'Race 66'!$B$2</f>
        <v>43126</v>
      </c>
      <c r="BW3" s="132">
        <f>'Race 67'!$B$2</f>
        <v>43127</v>
      </c>
      <c r="BX3" s="132">
        <f>'Race 68'!$B$2</f>
        <v>43134</v>
      </c>
      <c r="BY3" s="132">
        <f>'Race 69'!$B$2</f>
        <v>43160</v>
      </c>
      <c r="BZ3" s="132">
        <f>'Race 70'!$B$2</f>
        <v>43161</v>
      </c>
      <c r="CA3" s="132">
        <f>'Race 71'!$B$2</f>
        <v>43155</v>
      </c>
      <c r="CB3" s="132">
        <f>'Race 72'!$B$2</f>
        <v>43162</v>
      </c>
      <c r="CC3" s="132">
        <f>'Race 73'!$B$2</f>
        <v>43163</v>
      </c>
      <c r="CD3" s="132">
        <f>'Race 74'!$B$2</f>
        <v>43164</v>
      </c>
      <c r="CE3" s="132">
        <f>'Race 75'!$B$2</f>
        <v>43161</v>
      </c>
      <c r="CF3" s="132">
        <f>'Race 76'!$B$2</f>
        <v>43160</v>
      </c>
      <c r="CG3" s="132">
        <f>'Race 77'!$B$2</f>
        <v>43167</v>
      </c>
      <c r="CH3" s="132">
        <f>'Race 78'!$B$2</f>
        <v>43170</v>
      </c>
      <c r="CI3" s="132">
        <f>'Race 79'!$B$2</f>
        <v>43174</v>
      </c>
      <c r="CJ3" s="132">
        <f>'Race 80'!$B$2</f>
        <v>43176</v>
      </c>
      <c r="CK3" s="132">
        <f>'Race 81'!$B$2</f>
        <v>43169</v>
      </c>
      <c r="CL3" s="132">
        <f>'Race 82'!$B$2</f>
        <v>43170</v>
      </c>
      <c r="CM3" s="132">
        <f>'Race 83'!$B$2</f>
        <v>43181</v>
      </c>
      <c r="CN3" s="132">
        <f>'Race 84'!$B$2</f>
        <v>43188</v>
      </c>
      <c r="CO3" s="132">
        <f>'Race 85'!$B$2</f>
        <v>43188</v>
      </c>
      <c r="CP3" s="132">
        <f>'Race 86'!$B$2</f>
        <v>43189</v>
      </c>
      <c r="CQ3" s="132">
        <f>'Race 87'!$B$2</f>
        <v>43189</v>
      </c>
      <c r="CR3" s="132">
        <f>'Race 88'!$B$2</f>
        <v>43141</v>
      </c>
      <c r="CS3" s="132">
        <f>'Race 89'!$B$2</f>
        <v>43142</v>
      </c>
      <c r="CT3" s="132">
        <f>'Race 90'!$B$2</f>
        <v>43169</v>
      </c>
      <c r="CU3" s="132">
        <f>'Race 91'!$B$2</f>
        <v>43170</v>
      </c>
      <c r="CV3" s="132">
        <f>'Race 92'!$B$2</f>
        <v>43190</v>
      </c>
      <c r="CW3" s="132">
        <f>'Race 93'!$B$2</f>
        <v>43190</v>
      </c>
      <c r="CX3" s="132">
        <f>'Race 94'!$B$2</f>
        <v>43148</v>
      </c>
      <c r="CY3" s="132">
        <f>'Race 95'!$B$2</f>
        <v>43149</v>
      </c>
      <c r="CZ3" s="132">
        <f>'Race 96'!$B$2</f>
        <v>43195</v>
      </c>
      <c r="DA3" s="132">
        <f>'Race 97'!$B$2</f>
        <v>42810</v>
      </c>
      <c r="DB3" s="132">
        <f>'Race 98'!$B$2</f>
        <v>42802</v>
      </c>
      <c r="DC3" s="132">
        <f>'Race 99'!$B$2</f>
        <v>42811</v>
      </c>
      <c r="DD3" s="132">
        <f>'Race 100'!$B$2</f>
        <v>42812</v>
      </c>
      <c r="DE3" s="132">
        <f>'Race 101'!$B$2</f>
        <v>42813</v>
      </c>
      <c r="DF3" s="132">
        <f>'Race 102'!$B$2</f>
        <v>42813</v>
      </c>
      <c r="DG3" s="132">
        <f>'Race 103'!$B$2</f>
        <v>42803</v>
      </c>
      <c r="DH3" s="132">
        <f>'Race 104'!$B$2</f>
        <v>0</v>
      </c>
      <c r="DI3" s="132">
        <f>'Race 105'!$B$2</f>
        <v>42805</v>
      </c>
      <c r="DJ3" s="132">
        <f>'Race 106'!$B$2</f>
        <v>42805</v>
      </c>
      <c r="DK3" s="132">
        <f>'Race 107'!$B$2</f>
        <v>42818</v>
      </c>
      <c r="DL3" s="132">
        <f>'Race 108'!$B$2</f>
        <v>42818</v>
      </c>
      <c r="DM3" s="132">
        <f>'Race 109'!$B$2</f>
        <v>42819</v>
      </c>
      <c r="DN3" s="132">
        <f>'Race 110'!$B$2</f>
        <v>42819</v>
      </c>
      <c r="DO3" s="132">
        <f>'Race 111'!$B$2</f>
        <v>42820</v>
      </c>
      <c r="DP3" s="132">
        <f>'Race 112'!$B$2</f>
        <v>42820</v>
      </c>
      <c r="DQ3" s="132">
        <f>'Race 113'!$B$2</f>
        <v>42820</v>
      </c>
      <c r="DR3" s="132">
        <f>'Race 114'!$B$2</f>
        <v>42805</v>
      </c>
      <c r="DS3" s="132">
        <f>'Race 115'!$B$2</f>
        <v>42806</v>
      </c>
      <c r="DT3" s="132">
        <f>'Race 116'!$B$2</f>
        <v>42791</v>
      </c>
      <c r="DU3" s="132">
        <f>'Race 117'!$B$2</f>
        <v>42792</v>
      </c>
      <c r="DV3" s="132">
        <f>'Race 118'!$B$2</f>
        <v>42777</v>
      </c>
      <c r="DW3" s="132">
        <f>'Race 119'!$B$2</f>
        <v>42778</v>
      </c>
      <c r="DX3" s="132">
        <f>'Race 120'!$B$2</f>
        <v>0</v>
      </c>
      <c r="DY3" s="132"/>
      <c r="DZ3" s="132" t="s">
        <v>53</v>
      </c>
      <c r="EA3" s="97" t="s">
        <v>212</v>
      </c>
      <c r="EB3" s="132"/>
      <c r="EC3" s="132" t="s">
        <v>211</v>
      </c>
      <c r="ED3" s="132" t="s">
        <v>82</v>
      </c>
      <c r="EE3" s="132" t="s">
        <v>20</v>
      </c>
      <c r="EF3" s="132" t="s">
        <v>20</v>
      </c>
      <c r="EG3" s="132" t="s">
        <v>20</v>
      </c>
      <c r="EH3" s="132" t="s">
        <v>60</v>
      </c>
      <c r="EI3" s="132" t="s">
        <v>4</v>
      </c>
      <c r="EJ3" s="132" t="s">
        <v>4</v>
      </c>
      <c r="EK3" s="132" t="s">
        <v>4</v>
      </c>
      <c r="EL3" s="132" t="s">
        <v>259</v>
      </c>
      <c r="EM3" s="132"/>
      <c r="EQ3"/>
    </row>
    <row r="4" spans="1:147" x14ac:dyDescent="0.25">
      <c r="A4" s="58">
        <v>1</v>
      </c>
      <c r="B4" s="32" t="s">
        <v>1142</v>
      </c>
      <c r="C4" s="5" t="s">
        <v>6</v>
      </c>
      <c r="D4" s="6" t="s">
        <v>67</v>
      </c>
      <c r="E4" s="6">
        <v>44.502163815680298</v>
      </c>
      <c r="F4" s="6">
        <v>47.342049369280687</v>
      </c>
      <c r="G4" s="5">
        <f t="shared" ref="G4:G47" si="0">COUNT(I4:DY4)</f>
        <v>5</v>
      </c>
      <c r="H4" s="8">
        <v>43.817120259708126</v>
      </c>
      <c r="I4" s="36">
        <f>(INDEX('Race 1'!$E$8:$E$200,(MATCH($B4,'Race 1'!$B$8:$B$200,0)),1))*100</f>
        <v>44.502163815680298</v>
      </c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225"/>
      <c r="Z4" s="226"/>
      <c r="AA4" s="7"/>
      <c r="AB4" s="7"/>
      <c r="AC4" s="7"/>
      <c r="AD4" s="224"/>
      <c r="AE4" s="224"/>
      <c r="AF4" s="7"/>
      <c r="AG4" s="7"/>
      <c r="AH4" s="7"/>
      <c r="AI4" s="7"/>
      <c r="AJ4" s="7"/>
      <c r="AK4" s="7"/>
      <c r="AL4" s="7"/>
      <c r="AM4" s="7"/>
      <c r="AN4" s="7"/>
      <c r="AO4" s="74"/>
      <c r="AP4" s="7"/>
      <c r="AQ4" s="74"/>
      <c r="AR4" s="70"/>
      <c r="AS4" s="70"/>
      <c r="AT4" s="70"/>
      <c r="AU4" s="7"/>
      <c r="AV4" s="70"/>
      <c r="AW4" s="7">
        <f>(INDEX('Race 41'!$E$8:$E$200,(MATCH($B4,'Race 41'!$B$8:$B$200,0)),1))*100</f>
        <v>45.251663885369183</v>
      </c>
      <c r="AX4" s="7">
        <f>(INDEX('Race 42'!$E$8:$E$200,(MATCH($B4,'Race 42'!$B$8:$B$200,0)),1))*100</f>
        <v>52.272320406792581</v>
      </c>
      <c r="AY4" s="36"/>
      <c r="AZ4" s="7"/>
      <c r="BA4" s="7"/>
      <c r="BB4" s="7"/>
      <c r="BC4" s="14"/>
      <c r="BD4" s="7"/>
      <c r="BE4" s="14"/>
      <c r="BF4" s="7"/>
      <c r="BG4" s="7"/>
      <c r="BH4" s="7"/>
      <c r="BI4" s="7"/>
      <c r="BJ4" s="7"/>
      <c r="BK4" s="7"/>
      <c r="BL4" s="7"/>
      <c r="BM4" s="7"/>
      <c r="BN4" s="74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4">
        <f>(INDEX('Race 75'!$E$8:$E$200,(MATCH($B4,'Race 75'!$B$8:$B$200,0)),1))*100</f>
        <v>52.719979041292987</v>
      </c>
      <c r="CF4" s="74">
        <f>(INDEX('Race 76'!$E$8:$E$200,(MATCH($B4,'Race 76'!$B$8:$B$200,0)),1))*100</f>
        <v>52.72888669469851</v>
      </c>
      <c r="CG4" s="7"/>
      <c r="CH4" s="7"/>
      <c r="CI4" s="7"/>
      <c r="CJ4" s="7"/>
      <c r="CK4" s="74"/>
      <c r="CL4" s="74"/>
      <c r="CM4" s="74"/>
      <c r="CN4" s="101"/>
      <c r="CO4" s="70"/>
      <c r="CP4" s="74"/>
      <c r="CQ4" s="7"/>
      <c r="CR4" s="74"/>
      <c r="CS4" s="74"/>
      <c r="CT4" s="74"/>
      <c r="CU4" s="74"/>
      <c r="CV4" s="7"/>
      <c r="CW4" s="7"/>
      <c r="CX4" s="7"/>
      <c r="CY4" s="7"/>
      <c r="CZ4" s="7"/>
      <c r="DA4" s="7"/>
      <c r="DB4" s="7"/>
      <c r="DC4" s="7"/>
      <c r="DD4" s="7"/>
      <c r="DE4" s="74"/>
      <c r="DF4" s="7"/>
      <c r="DG4" s="7"/>
      <c r="DH4" s="7"/>
      <c r="DI4" s="7"/>
      <c r="DJ4" s="7"/>
      <c r="DK4" s="7"/>
      <c r="DL4" s="74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15">
        <f t="shared" ref="DZ4:DZ47" si="1">IF(EB4&gt;0,AVERAGE(I4:DY4),H4)</f>
        <v>49.49500276876671</v>
      </c>
      <c r="EA4" s="3" t="str">
        <f t="shared" ref="EA4:EA47" si="2">B4</f>
        <v>Ahlborn, Evan</v>
      </c>
      <c r="EB4" s="2">
        <f t="shared" ref="EB4:EB47" si="3">IF(G4&gt;0,1,0)</f>
        <v>1</v>
      </c>
      <c r="EC4" s="112">
        <f>H4</f>
        <v>43.817120259708126</v>
      </c>
      <c r="ED4" s="29">
        <f t="shared" ref="ED4:ED47" si="4">EL4</f>
        <v>48.696382102289157</v>
      </c>
      <c r="EE4" s="2">
        <f t="shared" ref="EE4:EE47" si="5">COUNT(I4:AH4)</f>
        <v>1</v>
      </c>
      <c r="EF4" s="46">
        <f t="shared" ref="EF4:EF47" si="6">COUNT(I4:BQ4)</f>
        <v>3</v>
      </c>
      <c r="EG4" s="46">
        <f t="shared" ref="EG4:EG47" si="7">COUNT(I4:DY4)</f>
        <v>5</v>
      </c>
      <c r="EH4" s="29" t="str">
        <f t="shared" ref="EH4:EH47" si="8">D4</f>
        <v>UT</v>
      </c>
      <c r="EI4" s="29">
        <f>IF(COUNT(I4:Y4)&lt;5,DZ4,SUMPRODUCT(LARGE(I4:Y4,{1,2,3,4,5}))/5)</f>
        <v>49.49500276876671</v>
      </c>
      <c r="EJ4" s="29">
        <f>IF(COUNT(I4:AX4)&lt;5,DZ4,SUMPRODUCT(LARGE(I4:AX4,{1,2,3,4,5}))/5)</f>
        <v>49.49500276876671</v>
      </c>
      <c r="EK4" s="29">
        <f>IF(COUNT(I4:DY4)&lt;5,AVERAGE(I4:DY4),SUMPRODUCT(LARGE(I4:DY4,{1,2,3,4,5}))/5)</f>
        <v>49.495002768766703</v>
      </c>
      <c r="EL4" s="29">
        <f>(EK4*100)/101.64</f>
        <v>48.696382102289157</v>
      </c>
      <c r="EM4" s="116" t="str">
        <f t="shared" ref="EM4:EM47" si="9">B4</f>
        <v>Ahlborn, Evan</v>
      </c>
      <c r="EQ4"/>
    </row>
    <row r="5" spans="1:147" x14ac:dyDescent="0.25">
      <c r="A5" s="59">
        <f>A4+1</f>
        <v>2</v>
      </c>
      <c r="B5" s="32" t="s">
        <v>896</v>
      </c>
      <c r="C5" s="5" t="s">
        <v>6</v>
      </c>
      <c r="D5" s="6" t="s">
        <v>69</v>
      </c>
      <c r="E5" s="6">
        <v>32.042348423221817</v>
      </c>
      <c r="F5" s="6">
        <v>32.042348423221817</v>
      </c>
      <c r="G5" s="5">
        <f t="shared" si="0"/>
        <v>0</v>
      </c>
      <c r="H5" s="8">
        <v>32.042348423221817</v>
      </c>
      <c r="I5" s="36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227"/>
      <c r="Z5" s="228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4"/>
      <c r="AP5" s="7"/>
      <c r="AQ5" s="74"/>
      <c r="AR5" s="70"/>
      <c r="AS5" s="70"/>
      <c r="AT5" s="70"/>
      <c r="AU5" s="7"/>
      <c r="AV5" s="70"/>
      <c r="AW5" s="7"/>
      <c r="AX5" s="183"/>
      <c r="AY5" s="107"/>
      <c r="AZ5" s="70"/>
      <c r="BA5" s="7"/>
      <c r="BB5" s="7"/>
      <c r="BC5" s="70"/>
      <c r="BD5" s="7"/>
      <c r="BE5" s="7"/>
      <c r="BF5" s="7"/>
      <c r="BG5" s="7"/>
      <c r="BH5" s="7"/>
      <c r="BI5" s="7"/>
      <c r="BJ5" s="70"/>
      <c r="BK5" s="7"/>
      <c r="BL5" s="70"/>
      <c r="BM5" s="7"/>
      <c r="BN5" s="74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4"/>
      <c r="CF5" s="74"/>
      <c r="CG5" s="7"/>
      <c r="CH5" s="7"/>
      <c r="CI5" s="7"/>
      <c r="CJ5" s="7"/>
      <c r="CK5" s="74"/>
      <c r="CL5" s="74"/>
      <c r="CM5" s="74"/>
      <c r="CN5" s="70"/>
      <c r="CO5" s="7"/>
      <c r="CP5" s="74"/>
      <c r="CQ5" s="7"/>
      <c r="CR5" s="74"/>
      <c r="CS5" s="74"/>
      <c r="CT5" s="74"/>
      <c r="CU5" s="74"/>
      <c r="CV5" s="7"/>
      <c r="CW5" s="7"/>
      <c r="CX5" s="7"/>
      <c r="CY5" s="7"/>
      <c r="CZ5" s="7"/>
      <c r="DA5" s="7"/>
      <c r="DB5" s="7"/>
      <c r="DC5" s="7"/>
      <c r="DD5" s="7"/>
      <c r="DE5" s="74"/>
      <c r="DF5" s="7"/>
      <c r="DG5" s="7"/>
      <c r="DH5" s="7"/>
      <c r="DI5" s="7"/>
      <c r="DJ5" s="7"/>
      <c r="DK5" s="7"/>
      <c r="DL5" s="74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8">
        <f t="shared" si="1"/>
        <v>32.042348423221817</v>
      </c>
      <c r="EA5" s="3" t="str">
        <f t="shared" si="2"/>
        <v>Alarcon, Carlos</v>
      </c>
      <c r="EB5" s="2">
        <f t="shared" si="3"/>
        <v>0</v>
      </c>
      <c r="EC5" s="112">
        <f>H5</f>
        <v>32.042348423221817</v>
      </c>
      <c r="ED5" s="29">
        <f t="shared" si="4"/>
        <v>0</v>
      </c>
      <c r="EE5" s="2">
        <f t="shared" si="5"/>
        <v>0</v>
      </c>
      <c r="EF5" s="46">
        <f t="shared" si="6"/>
        <v>0</v>
      </c>
      <c r="EG5" s="46">
        <f t="shared" si="7"/>
        <v>0</v>
      </c>
      <c r="EH5" s="2" t="str">
        <f t="shared" si="8"/>
        <v>WA</v>
      </c>
      <c r="EI5" s="29">
        <f>IF(COUNT(I5:Y5)&lt;5,DZ5,SUMPRODUCT(LARGE(I5:Y5,{1,2,3,4,5}))/5)</f>
        <v>32.042348423221817</v>
      </c>
      <c r="EJ5" s="29">
        <f>IF(COUNT(I5:AX5)&lt;5,DZ5,SUMPRODUCT(LARGE(I5:AX5,{1,2,3,4,5}))/5)</f>
        <v>32.042348423221817</v>
      </c>
      <c r="EK5" s="112">
        <f>IF(EG5&lt;0,AVERAGE(I5:DY5),0)</f>
        <v>0</v>
      </c>
      <c r="EL5" s="29">
        <f t="shared" ref="EL5:EL47" si="10">(EK5*100)/101.64</f>
        <v>0</v>
      </c>
      <c r="EM5" s="116" t="str">
        <f t="shared" si="9"/>
        <v>Alarcon, Carlos</v>
      </c>
      <c r="EQ5"/>
    </row>
    <row r="6" spans="1:147" x14ac:dyDescent="0.25">
      <c r="A6" s="59">
        <f t="shared" ref="A6:A69" si="11">A5+1</f>
        <v>3</v>
      </c>
      <c r="B6" s="32" t="s">
        <v>1287</v>
      </c>
      <c r="C6" s="5" t="s">
        <v>6</v>
      </c>
      <c r="D6" s="6" t="s">
        <v>159</v>
      </c>
      <c r="E6" s="6">
        <v>0</v>
      </c>
      <c r="F6" s="6">
        <v>0</v>
      </c>
      <c r="G6" s="5">
        <f t="shared" si="0"/>
        <v>0</v>
      </c>
      <c r="H6" s="60">
        <v>0</v>
      </c>
      <c r="I6" s="36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227"/>
      <c r="Z6" s="228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4"/>
      <c r="AP6" s="7"/>
      <c r="AQ6" s="74"/>
      <c r="AR6" s="70"/>
      <c r="AS6" s="7"/>
      <c r="AT6" s="7"/>
      <c r="AU6" s="7"/>
      <c r="AV6" s="7"/>
      <c r="AW6" s="7"/>
      <c r="AX6" s="8"/>
      <c r="AY6" s="36"/>
      <c r="AZ6" s="7"/>
      <c r="BA6" s="7"/>
      <c r="BB6" s="7"/>
      <c r="BC6" s="14"/>
      <c r="BD6" s="7"/>
      <c r="BE6" s="7"/>
      <c r="BF6" s="7"/>
      <c r="BG6" s="7"/>
      <c r="BH6" s="7"/>
      <c r="BI6" s="7"/>
      <c r="BJ6" s="7"/>
      <c r="BK6" s="7"/>
      <c r="BL6" s="7"/>
      <c r="BM6" s="7"/>
      <c r="BN6" s="74"/>
      <c r="BO6" s="7"/>
      <c r="BP6" s="7"/>
      <c r="BQ6" s="7"/>
      <c r="BR6" s="70"/>
      <c r="BS6" s="7"/>
      <c r="BT6" s="7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101"/>
      <c r="CF6" s="101"/>
      <c r="CG6" s="7"/>
      <c r="CH6" s="7"/>
      <c r="CI6" s="7"/>
      <c r="CJ6" s="7"/>
      <c r="CK6" s="101"/>
      <c r="CL6" s="74"/>
      <c r="CM6" s="74"/>
      <c r="CN6" s="74"/>
      <c r="CO6" s="7"/>
      <c r="CP6" s="74"/>
      <c r="CQ6" s="7"/>
      <c r="CR6" s="74"/>
      <c r="CS6" s="74"/>
      <c r="CT6" s="74"/>
      <c r="CU6" s="74"/>
      <c r="CV6" s="7"/>
      <c r="CW6" s="7"/>
      <c r="CX6" s="7"/>
      <c r="CY6" s="7"/>
      <c r="CZ6" s="7"/>
      <c r="DA6" s="7"/>
      <c r="DB6" s="7"/>
      <c r="DC6" s="7"/>
      <c r="DD6" s="7"/>
      <c r="DE6" s="74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8">
        <f t="shared" si="1"/>
        <v>0</v>
      </c>
      <c r="EA6" s="3" t="str">
        <f t="shared" si="2"/>
        <v>AMARAL, Joseph</v>
      </c>
      <c r="EB6" s="2">
        <f t="shared" si="3"/>
        <v>0</v>
      </c>
      <c r="EC6" s="29">
        <v>0</v>
      </c>
      <c r="ED6" s="29">
        <f t="shared" si="4"/>
        <v>0</v>
      </c>
      <c r="EE6" s="2">
        <f t="shared" si="5"/>
        <v>0</v>
      </c>
      <c r="EF6" s="46">
        <f t="shared" si="6"/>
        <v>0</v>
      </c>
      <c r="EG6" s="46">
        <f t="shared" si="7"/>
        <v>0</v>
      </c>
      <c r="EH6" s="29" t="str">
        <f t="shared" si="8"/>
        <v>RI</v>
      </c>
      <c r="EI6" s="29">
        <f>IF(COUNT(I6:AD6)&lt;5,DZ6,SUMPRODUCT(LARGE(I6:AD6,{1,2,3,4,5}))/5)</f>
        <v>0</v>
      </c>
      <c r="EJ6" s="29">
        <f>IF(COUNT(I6:BE6)&lt;5,DZ6,SUMPRODUCT(LARGE(I6:BE6,{1,2,3,4,5}))/5)</f>
        <v>0</v>
      </c>
      <c r="EK6" s="112">
        <f>IF(EG6&lt;0,AVERAGE(I6:DY6),0)</f>
        <v>0</v>
      </c>
      <c r="EL6" s="29">
        <f t="shared" si="10"/>
        <v>0</v>
      </c>
      <c r="EM6" s="116" t="str">
        <f t="shared" si="9"/>
        <v>AMARAL, Joseph</v>
      </c>
      <c r="EQ6"/>
    </row>
    <row r="7" spans="1:147" x14ac:dyDescent="0.25">
      <c r="A7" s="59">
        <f t="shared" si="11"/>
        <v>4</v>
      </c>
      <c r="B7" s="4" t="s">
        <v>68</v>
      </c>
      <c r="C7" s="5" t="s">
        <v>6</v>
      </c>
      <c r="D7" s="5" t="s">
        <v>69</v>
      </c>
      <c r="E7" s="6">
        <v>67.18098222519626</v>
      </c>
      <c r="F7" s="6">
        <v>68.104283723343599</v>
      </c>
      <c r="G7" s="5">
        <f t="shared" si="0"/>
        <v>5</v>
      </c>
      <c r="H7" s="60">
        <v>67.18098222519626</v>
      </c>
      <c r="I7" s="107"/>
      <c r="J7" s="74"/>
      <c r="K7" s="74"/>
      <c r="L7" s="7"/>
      <c r="M7" s="74"/>
      <c r="N7" s="74"/>
      <c r="O7" s="7"/>
      <c r="P7" s="74"/>
      <c r="Q7" s="74"/>
      <c r="R7" s="74"/>
      <c r="S7" s="74"/>
      <c r="T7" s="7"/>
      <c r="U7" s="7"/>
      <c r="V7" s="74"/>
      <c r="W7" s="74"/>
      <c r="X7" s="74"/>
      <c r="Y7" s="229"/>
      <c r="Z7" s="230"/>
      <c r="AA7" s="74"/>
      <c r="AB7" s="74"/>
      <c r="AC7" s="74"/>
      <c r="AD7" s="74"/>
      <c r="AE7" s="7"/>
      <c r="AF7" s="74"/>
      <c r="AG7" s="7"/>
      <c r="AH7" s="7"/>
      <c r="AI7" s="7"/>
      <c r="AJ7" s="7"/>
      <c r="AK7" s="7"/>
      <c r="AL7" s="7"/>
      <c r="AM7" s="74">
        <f>(INDEX('Race 31'!$E$8:$E$200,(MATCH($B7,'Race 31'!$B$8:$B$200,0)),1))*100</f>
        <v>64.036000343632324</v>
      </c>
      <c r="AN7" s="74">
        <f>(INDEX('Race 32'!$E$8:$E$200,(MATCH($B7,'Race 32'!$B$8:$B$200,0)),1))*100</f>
        <v>72.172567103054888</v>
      </c>
      <c r="AO7" s="74"/>
      <c r="AP7" s="7"/>
      <c r="AQ7" s="74"/>
      <c r="AR7" s="74"/>
      <c r="AS7" s="74"/>
      <c r="AT7" s="74"/>
      <c r="AU7" s="7"/>
      <c r="AV7" s="74"/>
      <c r="AW7" s="7"/>
      <c r="AX7" s="8"/>
      <c r="AY7" s="36"/>
      <c r="AZ7" s="74"/>
      <c r="BA7" s="74"/>
      <c r="BB7" s="74"/>
      <c r="BC7" s="103"/>
      <c r="BD7" s="7"/>
      <c r="BE7" s="7"/>
      <c r="BF7" s="74"/>
      <c r="BG7" s="74"/>
      <c r="BH7" s="74"/>
      <c r="BI7" s="74"/>
      <c r="BJ7" s="74"/>
      <c r="BK7" s="7"/>
      <c r="BL7" s="7"/>
      <c r="BM7" s="7"/>
      <c r="BN7" s="74"/>
      <c r="BO7" s="74"/>
      <c r="BP7" s="7"/>
      <c r="BQ7" s="7"/>
      <c r="BR7" s="74"/>
      <c r="BS7" s="7"/>
      <c r="BT7" s="7"/>
      <c r="BU7" s="74"/>
      <c r="BV7" s="74"/>
      <c r="BW7" s="74"/>
      <c r="BX7" s="74"/>
      <c r="BY7" s="74"/>
      <c r="BZ7" s="7"/>
      <c r="CA7" s="7">
        <f>(INDEX('Race 71'!$E$8:$E$200,(MATCH($B7,'Race 71'!$B$8:$B$200,0)),1))*100</f>
        <v>61.619500480120529</v>
      </c>
      <c r="CB7" s="7"/>
      <c r="CC7" s="7"/>
      <c r="CD7" s="7"/>
      <c r="CE7" s="7"/>
      <c r="CF7" s="74"/>
      <c r="CG7" s="74"/>
      <c r="CH7" s="7"/>
      <c r="CI7" s="7"/>
      <c r="CJ7" s="7"/>
      <c r="CK7" s="70">
        <f>(INDEX('Race 81'!$E$8:$E$200,(MATCH($B7,'Race 81'!$B$8:$B$200,0)),1))*100</f>
        <v>56.801624899169681</v>
      </c>
      <c r="CL7" s="74">
        <f>(INDEX('Race 82'!$E$8:$E$200,(MATCH($B7,'Race 82'!$B$8:$B$200,0)),1))*100</f>
        <v>65.444263456239952</v>
      </c>
      <c r="CM7" s="74"/>
      <c r="CN7" s="74"/>
      <c r="CO7" s="101"/>
      <c r="CP7" s="70"/>
      <c r="CQ7" s="70"/>
      <c r="CR7" s="101"/>
      <c r="CS7" s="101"/>
      <c r="CT7" s="101"/>
      <c r="CU7" s="101"/>
      <c r="CV7" s="74"/>
      <c r="CW7" s="74"/>
      <c r="CX7" s="74"/>
      <c r="CY7" s="7"/>
      <c r="CZ7" s="7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"/>
      <c r="DS7" s="7"/>
      <c r="DT7" s="7"/>
      <c r="DU7" s="7"/>
      <c r="DV7" s="7"/>
      <c r="DW7" s="7"/>
      <c r="DX7" s="74"/>
      <c r="DY7" s="74"/>
      <c r="DZ7" s="8">
        <f t="shared" si="1"/>
        <v>64.014791256443488</v>
      </c>
      <c r="EA7" s="3" t="str">
        <f t="shared" si="2"/>
        <v>Anana, Dave</v>
      </c>
      <c r="EB7" s="2">
        <f t="shared" si="3"/>
        <v>1</v>
      </c>
      <c r="EC7" s="112">
        <f>H7</f>
        <v>67.18098222519626</v>
      </c>
      <c r="ED7" s="29">
        <f t="shared" si="4"/>
        <v>62.981888288511882</v>
      </c>
      <c r="EE7" s="2">
        <f t="shared" si="5"/>
        <v>0</v>
      </c>
      <c r="EF7" s="46">
        <f t="shared" si="6"/>
        <v>2</v>
      </c>
      <c r="EG7" s="46">
        <f t="shared" si="7"/>
        <v>5</v>
      </c>
      <c r="EH7" s="29" t="str">
        <f t="shared" si="8"/>
        <v>WA</v>
      </c>
      <c r="EI7" s="29">
        <f>IF(COUNT(I7:Y7)&lt;5,DZ7,SUMPRODUCT(LARGE(I7:Y7,{1,2,3,4,5}))/5)</f>
        <v>64.014791256443488</v>
      </c>
      <c r="EJ7" s="29">
        <f>IF(COUNT(I7:AX7)&lt;5,DZ7,SUMPRODUCT(LARGE(I7:AX7,{1,2,3,4,5}))/5)</f>
        <v>64.014791256443488</v>
      </c>
      <c r="EK7" s="29">
        <f>IF(COUNT(I7:DY7)&lt;5,AVERAGE(I7:DY7),SUMPRODUCT(LARGE(I7:DY7,{1,2,3,4,5}))/5)</f>
        <v>64.014791256443473</v>
      </c>
      <c r="EL7" s="29">
        <f t="shared" si="10"/>
        <v>62.981888288511882</v>
      </c>
      <c r="EM7" s="116" t="str">
        <f t="shared" si="9"/>
        <v>Anana, Dave</v>
      </c>
      <c r="EQ7"/>
    </row>
    <row r="8" spans="1:147" x14ac:dyDescent="0.25">
      <c r="A8" s="59">
        <f t="shared" si="11"/>
        <v>5</v>
      </c>
      <c r="B8" s="32" t="s">
        <v>1200</v>
      </c>
      <c r="C8" s="5" t="s">
        <v>6</v>
      </c>
      <c r="D8" s="6" t="s">
        <v>62</v>
      </c>
      <c r="E8" s="6">
        <v>0</v>
      </c>
      <c r="F8" s="6">
        <v>0</v>
      </c>
      <c r="G8" s="5">
        <f t="shared" si="0"/>
        <v>2</v>
      </c>
      <c r="H8" s="8">
        <v>0</v>
      </c>
      <c r="I8" s="36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227"/>
      <c r="Z8" s="228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4"/>
      <c r="AP8" s="7"/>
      <c r="AQ8" s="74"/>
      <c r="AR8" s="70"/>
      <c r="AS8" s="7"/>
      <c r="AT8" s="70"/>
      <c r="AU8" s="7"/>
      <c r="AV8" s="70"/>
      <c r="AW8" s="7"/>
      <c r="AX8" s="8"/>
      <c r="AY8" s="36"/>
      <c r="AZ8" s="7"/>
      <c r="BA8" s="74"/>
      <c r="BB8" s="74"/>
      <c r="BC8" s="14"/>
      <c r="BD8" s="7"/>
      <c r="BE8" s="7"/>
      <c r="BF8" s="7"/>
      <c r="BG8" s="7"/>
      <c r="BH8" s="7"/>
      <c r="BI8" s="7"/>
      <c r="BJ8" s="74"/>
      <c r="BK8" s="7"/>
      <c r="BL8" s="74"/>
      <c r="BM8" s="7"/>
      <c r="BN8" s="7"/>
      <c r="BO8" s="7"/>
      <c r="BP8" s="7"/>
      <c r="BQ8" s="7"/>
      <c r="BR8" s="7"/>
      <c r="BS8" s="7">
        <f>(INDEX('Race 63'!$E$8:$E$200,(MATCH($B8,'Race 63'!$B$8:$B$200,0)),1))*100</f>
        <v>62.576227449316882</v>
      </c>
      <c r="BT8" s="7">
        <f>(INDEX('Race 64'!$E$8:$E$200,(MATCH($B8,'Race 64'!$B$8:$B$200,0)),1))*100</f>
        <v>63.973035569142091</v>
      </c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4"/>
      <c r="CL8" s="74"/>
      <c r="CM8" s="74"/>
      <c r="CN8" s="74"/>
      <c r="CO8" s="70"/>
      <c r="CP8" s="74"/>
      <c r="CQ8" s="7"/>
      <c r="CR8" s="74"/>
      <c r="CS8" s="74"/>
      <c r="CT8" s="74"/>
      <c r="CU8" s="74"/>
      <c r="CV8" s="74"/>
      <c r="CW8" s="7"/>
      <c r="CX8" s="7"/>
      <c r="CY8" s="7"/>
      <c r="CZ8" s="74"/>
      <c r="DA8" s="7"/>
      <c r="DB8" s="7"/>
      <c r="DC8" s="7"/>
      <c r="DD8" s="7"/>
      <c r="DE8" s="74"/>
      <c r="DF8" s="74"/>
      <c r="DG8" s="74"/>
      <c r="DH8" s="74"/>
      <c r="DI8" s="74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8">
        <f t="shared" si="1"/>
        <v>63.274631509229486</v>
      </c>
      <c r="EA8" s="3" t="str">
        <f t="shared" si="2"/>
        <v>Anderson, Jeff</v>
      </c>
      <c r="EB8" s="2">
        <f t="shared" si="3"/>
        <v>1</v>
      </c>
      <c r="EC8" s="112">
        <f>H8</f>
        <v>0</v>
      </c>
      <c r="ED8" s="29">
        <f t="shared" si="4"/>
        <v>62.253671299910941</v>
      </c>
      <c r="EE8" s="2">
        <f t="shared" si="5"/>
        <v>0</v>
      </c>
      <c r="EF8" s="46">
        <f t="shared" si="6"/>
        <v>0</v>
      </c>
      <c r="EG8" s="46">
        <f t="shared" si="7"/>
        <v>2</v>
      </c>
      <c r="EH8" s="2" t="str">
        <f t="shared" si="8"/>
        <v>CO</v>
      </c>
      <c r="EI8" s="29">
        <f>IF(COUNT(I8:AD8)&lt;5,DZ8,SUMPRODUCT(LARGE(I8:AD8,{1,2,3,4,5}))/5)</f>
        <v>63.274631509229486</v>
      </c>
      <c r="EJ8" s="29">
        <f>IF(COUNT(I8:BE8)&lt;5,DZ8,SUMPRODUCT(LARGE(I8:BE8,{1,2,3,4,5}))/5)</f>
        <v>63.274631509229486</v>
      </c>
      <c r="EK8" s="112">
        <f>IF(COUNT(I8:DY8)&lt;5,AVERAGE(I8:DY8),SUMPRODUCT(LARGE(I8:DY8,{1,2,3,4,5}))/5)</f>
        <v>63.274631509229486</v>
      </c>
      <c r="EL8" s="29">
        <f t="shared" si="10"/>
        <v>62.253671299910941</v>
      </c>
      <c r="EM8" s="116" t="str">
        <f t="shared" si="9"/>
        <v>Anderson, Jeff</v>
      </c>
      <c r="EQ8"/>
    </row>
    <row r="9" spans="1:147" x14ac:dyDescent="0.25">
      <c r="A9" s="59">
        <f t="shared" si="11"/>
        <v>6</v>
      </c>
      <c r="B9" s="32" t="s">
        <v>752</v>
      </c>
      <c r="C9" s="5" t="s">
        <v>6</v>
      </c>
      <c r="D9" s="6" t="s">
        <v>88</v>
      </c>
      <c r="E9" s="6">
        <v>0</v>
      </c>
      <c r="F9" s="6">
        <v>47.579363425109044</v>
      </c>
      <c r="G9" s="5">
        <f t="shared" si="0"/>
        <v>6</v>
      </c>
      <c r="H9" s="8">
        <v>0</v>
      </c>
      <c r="I9" s="36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227"/>
      <c r="Z9" s="7"/>
      <c r="AA9" s="7"/>
      <c r="AB9" s="7"/>
      <c r="AC9" s="74">
        <f>(INDEX('Race 21'!$E$8:$E$200,(MATCH($B9,'Race 21'!$B$8:$B$200,0)),1))*100</f>
        <v>47.835237034023926</v>
      </c>
      <c r="AD9" s="74"/>
      <c r="AE9" s="74"/>
      <c r="AF9" s="7"/>
      <c r="AG9" s="7"/>
      <c r="AH9" s="7"/>
      <c r="AI9" s="7"/>
      <c r="AJ9" s="7"/>
      <c r="AK9" s="7"/>
      <c r="AL9" s="7"/>
      <c r="AM9" s="7"/>
      <c r="AN9" s="7"/>
      <c r="AO9" s="74">
        <f>(INDEX('Race 33'!$E$8:$E$200,(MATCH($B9,'Race 33'!$B$8:$B$200,0)),1))*100</f>
        <v>47.323489816194162</v>
      </c>
      <c r="AP9" s="74"/>
      <c r="AQ9" s="74"/>
      <c r="AR9" s="101"/>
      <c r="AS9" s="74"/>
      <c r="AT9" s="101"/>
      <c r="AU9" s="7"/>
      <c r="AV9" s="101"/>
      <c r="AW9" s="7"/>
      <c r="AX9" s="8"/>
      <c r="AY9" s="36"/>
      <c r="AZ9" s="70"/>
      <c r="BA9" s="7"/>
      <c r="BB9" s="7"/>
      <c r="BC9" s="70"/>
      <c r="BD9" s="7"/>
      <c r="BE9" s="7"/>
      <c r="BF9" s="7"/>
      <c r="BG9" s="7">
        <f>(INDEX('Race 51'!$E$8:$E$200,(MATCH($B9,'Race 51'!$B$8:$B$200,0)),1))*100</f>
        <v>49.184993559694902</v>
      </c>
      <c r="BH9" s="7">
        <f>(INDEX('Race 52'!$E$8:$E$200,(MATCH($B9,'Race 52'!$B$8:$B$200,0)),1))*100</f>
        <v>48.240589124338804</v>
      </c>
      <c r="BI9" s="7"/>
      <c r="BJ9" s="7"/>
      <c r="BK9" s="7"/>
      <c r="BL9" s="7"/>
      <c r="BM9" s="7"/>
      <c r="BN9" s="74"/>
      <c r="BO9" s="7">
        <f>(INDEX('Race 59'!$E$8:$E$200,(MATCH($B9,'Race 59'!$B$8:$B$200,0)),1))*100</f>
        <v>49.726365012695908</v>
      </c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>
        <f>(INDEX('Race 74'!$E$8:$E$200,(MATCH($B9,'Race 74'!$B$8:$B$200,0)),1))*100</f>
        <v>51.690015129390432</v>
      </c>
      <c r="CE9" s="7"/>
      <c r="CF9" s="7"/>
      <c r="CG9" s="7"/>
      <c r="CH9" s="7"/>
      <c r="CI9" s="7"/>
      <c r="CJ9" s="7"/>
      <c r="CK9" s="101"/>
      <c r="CL9" s="74"/>
      <c r="CM9" s="74"/>
      <c r="CN9" s="74"/>
      <c r="CO9" s="7"/>
      <c r="CP9" s="74"/>
      <c r="CQ9" s="7"/>
      <c r="CR9" s="74"/>
      <c r="CS9" s="74"/>
      <c r="CT9" s="74"/>
      <c r="CU9" s="74"/>
      <c r="CV9" s="7"/>
      <c r="CW9" s="7"/>
      <c r="CX9" s="7"/>
      <c r="CY9" s="7"/>
      <c r="CZ9" s="7"/>
      <c r="DA9" s="7"/>
      <c r="DB9" s="7"/>
      <c r="DC9" s="7"/>
      <c r="DD9" s="7"/>
      <c r="DE9" s="74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8">
        <f t="shared" si="1"/>
        <v>49.000114946056357</v>
      </c>
      <c r="EA9" s="3" t="str">
        <f t="shared" si="2"/>
        <v>Anderson, Pete</v>
      </c>
      <c r="EB9" s="2">
        <f t="shared" si="3"/>
        <v>1</v>
      </c>
      <c r="EC9" s="112">
        <f>H9</f>
        <v>0</v>
      </c>
      <c r="ED9" s="29">
        <f t="shared" si="4"/>
        <v>48.539393911874065</v>
      </c>
      <c r="EE9" s="2">
        <f t="shared" si="5"/>
        <v>1</v>
      </c>
      <c r="EF9" s="46">
        <f t="shared" si="6"/>
        <v>5</v>
      </c>
      <c r="EG9" s="46">
        <f t="shared" si="7"/>
        <v>6</v>
      </c>
      <c r="EH9" s="29" t="str">
        <f t="shared" si="8"/>
        <v>WI</v>
      </c>
      <c r="EI9" s="29">
        <f>IF(COUNT(I9:AD9)&lt;5,DZ9,SUMPRODUCT(LARGE(I9:AD9,{1,2,3,4,5}))/5)</f>
        <v>49.000114946056357</v>
      </c>
      <c r="EJ9" s="29">
        <f>IF(COUNT(I9:AX9)&lt;5,DZ9,SUMPRODUCT(LARGE(I9:AX9,{1,2,3,4,5}))/5)</f>
        <v>49.000114946056357</v>
      </c>
      <c r="EK9" s="112">
        <f>IF(COUNT(I9:DY9)&lt;5,AVERAGE(I9:DY9),SUMPRODUCT(LARGE(I9:DY9,{1,2,3,4,5}))/5)</f>
        <v>49.335439972028794</v>
      </c>
      <c r="EL9" s="29">
        <f t="shared" si="10"/>
        <v>48.539393911874065</v>
      </c>
      <c r="EM9" s="116" t="str">
        <f t="shared" si="9"/>
        <v>Anderson, Pete</v>
      </c>
      <c r="EQ9"/>
    </row>
    <row r="10" spans="1:147" x14ac:dyDescent="0.25">
      <c r="A10" s="59">
        <f t="shared" si="11"/>
        <v>7</v>
      </c>
      <c r="B10" s="32" t="s">
        <v>1145</v>
      </c>
      <c r="C10" s="5" t="s">
        <v>6</v>
      </c>
      <c r="D10" s="6" t="s">
        <v>61</v>
      </c>
      <c r="E10" s="6">
        <v>35.829740635167489</v>
      </c>
      <c r="F10" s="6">
        <v>54.024085280017729</v>
      </c>
      <c r="G10" s="5">
        <f t="shared" si="0"/>
        <v>2</v>
      </c>
      <c r="H10" s="8">
        <v>35.829740635167489</v>
      </c>
      <c r="I10" s="36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227"/>
      <c r="Z10" s="228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4"/>
      <c r="AP10" s="7"/>
      <c r="AQ10" s="74"/>
      <c r="AR10" s="70"/>
      <c r="AS10" s="7"/>
      <c r="AT10" s="70"/>
      <c r="AU10" s="7"/>
      <c r="AV10" s="70"/>
      <c r="AW10" s="7">
        <f>(INDEX('Race 41'!$E$8:$E$200,(MATCH($B10,'Race 41'!$B$8:$B$200,0)),1))*100</f>
        <v>49.603091937748829</v>
      </c>
      <c r="AX10" s="8">
        <f>(INDEX('Race 42'!$E$8:$E$200,(MATCH($B10,'Race 42'!$B$8:$B$200,0)),1))*100</f>
        <v>58.445078622286637</v>
      </c>
      <c r="AY10" s="36"/>
      <c r="AZ10" s="7"/>
      <c r="BA10" s="7"/>
      <c r="BB10" s="7"/>
      <c r="BC10" s="70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4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4"/>
      <c r="CF10" s="74"/>
      <c r="CG10" s="7"/>
      <c r="CH10" s="7"/>
      <c r="CI10" s="7"/>
      <c r="CJ10" s="7"/>
      <c r="CK10" s="101"/>
      <c r="CL10" s="74"/>
      <c r="CM10" s="74"/>
      <c r="CN10" s="74"/>
      <c r="CO10" s="70"/>
      <c r="CP10" s="74"/>
      <c r="CQ10" s="7"/>
      <c r="CR10" s="74"/>
      <c r="CS10" s="74"/>
      <c r="CT10" s="74"/>
      <c r="CU10" s="74"/>
      <c r="CV10" s="7"/>
      <c r="CW10" s="7"/>
      <c r="CX10" s="7"/>
      <c r="CY10" s="7"/>
      <c r="CZ10" s="7"/>
      <c r="DA10" s="7"/>
      <c r="DB10" s="7"/>
      <c r="DC10" s="7"/>
      <c r="DD10" s="7"/>
      <c r="DE10" s="74"/>
      <c r="DF10" s="7"/>
      <c r="DG10" s="7"/>
      <c r="DH10" s="7"/>
      <c r="DI10" s="7"/>
      <c r="DJ10" s="7"/>
      <c r="DK10" s="7"/>
      <c r="DL10" s="74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8">
        <f t="shared" si="1"/>
        <v>54.024085280017729</v>
      </c>
      <c r="EA10" s="3" t="str">
        <f t="shared" si="2"/>
        <v>Androski, John</v>
      </c>
      <c r="EB10" s="2">
        <f t="shared" si="3"/>
        <v>1</v>
      </c>
      <c r="EC10" s="112">
        <f>H10</f>
        <v>35.829740635167489</v>
      </c>
      <c r="ED10" s="29">
        <f t="shared" si="4"/>
        <v>53.152386147203586</v>
      </c>
      <c r="EE10" s="2">
        <f t="shared" si="5"/>
        <v>0</v>
      </c>
      <c r="EF10" s="46">
        <f t="shared" si="6"/>
        <v>2</v>
      </c>
      <c r="EG10" s="46">
        <f t="shared" si="7"/>
        <v>2</v>
      </c>
      <c r="EH10" s="29" t="str">
        <f t="shared" si="8"/>
        <v>AK</v>
      </c>
      <c r="EI10" s="29">
        <f>IF(COUNT(I10:Y10)&lt;5,DZ10,SUMPRODUCT(LARGE(I10:Y10,{1,2,3,4,5}))/5)</f>
        <v>54.024085280017729</v>
      </c>
      <c r="EJ10" s="29">
        <f>IF(COUNT(I10:AX10)&lt;5,DZ10,SUMPRODUCT(LARGE(I10:AX10,{1,2,3,4,5}))/5)</f>
        <v>54.024085280017729</v>
      </c>
      <c r="EK10" s="29">
        <f>IF(COUNT(I10:DY10)&lt;5,AVERAGE(I10:DY10),SUMPRODUCT(LARGE(I10:DY10,{1,2,3,4,5}))/5)</f>
        <v>54.024085280017729</v>
      </c>
      <c r="EL10" s="29">
        <f t="shared" si="10"/>
        <v>53.152386147203586</v>
      </c>
      <c r="EM10" s="116" t="str">
        <f t="shared" si="9"/>
        <v>Androski, John</v>
      </c>
      <c r="EQ10"/>
    </row>
    <row r="11" spans="1:147" x14ac:dyDescent="0.25">
      <c r="A11" s="59">
        <f t="shared" si="11"/>
        <v>8</v>
      </c>
      <c r="B11" s="32" t="s">
        <v>914</v>
      </c>
      <c r="C11" s="5" t="s">
        <v>6</v>
      </c>
      <c r="D11" s="6" t="s">
        <v>63</v>
      </c>
      <c r="E11" s="6">
        <v>51.513881346722151</v>
      </c>
      <c r="F11" s="6">
        <v>55.793830017873262</v>
      </c>
      <c r="G11" s="5">
        <f t="shared" si="0"/>
        <v>2</v>
      </c>
      <c r="H11" s="8">
        <v>51.513881346722151</v>
      </c>
      <c r="I11" s="36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227"/>
      <c r="Z11" s="228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4"/>
      <c r="AP11" s="7"/>
      <c r="AQ11" s="74"/>
      <c r="AR11" s="7"/>
      <c r="AS11" s="7"/>
      <c r="AT11" s="7"/>
      <c r="AU11" s="7"/>
      <c r="AV11" s="7"/>
      <c r="AW11" s="7">
        <f>(INDEX('Race 41'!$E$8:$E$200,(MATCH($B11,'Race 41'!$B$8:$B$200,0)),1))*100</f>
        <v>54.561479275966263</v>
      </c>
      <c r="AX11" s="183">
        <f>(INDEX('Race 42'!$E$8:$E$200,(MATCH($B11,'Race 42'!$B$8:$B$200,0)),1))*100</f>
        <v>57.026180759780253</v>
      </c>
      <c r="AY11" s="107"/>
      <c r="AZ11" s="70"/>
      <c r="BA11" s="7"/>
      <c r="BB11" s="7"/>
      <c r="BC11" s="70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4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4"/>
      <c r="CF11" s="74"/>
      <c r="CG11" s="7"/>
      <c r="CH11" s="7"/>
      <c r="CI11" s="7"/>
      <c r="CJ11" s="7"/>
      <c r="CK11" s="74"/>
      <c r="CL11" s="74"/>
      <c r="CM11" s="74"/>
      <c r="CN11" s="74"/>
      <c r="CO11" s="70"/>
      <c r="CP11" s="74"/>
      <c r="CQ11" s="7"/>
      <c r="CR11" s="74"/>
      <c r="CS11" s="74"/>
      <c r="CT11" s="74"/>
      <c r="CU11" s="74"/>
      <c r="CV11" s="7"/>
      <c r="CW11" s="7"/>
      <c r="CX11" s="7"/>
      <c r="CY11" s="7"/>
      <c r="CZ11" s="7"/>
      <c r="DA11" s="7"/>
      <c r="DB11" s="7"/>
      <c r="DC11" s="7"/>
      <c r="DD11" s="7"/>
      <c r="DE11" s="74"/>
      <c r="DF11" s="7"/>
      <c r="DG11" s="7"/>
      <c r="DH11" s="7"/>
      <c r="DI11" s="7"/>
      <c r="DJ11" s="7"/>
      <c r="DK11" s="7"/>
      <c r="DL11" s="74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8">
        <f t="shared" si="1"/>
        <v>55.793830017873262</v>
      </c>
      <c r="EA11" s="3" t="str">
        <f t="shared" si="2"/>
        <v>Anger, Troy</v>
      </c>
      <c r="EB11" s="2">
        <f t="shared" si="3"/>
        <v>1</v>
      </c>
      <c r="EC11" s="112">
        <f>H11</f>
        <v>51.513881346722151</v>
      </c>
      <c r="ED11" s="29">
        <f t="shared" si="4"/>
        <v>54.893575381614781</v>
      </c>
      <c r="EE11" s="2">
        <f t="shared" si="5"/>
        <v>0</v>
      </c>
      <c r="EF11" s="46">
        <f t="shared" si="6"/>
        <v>2</v>
      </c>
      <c r="EG11" s="46">
        <f t="shared" si="7"/>
        <v>2</v>
      </c>
      <c r="EH11" s="29" t="str">
        <f t="shared" si="8"/>
        <v>VT</v>
      </c>
      <c r="EI11" s="29">
        <f>IF(COUNT(I11:Y11)&lt;5,DZ11,SUMPRODUCT(LARGE(I11:Y11,{1,2,3,4,5}))/5)</f>
        <v>55.793830017873262</v>
      </c>
      <c r="EJ11" s="29">
        <f>IF(COUNT(I11:AX11)&lt;5,DZ11,SUMPRODUCT(LARGE(I11:AX11,{1,2,3,4,5}))/5)</f>
        <v>55.793830017873262</v>
      </c>
      <c r="EK11" s="29">
        <f>IF(COUNT(I11:DY11)&lt;5,AVERAGE(I11:DY11),SUMPRODUCT(LARGE(I11:DY11,{1,2,3,4,5}))/5)</f>
        <v>55.793830017873262</v>
      </c>
      <c r="EL11" s="29">
        <f t="shared" si="10"/>
        <v>54.893575381614781</v>
      </c>
      <c r="EM11" s="116" t="str">
        <f t="shared" si="9"/>
        <v>Anger, Troy</v>
      </c>
      <c r="EQ11"/>
    </row>
    <row r="12" spans="1:147" x14ac:dyDescent="0.25">
      <c r="A12" s="59">
        <f t="shared" si="11"/>
        <v>9</v>
      </c>
      <c r="B12" s="32" t="s">
        <v>1066</v>
      </c>
      <c r="C12" s="5" t="s">
        <v>6</v>
      </c>
      <c r="D12" s="6" t="s">
        <v>62</v>
      </c>
      <c r="E12" s="6">
        <v>0</v>
      </c>
      <c r="F12" s="6">
        <v>53.768168946596376</v>
      </c>
      <c r="G12" s="5">
        <f t="shared" si="0"/>
        <v>1</v>
      </c>
      <c r="H12" s="8">
        <v>0</v>
      </c>
      <c r="I12" s="36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227"/>
      <c r="Z12" s="228"/>
      <c r="AA12" s="7"/>
      <c r="AB12" s="7"/>
      <c r="AC12" s="7"/>
      <c r="AD12" s="7"/>
      <c r="AE12" s="7"/>
      <c r="AF12" s="7"/>
      <c r="AG12" s="74">
        <f>(INDEX('Race 25'!$E$8:$E$200,(MATCH($B12,'Race 25'!$B$8:$B$200,0)),1))*100</f>
        <v>53.768168946596376</v>
      </c>
      <c r="AH12" s="74"/>
      <c r="AI12" s="7"/>
      <c r="AJ12" s="7"/>
      <c r="AK12" s="7"/>
      <c r="AL12" s="7"/>
      <c r="AM12" s="7"/>
      <c r="AN12" s="7"/>
      <c r="AO12" s="74"/>
      <c r="AP12" s="7"/>
      <c r="AQ12" s="74"/>
      <c r="AR12" s="7"/>
      <c r="AS12" s="7"/>
      <c r="AT12" s="7"/>
      <c r="AU12" s="7"/>
      <c r="AV12" s="7"/>
      <c r="AW12" s="7"/>
      <c r="AX12" s="8"/>
      <c r="AY12" s="36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4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101"/>
      <c r="CL12" s="74"/>
      <c r="CM12" s="74"/>
      <c r="CN12" s="74"/>
      <c r="CO12" s="70"/>
      <c r="CP12" s="74"/>
      <c r="CQ12" s="7"/>
      <c r="CR12" s="74"/>
      <c r="CS12" s="74"/>
      <c r="CT12" s="74"/>
      <c r="CU12" s="74"/>
      <c r="CV12" s="7"/>
      <c r="CW12" s="7"/>
      <c r="CX12" s="7"/>
      <c r="CY12" s="7"/>
      <c r="CZ12" s="7"/>
      <c r="DA12" s="7"/>
      <c r="DB12" s="7"/>
      <c r="DC12" s="7"/>
      <c r="DD12" s="7"/>
      <c r="DE12" s="74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8">
        <f t="shared" si="1"/>
        <v>53.768168946596376</v>
      </c>
      <c r="EA12" s="3" t="str">
        <f t="shared" si="2"/>
        <v>Archer, Phillip</v>
      </c>
      <c r="EB12" s="2">
        <f t="shared" si="3"/>
        <v>1</v>
      </c>
      <c r="EC12" s="29">
        <v>0</v>
      </c>
      <c r="ED12" s="29">
        <f t="shared" si="4"/>
        <v>52.900599121011787</v>
      </c>
      <c r="EE12" s="2">
        <f t="shared" si="5"/>
        <v>1</v>
      </c>
      <c r="EF12" s="46">
        <f t="shared" si="6"/>
        <v>1</v>
      </c>
      <c r="EG12" s="46">
        <f t="shared" si="7"/>
        <v>1</v>
      </c>
      <c r="EH12" s="29" t="str">
        <f t="shared" si="8"/>
        <v>CO</v>
      </c>
      <c r="EI12" s="29">
        <f>IF(COUNT(I12:AD12)&lt;5,DZ12,SUMPRODUCT(LARGE(I12:AD12,{1,2,3,4,5}))/5)</f>
        <v>53.768168946596376</v>
      </c>
      <c r="EJ12" s="29">
        <f>IF(COUNT(I12:AX12)&lt;5,DZ12,SUMPRODUCT(LARGE(I12:AX12,{1,2,3,4,5}))/5)</f>
        <v>53.768168946596376</v>
      </c>
      <c r="EK12" s="112">
        <f>IF(COUNT(I12:DY12)&lt;5,AVERAGE(I12:DY12),SUMPRODUCT(LARGE(I12:DY12,{1,2,3,4,5}))/5)</f>
        <v>53.768168946596376</v>
      </c>
      <c r="EL12" s="29">
        <f t="shared" si="10"/>
        <v>52.900599121011787</v>
      </c>
      <c r="EM12" s="116" t="str">
        <f t="shared" si="9"/>
        <v>Archer, Phillip</v>
      </c>
      <c r="EQ12"/>
    </row>
    <row r="13" spans="1:147" x14ac:dyDescent="0.25">
      <c r="A13" s="59">
        <f t="shared" si="11"/>
        <v>10</v>
      </c>
      <c r="B13" s="32" t="s">
        <v>1187</v>
      </c>
      <c r="C13" s="5" t="s">
        <v>6</v>
      </c>
      <c r="D13" s="6" t="s">
        <v>63</v>
      </c>
      <c r="E13" s="6">
        <v>0</v>
      </c>
      <c r="F13" s="6">
        <v>0</v>
      </c>
      <c r="G13" s="5">
        <f t="shared" si="0"/>
        <v>1</v>
      </c>
      <c r="H13" s="8">
        <v>0</v>
      </c>
      <c r="I13" s="36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227"/>
      <c r="Z13" s="228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4"/>
      <c r="AR13" s="70"/>
      <c r="AS13" s="7"/>
      <c r="AT13" s="70"/>
      <c r="AU13" s="7"/>
      <c r="AV13" s="70"/>
      <c r="AW13" s="7"/>
      <c r="AX13" s="8"/>
      <c r="AY13" s="36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4"/>
      <c r="BO13" s="7"/>
      <c r="BP13" s="7">
        <f>(INDEX('Race 60'!$E$8:$E$200,(MATCH($B13,'Race 60'!$B$8:$B$200,0)),1))*100</f>
        <v>35.799692249253276</v>
      </c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4"/>
      <c r="CG13" s="7"/>
      <c r="CH13" s="7"/>
      <c r="CI13" s="7"/>
      <c r="CJ13" s="7"/>
      <c r="CK13" s="101"/>
      <c r="CL13" s="74"/>
      <c r="CM13" s="74"/>
      <c r="CN13" s="74"/>
      <c r="CO13" s="70"/>
      <c r="CP13" s="74"/>
      <c r="CQ13" s="7"/>
      <c r="CR13" s="74"/>
      <c r="CS13" s="74"/>
      <c r="CT13" s="74"/>
      <c r="CU13" s="74"/>
      <c r="CV13" s="7"/>
      <c r="CW13" s="7"/>
      <c r="CX13" s="7"/>
      <c r="CY13" s="7"/>
      <c r="CZ13" s="7"/>
      <c r="DA13" s="7"/>
      <c r="DB13" s="7"/>
      <c r="DC13" s="7"/>
      <c r="DD13" s="7"/>
      <c r="DE13" s="74"/>
      <c r="DF13" s="74"/>
      <c r="DG13" s="74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8">
        <f t="shared" si="1"/>
        <v>35.799692249253276</v>
      </c>
      <c r="EA13" s="3" t="str">
        <f t="shared" si="2"/>
        <v>Ardagna, Sal</v>
      </c>
      <c r="EB13" s="2">
        <f t="shared" si="3"/>
        <v>1</v>
      </c>
      <c r="EC13" s="112">
        <f t="shared" ref="EC13:EC24" si="12">H13</f>
        <v>0</v>
      </c>
      <c r="ED13" s="29">
        <f t="shared" si="4"/>
        <v>35.222050619100038</v>
      </c>
      <c r="EE13" s="2">
        <f t="shared" si="5"/>
        <v>0</v>
      </c>
      <c r="EF13" s="46">
        <f t="shared" si="6"/>
        <v>1</v>
      </c>
      <c r="EG13" s="46">
        <f t="shared" si="7"/>
        <v>1</v>
      </c>
      <c r="EH13" s="2" t="str">
        <f t="shared" si="8"/>
        <v>VT</v>
      </c>
      <c r="EI13" s="29">
        <f>IF(COUNT(I13:AD13)&lt;5,DZ13,SUMPRODUCT(LARGE(I13:AD13,{1,2,3,4,5}))/5)</f>
        <v>35.799692249253276</v>
      </c>
      <c r="EJ13" s="29">
        <f>IF(COUNT(I13:AX13)&lt;5,DZ13,SUMPRODUCT(LARGE(I13:AX13,{1,2,3,4,5}))/5)</f>
        <v>35.799692249253276</v>
      </c>
      <c r="EK13" s="112">
        <f>IF(COUNT(I13:DY13)&lt;5,AVERAGE(I13:DY13),SUMPRODUCT(LARGE(I13:DY13,{1,2,3,4,5}))/5)</f>
        <v>35.799692249253276</v>
      </c>
      <c r="EL13" s="29">
        <f t="shared" si="10"/>
        <v>35.222050619100038</v>
      </c>
      <c r="EM13" s="116" t="str">
        <f t="shared" si="9"/>
        <v>Ardagna, Sal</v>
      </c>
      <c r="EQ13"/>
    </row>
    <row r="14" spans="1:147" x14ac:dyDescent="0.25">
      <c r="A14" s="59">
        <f t="shared" si="11"/>
        <v>11</v>
      </c>
      <c r="B14" s="4" t="s">
        <v>1108</v>
      </c>
      <c r="C14" s="5" t="s">
        <v>6</v>
      </c>
      <c r="D14" s="6" t="s">
        <v>63</v>
      </c>
      <c r="E14" s="6">
        <v>0</v>
      </c>
      <c r="F14" s="6">
        <v>48.716688984546664</v>
      </c>
      <c r="G14" s="5">
        <f t="shared" si="0"/>
        <v>1</v>
      </c>
      <c r="H14" s="60">
        <v>0</v>
      </c>
      <c r="I14" s="36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227"/>
      <c r="Z14" s="228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4"/>
      <c r="AP14" s="7"/>
      <c r="AQ14" s="74"/>
      <c r="AR14" s="70"/>
      <c r="AS14" s="74">
        <f>(INDEX('Race 37'!$E$8:$E$200,(MATCH($B14,'Race 37'!$B$8:$B$200,0)),1))*100</f>
        <v>48.716688984546664</v>
      </c>
      <c r="AT14" s="101"/>
      <c r="AU14" s="7"/>
      <c r="AV14" s="101"/>
      <c r="AW14" s="74"/>
      <c r="AX14" s="8"/>
      <c r="AY14" s="36"/>
      <c r="AZ14" s="7"/>
      <c r="BA14" s="7"/>
      <c r="BB14" s="7"/>
      <c r="BC14" s="70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0"/>
      <c r="CI14" s="7"/>
      <c r="CJ14" s="7"/>
      <c r="CK14" s="101"/>
      <c r="CL14" s="74"/>
      <c r="CM14" s="74"/>
      <c r="CN14" s="74"/>
      <c r="CO14" s="70"/>
      <c r="CP14" s="74"/>
      <c r="CQ14" s="7"/>
      <c r="CR14" s="74"/>
      <c r="CS14" s="74"/>
      <c r="CT14" s="74"/>
      <c r="CU14" s="74"/>
      <c r="CV14" s="74"/>
      <c r="CW14" s="7"/>
      <c r="CX14" s="7"/>
      <c r="CY14" s="7"/>
      <c r="CZ14" s="74"/>
      <c r="DA14" s="7"/>
      <c r="DB14" s="7"/>
      <c r="DC14" s="7"/>
      <c r="DD14" s="7"/>
      <c r="DE14" s="74"/>
      <c r="DF14" s="74"/>
      <c r="DG14" s="74"/>
      <c r="DH14" s="74"/>
      <c r="DI14" s="74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4"/>
      <c r="DU14" s="7"/>
      <c r="DV14" s="7"/>
      <c r="DW14" s="7"/>
      <c r="DX14" s="7"/>
      <c r="DY14" s="7"/>
      <c r="DZ14" s="8">
        <f t="shared" si="1"/>
        <v>48.716688984546664</v>
      </c>
      <c r="EA14" s="3" t="str">
        <f t="shared" si="2"/>
        <v>Asselin, Patrick</v>
      </c>
      <c r="EB14" s="2">
        <f t="shared" si="3"/>
        <v>1</v>
      </c>
      <c r="EC14" s="112">
        <f t="shared" si="12"/>
        <v>0</v>
      </c>
      <c r="ED14" s="29">
        <f t="shared" si="4"/>
        <v>47.930626706559096</v>
      </c>
      <c r="EE14" s="2">
        <f t="shared" si="5"/>
        <v>0</v>
      </c>
      <c r="EF14" s="46">
        <f t="shared" si="6"/>
        <v>1</v>
      </c>
      <c r="EG14" s="46">
        <f t="shared" si="7"/>
        <v>1</v>
      </c>
      <c r="EH14" s="2" t="str">
        <f t="shared" si="8"/>
        <v>VT</v>
      </c>
      <c r="EI14" s="29">
        <f>IF(COUNT(I14:AD14)&lt;5,DZ14,SUMPRODUCT(LARGE(I14:AD14,{1,2,3,4,5}))/5)</f>
        <v>48.716688984546664</v>
      </c>
      <c r="EJ14" s="29">
        <f>IF(COUNT(I14:AX14)&lt;5,DZ14,SUMPRODUCT(LARGE(I14:AX14,{1,2,3,4,5}))/5)</f>
        <v>48.716688984546664</v>
      </c>
      <c r="EK14" s="112">
        <f>IF(COUNT(I14:DY14)&lt;5,AVERAGE(I14:DY14),SUMPRODUCT(LARGE(I14:DY14,{1,2,3,4,5}))/5)</f>
        <v>48.716688984546664</v>
      </c>
      <c r="EL14" s="29">
        <f t="shared" si="10"/>
        <v>47.930626706559096</v>
      </c>
      <c r="EM14" s="116" t="str">
        <f t="shared" si="9"/>
        <v>Asselin, Patrick</v>
      </c>
      <c r="EQ14"/>
    </row>
    <row r="15" spans="1:147" x14ac:dyDescent="0.25">
      <c r="A15" s="59">
        <f t="shared" si="11"/>
        <v>12</v>
      </c>
      <c r="B15" s="32" t="s">
        <v>744</v>
      </c>
      <c r="C15" s="55" t="s">
        <v>6</v>
      </c>
      <c r="D15" s="6" t="s">
        <v>69</v>
      </c>
      <c r="E15" s="6">
        <v>54.563008709734852</v>
      </c>
      <c r="F15" s="6">
        <v>54.563008709734852</v>
      </c>
      <c r="G15" s="5">
        <f t="shared" si="0"/>
        <v>1</v>
      </c>
      <c r="H15" s="60">
        <v>54.563008709734852</v>
      </c>
      <c r="I15" s="59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229"/>
      <c r="Z15" s="230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"/>
      <c r="AT15" s="101"/>
      <c r="AU15" s="7"/>
      <c r="AV15" s="101"/>
      <c r="AW15" s="7"/>
      <c r="AX15" s="8"/>
      <c r="AY15" s="36"/>
      <c r="AZ15" s="101"/>
      <c r="BA15" s="74"/>
      <c r="BB15" s="74"/>
      <c r="BC15" s="101"/>
      <c r="BD15" s="7"/>
      <c r="BE15" s="7"/>
      <c r="BF15" s="74"/>
      <c r="BG15" s="74"/>
      <c r="BH15" s="74"/>
      <c r="BI15" s="74"/>
      <c r="BJ15" s="74"/>
      <c r="BK15" s="74"/>
      <c r="BL15" s="74"/>
      <c r="BM15" s="74"/>
      <c r="BN15" s="74"/>
      <c r="BO15" s="74"/>
      <c r="BP15" s="7"/>
      <c r="BQ15" s="7"/>
      <c r="BR15" s="74"/>
      <c r="BS15" s="7"/>
      <c r="BT15" s="7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101"/>
      <c r="CL15" s="74"/>
      <c r="CM15" s="74">
        <f>(INDEX('Race 83'!$E$8:$E$200,(MATCH($B15,'Race 83'!$B$8:$B$200,0)),1))*100</f>
        <v>57.098323981665985</v>
      </c>
      <c r="CN15" s="74"/>
      <c r="CO15" s="74"/>
      <c r="CP15" s="74"/>
      <c r="CQ15" s="74"/>
      <c r="CR15" s="74"/>
      <c r="CS15" s="74"/>
      <c r="CT15" s="74"/>
      <c r="CU15" s="74"/>
      <c r="CV15" s="74"/>
      <c r="CW15" s="74"/>
      <c r="CX15" s="74"/>
      <c r="CY15" s="74"/>
      <c r="CZ15" s="74"/>
      <c r="DA15" s="74"/>
      <c r="DB15" s="74"/>
      <c r="DC15" s="74"/>
      <c r="DD15" s="74"/>
      <c r="DE15" s="74"/>
      <c r="DF15" s="74"/>
      <c r="DG15" s="74"/>
      <c r="DH15" s="74"/>
      <c r="DI15" s="74"/>
      <c r="DJ15" s="74"/>
      <c r="DK15" s="74"/>
      <c r="DL15" s="74"/>
      <c r="DM15" s="74"/>
      <c r="DN15" s="74"/>
      <c r="DO15" s="74"/>
      <c r="DP15" s="74"/>
      <c r="DQ15" s="74"/>
      <c r="DR15" s="7"/>
      <c r="DS15" s="7"/>
      <c r="DT15" s="74"/>
      <c r="DU15" s="74"/>
      <c r="DV15" s="74"/>
      <c r="DW15" s="74"/>
      <c r="DX15" s="74"/>
      <c r="DY15" s="74"/>
      <c r="DZ15" s="8">
        <f t="shared" si="1"/>
        <v>57.098323981665985</v>
      </c>
      <c r="EA15" s="3" t="str">
        <f t="shared" si="2"/>
        <v>Aunan, Tommy</v>
      </c>
      <c r="EB15" s="2">
        <f t="shared" si="3"/>
        <v>1</v>
      </c>
      <c r="EC15" s="112">
        <f t="shared" si="12"/>
        <v>54.563008709734852</v>
      </c>
      <c r="ED15" s="29">
        <f t="shared" si="4"/>
        <v>56.177020839891753</v>
      </c>
      <c r="EE15" s="2">
        <f t="shared" si="5"/>
        <v>0</v>
      </c>
      <c r="EF15" s="46">
        <f t="shared" si="6"/>
        <v>0</v>
      </c>
      <c r="EG15" s="46">
        <f t="shared" si="7"/>
        <v>1</v>
      </c>
      <c r="EH15" s="29" t="str">
        <f t="shared" si="8"/>
        <v>WA</v>
      </c>
      <c r="EI15" s="29">
        <f>IF(COUNT(I15:Y15)&lt;5,DZ15,SUMPRODUCT(LARGE(I15:Y15,{1,2,3,4,5}))/5)</f>
        <v>57.098323981665985</v>
      </c>
      <c r="EJ15" s="29">
        <f>IF(COUNT(I15:AX15)&lt;5,DZ15,SUMPRODUCT(LARGE(I15:AX15,{1,2,3,4,5}))/5)</f>
        <v>57.098323981665985</v>
      </c>
      <c r="EK15" s="146">
        <f>IF(COUNT(I15:DY15)&lt;5,AVERAGE(I15:DY15),SUMPRODUCT(LARGE(I15:DY15,{1,2,3,4,5}))/5)</f>
        <v>57.098323981665985</v>
      </c>
      <c r="EL15" s="29">
        <f t="shared" si="10"/>
        <v>56.177020839891753</v>
      </c>
      <c r="EM15" s="116" t="str">
        <f t="shared" si="9"/>
        <v>Aunan, Tommy</v>
      </c>
      <c r="EQ15"/>
    </row>
    <row r="16" spans="1:147" x14ac:dyDescent="0.25">
      <c r="A16" s="59">
        <f t="shared" si="11"/>
        <v>13</v>
      </c>
      <c r="B16" s="32" t="s">
        <v>84</v>
      </c>
      <c r="C16" s="5" t="s">
        <v>6</v>
      </c>
      <c r="D16" s="6" t="s">
        <v>57</v>
      </c>
      <c r="E16" s="6">
        <v>99.386238853803533</v>
      </c>
      <c r="F16" s="6">
        <v>99.460903353359868</v>
      </c>
      <c r="G16" s="5">
        <f t="shared" si="0"/>
        <v>21</v>
      </c>
      <c r="H16" s="60">
        <v>100.00430567075759</v>
      </c>
      <c r="I16" s="107"/>
      <c r="J16" s="7">
        <f>(INDEX('Race 2'!$E$8:$E$200,(MATCH($B16,'Race 2'!$B$8:$B$200,0)),1))*100</f>
        <v>93.988499629709551</v>
      </c>
      <c r="K16" s="7">
        <f>(INDEX('Race 3'!$E$8:$E$200,(MATCH($B16,'Race 3'!$B$8:$B$200,0)),1))*100</f>
        <v>100.47912989306904</v>
      </c>
      <c r="L16" s="7">
        <f>(INDEX('Race 4'!$E$8:$E$200,(MATCH($B16,'Race 4'!$B$8:$B$200,0)),1))*100</f>
        <v>101.05076994796336</v>
      </c>
      <c r="M16" s="7">
        <f>(INDEX('Race 5'!$E$8:$E$200,(MATCH($B16,'Race 5'!$B$8:$B$200,0)),1))*100</f>
        <v>98.535685701970678</v>
      </c>
      <c r="N16" s="7">
        <f>(INDEX('Race 6'!$E$8:$E$200,(MATCH($B16,'Race 6'!$B$8:$B$200,0)),1))*100</f>
        <v>96.637998408402026</v>
      </c>
      <c r="O16" s="7"/>
      <c r="P16" s="7">
        <f>(INDEX('Race 8'!$E$8:$E$200,(MATCH($B16,'Race 8'!$B$8:$B$200,0)),1))*100</f>
        <v>96.232030268770984</v>
      </c>
      <c r="Q16" s="7"/>
      <c r="R16" s="7">
        <f>(INDEX('Race 10'!$E$8:$E$200,(MATCH($B16,'Race 10'!$B$8:$B$200,0)),1))*100</f>
        <v>97.791785394279273</v>
      </c>
      <c r="S16" s="7"/>
      <c r="T16" s="7"/>
      <c r="U16" s="7">
        <f>(INDEX('Race 13'!$E$8:$E$200,(MATCH($B16,'Race 13'!$B$8:$B$200,0)),1))*100</f>
        <v>99.073823331735326</v>
      </c>
      <c r="V16" s="7"/>
      <c r="W16" s="7"/>
      <c r="X16" s="7"/>
      <c r="Y16" s="227"/>
      <c r="Z16" s="228"/>
      <c r="AA16" s="7"/>
      <c r="AB16" s="7"/>
      <c r="AC16" s="7"/>
      <c r="AD16" s="7"/>
      <c r="AE16" s="74">
        <f>(INDEX('Race 23'!$E$8:$E$200,(MATCH($B16,'Race 23'!$B$8:$B$200,0)),1))*100</f>
        <v>98.165107892060917</v>
      </c>
      <c r="AF16" s="74"/>
      <c r="AG16" s="74"/>
      <c r="AH16" s="74">
        <f>(INDEX('Race 26'!$E$8:$E$200,(MATCH($B16,'Race 26'!$B$8:$B$200,0)),1))*100</f>
        <v>97.937556605118331</v>
      </c>
      <c r="AI16" s="74">
        <f>(INDEX('Race 27'!$E$8:$E$200,(MATCH($B16,'Race 27'!$B$8:$B$200,0)),1))*100</f>
        <v>96.840384897584769</v>
      </c>
      <c r="AJ16" s="74"/>
      <c r="AK16" s="7"/>
      <c r="AL16" s="74"/>
      <c r="AM16" s="74"/>
      <c r="AN16" s="7"/>
      <c r="AO16" s="7"/>
      <c r="AP16" s="7"/>
      <c r="AQ16" s="7"/>
      <c r="AR16" s="70"/>
      <c r="AS16" s="7"/>
      <c r="AT16" s="70"/>
      <c r="AU16" s="7"/>
      <c r="AV16" s="70"/>
      <c r="AW16" s="7"/>
      <c r="AX16" s="8"/>
      <c r="AY16" s="107"/>
      <c r="AZ16" s="7"/>
      <c r="BA16" s="7"/>
      <c r="BB16" s="7"/>
      <c r="BC16" s="101">
        <f>(INDEX('Race 47'!$E$8:$E$200,(MATCH($B16,'Race 47'!$B$8:$B$200,0)),1))*100</f>
        <v>100.91986829531628</v>
      </c>
      <c r="BD16" s="7"/>
      <c r="BE16" s="7"/>
      <c r="BF16" s="74">
        <f>(INDEX('Race 50'!$E$8:$E$200,(MATCH($B16,'Race 50'!$B$8:$B$200,0)),1))*100</f>
        <v>97.456243406565079</v>
      </c>
      <c r="BG16" s="74"/>
      <c r="BH16" s="74"/>
      <c r="BI16" s="74">
        <f>(INDEX('Race 53'!$E$8:$E$200,(MATCH($B16,'Race 53'!$B$8:$B$200,0)),1))*100</f>
        <v>98.665508498893615</v>
      </c>
      <c r="BJ16" s="74"/>
      <c r="BK16" s="74"/>
      <c r="BL16" s="74"/>
      <c r="BM16" s="7"/>
      <c r="BN16" s="74"/>
      <c r="BO16" s="74"/>
      <c r="BP16" s="7"/>
      <c r="BQ16" s="7"/>
      <c r="BR16" s="74"/>
      <c r="BS16" s="7"/>
      <c r="BT16" s="7"/>
      <c r="BU16" s="7"/>
      <c r="BV16" s="7"/>
      <c r="BW16" s="74"/>
      <c r="BX16" s="74"/>
      <c r="BY16" s="74"/>
      <c r="BZ16" s="74"/>
      <c r="CA16" s="74"/>
      <c r="CB16" s="7"/>
      <c r="CC16" s="74"/>
      <c r="CD16" s="74"/>
      <c r="CE16" s="74"/>
      <c r="CF16" s="74"/>
      <c r="CG16" s="7">
        <f>(INDEX('Race 77'!$E$8:$E$200,(MATCH($B16,'Race 77'!$B$8:$B$200,0)),1))*100</f>
        <v>100.01644678764632</v>
      </c>
      <c r="CH16" s="7">
        <f>(INDEX('Race 78'!$E$8:$E$200,(MATCH($B16,'Race 78'!$B$8:$B$200,0)),1))*100</f>
        <v>101.27694682031721</v>
      </c>
      <c r="CI16" s="7">
        <f>(INDEX('Race 79'!$E$8:$E$200,(MATCH($B16,'Race 79'!$B$8:$B$200,0)),1))*100</f>
        <v>98.488283261701042</v>
      </c>
      <c r="CJ16" s="7">
        <f>(INDEX('Race 80'!$E$8:$E$200,(MATCH($B16,'Race 80'!$B$8:$B$200,0)),1))*100</f>
        <v>99.467060081698165</v>
      </c>
      <c r="CK16" s="70"/>
      <c r="CL16" s="7"/>
      <c r="CM16" s="7"/>
      <c r="CN16" s="7">
        <f>(INDEX('Race 84'!$E$8:$E$200,(MATCH($B16,'Race 84'!$B$8:$B$200,0)),1))*100</f>
        <v>100.44354790907077</v>
      </c>
      <c r="CO16" s="7"/>
      <c r="CP16" s="7">
        <f>(INDEX('Race 86'!$E$8:$E$200,(MATCH($B16,'Race 86'!$B$8:$B$200,0)),1))*100</f>
        <v>104.46725997784962</v>
      </c>
      <c r="CQ16" s="7"/>
      <c r="CR16" s="7"/>
      <c r="CS16" s="7"/>
      <c r="CT16" s="7"/>
      <c r="CU16" s="7"/>
      <c r="CV16" s="7">
        <f>(INDEX('Race 92'!$E$8:$E$200,(MATCH($B16,'Race 92'!$B$8:$B$200,0)),1))*100</f>
        <v>99.535190236258259</v>
      </c>
      <c r="CW16" s="7"/>
      <c r="CX16" s="7"/>
      <c r="CY16" s="7"/>
      <c r="CZ16" s="7" t="e">
        <f>(INDEX('Race 96'!$E$8:$E$200,(MATCH($B16,'Race 96'!$B$8:$B$200,0)),1))*100</f>
        <v>#N/A</v>
      </c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8" t="e">
        <f t="shared" si="1"/>
        <v>#N/A</v>
      </c>
      <c r="EA16" s="3" t="str">
        <f t="shared" si="2"/>
        <v>Bailey, Lowell</v>
      </c>
      <c r="EB16" s="2">
        <f t="shared" si="3"/>
        <v>1</v>
      </c>
      <c r="EC16" s="112">
        <f t="shared" si="12"/>
        <v>100.00430567075759</v>
      </c>
      <c r="ED16" s="29" t="e">
        <f t="shared" si="4"/>
        <v>#N/A</v>
      </c>
      <c r="EE16" s="2">
        <f t="shared" si="5"/>
        <v>10</v>
      </c>
      <c r="EF16" s="46">
        <f t="shared" si="6"/>
        <v>14</v>
      </c>
      <c r="EG16" s="46">
        <f t="shared" si="7"/>
        <v>21</v>
      </c>
      <c r="EH16" s="2" t="str">
        <f t="shared" si="8"/>
        <v>NY</v>
      </c>
      <c r="EI16" s="29">
        <f>IF(COUNT(I16:AD16)&lt;5,DZ16,SUMPRODUCT(LARGE(I16:AD16,{1,2,3,4,5}))/5)</f>
        <v>99.386238853803533</v>
      </c>
      <c r="EJ16" s="29">
        <f>IF(COUNT(I16:AX16)&lt;5,DZ16,SUMPRODUCT(LARGE(I16:AX16,{1,2,3,4,5}))/5)</f>
        <v>99.460903353359868</v>
      </c>
      <c r="EK16" s="29" t="e">
        <f>IF(COUNT(I16:DY16)&lt;5,AVERAGE(I16:DY16),SUMPRODUCT(LARGE(I16:DY16,{1,2,3,4,5}))/5)</f>
        <v>#N/A</v>
      </c>
      <c r="EL16" s="29" t="e">
        <f t="shared" si="10"/>
        <v>#N/A</v>
      </c>
      <c r="EM16" s="116" t="str">
        <f t="shared" si="9"/>
        <v>Bailey, Lowell</v>
      </c>
      <c r="EQ16"/>
    </row>
    <row r="17" spans="1:147" x14ac:dyDescent="0.25">
      <c r="A17" s="59">
        <f t="shared" si="11"/>
        <v>14</v>
      </c>
      <c r="B17" s="32" t="s">
        <v>1304</v>
      </c>
      <c r="C17" s="5" t="s">
        <v>6</v>
      </c>
      <c r="D17" s="6" t="s">
        <v>79</v>
      </c>
      <c r="E17" s="6">
        <v>0</v>
      </c>
      <c r="F17" s="6">
        <v>0</v>
      </c>
      <c r="G17" s="5">
        <f t="shared" si="0"/>
        <v>1</v>
      </c>
      <c r="H17" s="8">
        <v>0</v>
      </c>
      <c r="I17" s="36"/>
      <c r="J17" s="7"/>
      <c r="K17" s="7"/>
      <c r="L17" s="7"/>
      <c r="M17" s="7"/>
      <c r="N17" s="146"/>
      <c r="O17" s="7"/>
      <c r="P17" s="7"/>
      <c r="Q17" s="7"/>
      <c r="R17" s="7"/>
      <c r="S17" s="7"/>
      <c r="T17" s="7"/>
      <c r="U17" s="7"/>
      <c r="V17" s="7"/>
      <c r="W17" s="7"/>
      <c r="X17" s="7"/>
      <c r="Y17" s="227"/>
      <c r="Z17" s="228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4"/>
      <c r="AP17" s="7"/>
      <c r="AQ17" s="74"/>
      <c r="AR17" s="70"/>
      <c r="AS17" s="7"/>
      <c r="AT17" s="70"/>
      <c r="AU17" s="7"/>
      <c r="AV17" s="70"/>
      <c r="AW17" s="7"/>
      <c r="AX17" s="8"/>
      <c r="AY17" s="36"/>
      <c r="AZ17" s="7"/>
      <c r="BA17" s="7"/>
      <c r="BB17" s="7"/>
      <c r="BC17" s="70"/>
      <c r="BD17" s="7"/>
      <c r="BE17" s="7"/>
      <c r="BF17" s="70"/>
      <c r="BG17" s="70"/>
      <c r="BH17" s="7"/>
      <c r="BI17" s="7"/>
      <c r="BJ17" s="7"/>
      <c r="BK17" s="7"/>
      <c r="BL17" s="7"/>
      <c r="BM17" s="7"/>
      <c r="BN17" s="74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>
        <f>(INDEX('Race 75'!$E$8:$E$200,(MATCH($B17,'Race 75'!$B$8:$B$200,0)),1))*100</f>
        <v>34.772855272278328</v>
      </c>
      <c r="CF17" s="7"/>
      <c r="CG17" s="7"/>
      <c r="CH17" s="70"/>
      <c r="CI17" s="7"/>
      <c r="CJ17" s="7"/>
      <c r="CK17" s="101"/>
      <c r="CL17" s="74"/>
      <c r="CM17" s="74"/>
      <c r="CN17" s="74"/>
      <c r="CO17" s="70"/>
      <c r="CP17" s="74"/>
      <c r="CQ17" s="7"/>
      <c r="CR17" s="74"/>
      <c r="CS17" s="74"/>
      <c r="CT17" s="74"/>
      <c r="CU17" s="74"/>
      <c r="CV17" s="7"/>
      <c r="CW17" s="7"/>
      <c r="CX17" s="7"/>
      <c r="CY17" s="7"/>
      <c r="CZ17" s="7"/>
      <c r="DA17" s="7"/>
      <c r="DB17" s="7"/>
      <c r="DC17" s="7"/>
      <c r="DD17" s="7"/>
      <c r="DE17" s="74"/>
      <c r="DF17" s="74"/>
      <c r="DG17" s="74"/>
      <c r="DH17" s="7"/>
      <c r="DI17" s="7"/>
      <c r="DJ17" s="74"/>
      <c r="DK17" s="74"/>
      <c r="DL17" s="74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8">
        <f t="shared" si="1"/>
        <v>34.772855272278328</v>
      </c>
      <c r="EA17" s="3" t="str">
        <f t="shared" si="2"/>
        <v>Baker, Michael</v>
      </c>
      <c r="EB17" s="2">
        <f t="shared" si="3"/>
        <v>1</v>
      </c>
      <c r="EC17" s="112">
        <f t="shared" si="12"/>
        <v>0</v>
      </c>
      <c r="ED17" s="29">
        <f t="shared" si="4"/>
        <v>34.211782046712251</v>
      </c>
      <c r="EE17" s="2">
        <f t="shared" si="5"/>
        <v>0</v>
      </c>
      <c r="EF17" s="46">
        <f t="shared" si="6"/>
        <v>0</v>
      </c>
      <c r="EG17" s="46">
        <f t="shared" si="7"/>
        <v>1</v>
      </c>
      <c r="EH17" s="2" t="str">
        <f t="shared" si="8"/>
        <v>NV</v>
      </c>
      <c r="EI17" s="29">
        <f>IF(COUNT(I17:AD17)&lt;5,DZ17,SUMPRODUCT(LARGE(I17:AD17,{1,2,3,4,5}))/5)</f>
        <v>34.772855272278328</v>
      </c>
      <c r="EJ17" s="29">
        <f>IF(COUNT(I17:BE17)&lt;5,DZ17,SUMPRODUCT(LARGE(I17:BE17,{1,2,3,4,5}))/5)</f>
        <v>34.772855272278328</v>
      </c>
      <c r="EK17" s="112">
        <f>IF(COUNT(I17:DY17)&lt;5,AVERAGE(I17:DY17),SUMPRODUCT(LARGE(I17:DY17,{1,2,3,4,5}))/5)</f>
        <v>34.772855272278328</v>
      </c>
      <c r="EL17" s="29">
        <f t="shared" si="10"/>
        <v>34.211782046712251</v>
      </c>
      <c r="EM17" s="116" t="str">
        <f t="shared" si="9"/>
        <v>Baker, Michael</v>
      </c>
      <c r="EQ17"/>
    </row>
    <row r="18" spans="1:147" x14ac:dyDescent="0.25">
      <c r="A18" s="59">
        <f t="shared" si="11"/>
        <v>15</v>
      </c>
      <c r="B18" s="32" t="s">
        <v>927</v>
      </c>
      <c r="C18" s="5" t="s">
        <v>6</v>
      </c>
      <c r="D18" s="6" t="s">
        <v>79</v>
      </c>
      <c r="E18" s="6">
        <v>30.005700538378754</v>
      </c>
      <c r="F18" s="6">
        <v>30.005700538378754</v>
      </c>
      <c r="G18" s="5">
        <f t="shared" si="0"/>
        <v>0</v>
      </c>
      <c r="H18" s="8">
        <v>30.005700538378754</v>
      </c>
      <c r="I18" s="36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227"/>
      <c r="Z18" s="228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4"/>
      <c r="AP18" s="7"/>
      <c r="AQ18" s="74"/>
      <c r="AR18" s="70"/>
      <c r="AS18" s="7"/>
      <c r="AT18" s="70"/>
      <c r="AU18" s="7"/>
      <c r="AV18" s="70"/>
      <c r="AW18" s="7"/>
      <c r="AX18" s="8"/>
      <c r="AY18" s="36"/>
      <c r="AZ18" s="70"/>
      <c r="BA18" s="7"/>
      <c r="BB18" s="7"/>
      <c r="BC18" s="7"/>
      <c r="BD18" s="7"/>
      <c r="BE18" s="7"/>
      <c r="BF18" s="7"/>
      <c r="BG18" s="7"/>
      <c r="BH18" s="7"/>
      <c r="BI18" s="7"/>
      <c r="BJ18" s="70"/>
      <c r="BK18" s="7"/>
      <c r="BL18" s="70"/>
      <c r="BM18" s="7"/>
      <c r="BN18" s="74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0"/>
      <c r="BZ18" s="7"/>
      <c r="CA18" s="7"/>
      <c r="CB18" s="7"/>
      <c r="CC18" s="7"/>
      <c r="CD18" s="70"/>
      <c r="CE18" s="74"/>
      <c r="CF18" s="74"/>
      <c r="CG18" s="70"/>
      <c r="CH18" s="7"/>
      <c r="CI18" s="7"/>
      <c r="CJ18" s="7"/>
      <c r="CK18" s="101"/>
      <c r="CL18" s="74"/>
      <c r="CM18" s="74"/>
      <c r="CN18" s="74"/>
      <c r="CO18" s="70"/>
      <c r="CP18" s="74"/>
      <c r="CQ18" s="7"/>
      <c r="CR18" s="74"/>
      <c r="CS18" s="74"/>
      <c r="CT18" s="74"/>
      <c r="CU18" s="74"/>
      <c r="CV18" s="7"/>
      <c r="CW18" s="7"/>
      <c r="CX18" s="7"/>
      <c r="CY18" s="7"/>
      <c r="CZ18" s="7"/>
      <c r="DA18" s="7"/>
      <c r="DB18" s="7"/>
      <c r="DC18" s="7"/>
      <c r="DD18" s="7"/>
      <c r="DE18" s="74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8">
        <f t="shared" si="1"/>
        <v>30.005700538378754</v>
      </c>
      <c r="EA18" s="3" t="str">
        <f t="shared" si="2"/>
        <v>Baker, Robert</v>
      </c>
      <c r="EB18" s="2">
        <f t="shared" si="3"/>
        <v>0</v>
      </c>
      <c r="EC18" s="112">
        <f t="shared" si="12"/>
        <v>30.005700538378754</v>
      </c>
      <c r="ED18" s="29">
        <f t="shared" si="4"/>
        <v>0</v>
      </c>
      <c r="EE18" s="2">
        <f t="shared" si="5"/>
        <v>0</v>
      </c>
      <c r="EF18" s="46">
        <f t="shared" si="6"/>
        <v>0</v>
      </c>
      <c r="EG18" s="46">
        <f t="shared" si="7"/>
        <v>0</v>
      </c>
      <c r="EH18" s="29" t="str">
        <f t="shared" si="8"/>
        <v>NV</v>
      </c>
      <c r="EI18" s="29">
        <f>IF(COUNT(I18:Y18)&lt;5,DZ18,SUMPRODUCT(LARGE(I18:Y18,{1,2,3,4,5}))/5)</f>
        <v>30.005700538378754</v>
      </c>
      <c r="EJ18" s="29">
        <f>IF(COUNT(I18:AX18)&lt;5,DZ18,SUMPRODUCT(LARGE(I18:AX18,{1,2,3,4,5}))/5)</f>
        <v>30.005700538378754</v>
      </c>
      <c r="EK18" s="112">
        <f>IF(EG18&lt;0,AVERAGE(I18:DY18),0)</f>
        <v>0</v>
      </c>
      <c r="EL18" s="29">
        <f t="shared" si="10"/>
        <v>0</v>
      </c>
      <c r="EM18" s="116" t="str">
        <f t="shared" si="9"/>
        <v>Baker, Robert</v>
      </c>
      <c r="EQ18"/>
    </row>
    <row r="19" spans="1:147" x14ac:dyDescent="0.25">
      <c r="A19" s="59">
        <f t="shared" si="11"/>
        <v>16</v>
      </c>
      <c r="B19" s="32" t="s">
        <v>891</v>
      </c>
      <c r="C19" s="5" t="s">
        <v>6</v>
      </c>
      <c r="D19" s="6" t="s">
        <v>64</v>
      </c>
      <c r="E19" s="6">
        <v>26.03514013511095</v>
      </c>
      <c r="F19" s="6">
        <v>26.03514013511095</v>
      </c>
      <c r="G19" s="5">
        <f t="shared" si="0"/>
        <v>0</v>
      </c>
      <c r="H19" s="8">
        <v>26.03514013511095</v>
      </c>
      <c r="I19" s="36"/>
      <c r="J19" s="7"/>
      <c r="K19" s="7"/>
      <c r="L19" s="7"/>
      <c r="M19" s="74"/>
      <c r="N19" s="74"/>
      <c r="O19" s="7"/>
      <c r="P19" s="74"/>
      <c r="Q19" s="74"/>
      <c r="R19" s="74"/>
      <c r="S19" s="74"/>
      <c r="T19" s="7"/>
      <c r="U19" s="7"/>
      <c r="V19" s="74"/>
      <c r="W19" s="74"/>
      <c r="X19" s="74"/>
      <c r="Y19" s="229"/>
      <c r="Z19" s="228"/>
      <c r="AA19" s="74"/>
      <c r="AB19" s="74"/>
      <c r="AC19" s="74"/>
      <c r="AD19" s="74"/>
      <c r="AE19" s="7"/>
      <c r="AF19" s="74"/>
      <c r="AG19" s="74"/>
      <c r="AH19" s="7"/>
      <c r="AI19" s="7"/>
      <c r="AJ19" s="7"/>
      <c r="AK19" s="7"/>
      <c r="AL19" s="7"/>
      <c r="AM19" s="7"/>
      <c r="AN19" s="7"/>
      <c r="AO19" s="74"/>
      <c r="AP19" s="7"/>
      <c r="AQ19" s="74"/>
      <c r="AR19" s="101"/>
      <c r="AS19" s="7"/>
      <c r="AT19" s="101"/>
      <c r="AU19" s="7"/>
      <c r="AV19" s="101"/>
      <c r="AW19" s="7"/>
      <c r="AX19" s="183"/>
      <c r="AY19" s="107"/>
      <c r="AZ19" s="74"/>
      <c r="BA19" s="74"/>
      <c r="BB19" s="74"/>
      <c r="BC19" s="74"/>
      <c r="BD19" s="7"/>
      <c r="BE19" s="7"/>
      <c r="BF19" s="74"/>
      <c r="BG19" s="74"/>
      <c r="BH19" s="74"/>
      <c r="BI19" s="74"/>
      <c r="BJ19" s="74"/>
      <c r="BK19" s="7"/>
      <c r="BL19" s="74"/>
      <c r="BM19" s="7"/>
      <c r="BN19" s="74"/>
      <c r="BO19" s="74"/>
      <c r="BP19" s="7"/>
      <c r="BQ19" s="7"/>
      <c r="BR19" s="74"/>
      <c r="BS19" s="7"/>
      <c r="BT19" s="7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"/>
      <c r="CF19" s="74"/>
      <c r="CG19" s="74"/>
      <c r="CH19" s="7"/>
      <c r="CI19" s="74"/>
      <c r="CJ19" s="74"/>
      <c r="CK19" s="101"/>
      <c r="CL19" s="74"/>
      <c r="CM19" s="74"/>
      <c r="CN19" s="74"/>
      <c r="CO19" s="101"/>
      <c r="CP19" s="74"/>
      <c r="CQ19" s="74"/>
      <c r="CR19" s="74"/>
      <c r="CS19" s="74"/>
      <c r="CT19" s="74"/>
      <c r="CU19" s="74"/>
      <c r="CV19" s="74"/>
      <c r="CW19" s="74"/>
      <c r="CX19" s="7"/>
      <c r="CY19" s="7"/>
      <c r="CZ19" s="74"/>
      <c r="DA19" s="74"/>
      <c r="DB19" s="74"/>
      <c r="DC19" s="74"/>
      <c r="DD19" s="74"/>
      <c r="DE19" s="74"/>
      <c r="DF19" s="74"/>
      <c r="DG19" s="74"/>
      <c r="DH19" s="74"/>
      <c r="DI19" s="74"/>
      <c r="DJ19" s="74"/>
      <c r="DK19" s="74"/>
      <c r="DL19" s="74"/>
      <c r="DM19" s="74"/>
      <c r="DN19" s="74"/>
      <c r="DO19" s="74"/>
      <c r="DP19" s="74"/>
      <c r="DQ19" s="74"/>
      <c r="DR19" s="7"/>
      <c r="DS19" s="7"/>
      <c r="DT19" s="74"/>
      <c r="DU19" s="74"/>
      <c r="DV19" s="74"/>
      <c r="DW19" s="74"/>
      <c r="DX19" s="74"/>
      <c r="DY19" s="74"/>
      <c r="DZ19" s="8">
        <f t="shared" si="1"/>
        <v>26.03514013511095</v>
      </c>
      <c r="EA19" s="3" t="str">
        <f t="shared" si="2"/>
        <v>Baker, Scott</v>
      </c>
      <c r="EB19" s="2">
        <f t="shared" si="3"/>
        <v>0</v>
      </c>
      <c r="EC19" s="112">
        <f t="shared" si="12"/>
        <v>26.03514013511095</v>
      </c>
      <c r="ED19" s="29">
        <f t="shared" si="4"/>
        <v>0</v>
      </c>
      <c r="EE19" s="2">
        <f t="shared" si="5"/>
        <v>0</v>
      </c>
      <c r="EF19" s="46">
        <f t="shared" si="6"/>
        <v>0</v>
      </c>
      <c r="EG19" s="46">
        <f t="shared" si="7"/>
        <v>0</v>
      </c>
      <c r="EH19" s="2" t="str">
        <f t="shared" si="8"/>
        <v>ME</v>
      </c>
      <c r="EI19" s="29">
        <f>IF(COUNT(I19:Y19)&lt;5,DZ19,SUMPRODUCT(LARGE(I19:Y19,{1,2,3,4,5}))/5)</f>
        <v>26.03514013511095</v>
      </c>
      <c r="EJ19" s="29">
        <f>IF(COUNT(I19:AX19)&lt;5,DZ19,SUMPRODUCT(LARGE(I19:AX19,{1,2,3,4,5}))/5)</f>
        <v>26.03514013511095</v>
      </c>
      <c r="EK19" s="112">
        <f>IF(EG19&lt;0,AVERAGE(I19:DY19),0)</f>
        <v>0</v>
      </c>
      <c r="EL19" s="29">
        <f t="shared" si="10"/>
        <v>0</v>
      </c>
      <c r="EM19" s="116" t="str">
        <f t="shared" si="9"/>
        <v>Baker, Scott</v>
      </c>
      <c r="EQ19"/>
    </row>
    <row r="20" spans="1:147" x14ac:dyDescent="0.25">
      <c r="A20" s="59">
        <f t="shared" si="11"/>
        <v>17</v>
      </c>
      <c r="B20" s="32" t="s">
        <v>866</v>
      </c>
      <c r="C20" s="5" t="s">
        <v>6</v>
      </c>
      <c r="D20" s="6" t="s">
        <v>59</v>
      </c>
      <c r="E20" s="6">
        <v>32.802716333284081</v>
      </c>
      <c r="F20" s="6">
        <v>32.802716333284081</v>
      </c>
      <c r="G20" s="5">
        <f t="shared" si="0"/>
        <v>0</v>
      </c>
      <c r="H20" s="8">
        <v>32.802716333284081</v>
      </c>
      <c r="I20" s="36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227"/>
      <c r="Z20" s="228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4"/>
      <c r="AP20" s="7"/>
      <c r="AQ20" s="74"/>
      <c r="AR20" s="70"/>
      <c r="AS20" s="7"/>
      <c r="AT20" s="70"/>
      <c r="AU20" s="7"/>
      <c r="AV20" s="70"/>
      <c r="AW20" s="7"/>
      <c r="AX20" s="206"/>
      <c r="AY20" s="36"/>
      <c r="AZ20" s="70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4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0"/>
      <c r="CD20" s="7"/>
      <c r="CE20" s="7"/>
      <c r="CF20" s="7"/>
      <c r="CG20" s="7"/>
      <c r="CH20" s="7"/>
      <c r="CI20" s="7"/>
      <c r="CJ20" s="70"/>
      <c r="CK20" s="101"/>
      <c r="CL20" s="101"/>
      <c r="CM20" s="74"/>
      <c r="CN20" s="74"/>
      <c r="CO20" s="7"/>
      <c r="CP20" s="74"/>
      <c r="CQ20" s="7"/>
      <c r="CR20" s="74"/>
      <c r="CS20" s="74"/>
      <c r="CT20" s="74"/>
      <c r="CU20" s="74"/>
      <c r="CV20" s="7"/>
      <c r="CW20" s="7"/>
      <c r="CX20" s="7"/>
      <c r="CY20" s="7"/>
      <c r="CZ20" s="7"/>
      <c r="DA20" s="7"/>
      <c r="DB20" s="7"/>
      <c r="DC20" s="7"/>
      <c r="DD20" s="7"/>
      <c r="DE20" s="74"/>
      <c r="DF20" s="74"/>
      <c r="DG20" s="74"/>
      <c r="DH20" s="7"/>
      <c r="DI20" s="74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8">
        <f t="shared" si="1"/>
        <v>32.802716333284081</v>
      </c>
      <c r="EA20" s="3" t="str">
        <f t="shared" si="2"/>
        <v>BALDWIN, Bryan</v>
      </c>
      <c r="EB20" s="2">
        <f t="shared" si="3"/>
        <v>0</v>
      </c>
      <c r="EC20" s="112">
        <f t="shared" si="12"/>
        <v>32.802716333284081</v>
      </c>
      <c r="ED20" s="29">
        <f t="shared" si="4"/>
        <v>0</v>
      </c>
      <c r="EE20" s="2">
        <f t="shared" si="5"/>
        <v>0</v>
      </c>
      <c r="EF20" s="46">
        <f t="shared" si="6"/>
        <v>0</v>
      </c>
      <c r="EG20" s="46">
        <f t="shared" si="7"/>
        <v>0</v>
      </c>
      <c r="EH20" s="29" t="str">
        <f t="shared" si="8"/>
        <v>MT</v>
      </c>
      <c r="EI20" s="29">
        <f>IF(COUNT(I20:Y20)&lt;5,DZ20,SUMPRODUCT(LARGE(I20:Y20,{1,2,3,4,5}))/5)</f>
        <v>32.802716333284081</v>
      </c>
      <c r="EJ20" s="29">
        <f>IF(COUNT(I20:AX20)&lt;5,DZ20,SUMPRODUCT(LARGE(I20:AX20,{1,2,3,4,5}))/5)</f>
        <v>32.802716333284081</v>
      </c>
      <c r="EK20" s="112">
        <f>IF(EG20&lt;0,AVERAGE(I20:DY20),0)</f>
        <v>0</v>
      </c>
      <c r="EL20" s="29">
        <f t="shared" si="10"/>
        <v>0</v>
      </c>
      <c r="EM20" s="116" t="str">
        <f t="shared" si="9"/>
        <v>BALDWIN, Bryan</v>
      </c>
      <c r="EQ20"/>
    </row>
    <row r="21" spans="1:147" x14ac:dyDescent="0.25">
      <c r="A21" s="59">
        <f t="shared" si="11"/>
        <v>18</v>
      </c>
      <c r="B21" s="32" t="s">
        <v>778</v>
      </c>
      <c r="C21" s="5" t="s">
        <v>6</v>
      </c>
      <c r="D21" s="6" t="s">
        <v>79</v>
      </c>
      <c r="E21" s="6">
        <v>44.981378680545006</v>
      </c>
      <c r="F21" s="6">
        <v>44.981378680545006</v>
      </c>
      <c r="G21" s="5">
        <f t="shared" si="0"/>
        <v>0</v>
      </c>
      <c r="H21" s="8">
        <v>44.981378680545006</v>
      </c>
      <c r="I21" s="36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227"/>
      <c r="Z21" s="228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4"/>
      <c r="AP21" s="7"/>
      <c r="AQ21" s="74"/>
      <c r="AR21" s="70"/>
      <c r="AS21" s="7"/>
      <c r="AT21" s="70"/>
      <c r="AU21" s="7"/>
      <c r="AV21" s="70"/>
      <c r="AW21" s="7"/>
      <c r="AX21" s="8"/>
      <c r="AY21" s="36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4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0"/>
      <c r="CD21" s="7"/>
      <c r="CE21" s="7"/>
      <c r="CF21" s="7"/>
      <c r="CG21" s="7"/>
      <c r="CH21" s="70"/>
      <c r="CI21" s="7"/>
      <c r="CJ21" s="7"/>
      <c r="CK21" s="101"/>
      <c r="CL21" s="74"/>
      <c r="CM21" s="74"/>
      <c r="CN21" s="74"/>
      <c r="CO21" s="70"/>
      <c r="CP21" s="74"/>
      <c r="CQ21" s="7"/>
      <c r="CR21" s="74"/>
      <c r="CS21" s="74"/>
      <c r="CT21" s="74"/>
      <c r="CU21" s="74"/>
      <c r="CV21" s="7"/>
      <c r="CW21" s="7"/>
      <c r="CX21" s="7"/>
      <c r="CY21" s="7"/>
      <c r="CZ21" s="7"/>
      <c r="DA21" s="7"/>
      <c r="DB21" s="7"/>
      <c r="DC21" s="7"/>
      <c r="DD21" s="7"/>
      <c r="DE21" s="74"/>
      <c r="DF21" s="74"/>
      <c r="DG21" s="74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8">
        <f t="shared" si="1"/>
        <v>44.981378680545006</v>
      </c>
      <c r="EA21" s="3" t="str">
        <f t="shared" si="2"/>
        <v>Bang, Jason</v>
      </c>
      <c r="EB21" s="2">
        <f t="shared" si="3"/>
        <v>0</v>
      </c>
      <c r="EC21" s="112">
        <f t="shared" si="12"/>
        <v>44.981378680545006</v>
      </c>
      <c r="ED21" s="29">
        <f t="shared" si="4"/>
        <v>0</v>
      </c>
      <c r="EE21" s="2">
        <f t="shared" si="5"/>
        <v>0</v>
      </c>
      <c r="EF21" s="46">
        <f t="shared" si="6"/>
        <v>0</v>
      </c>
      <c r="EG21" s="46">
        <f t="shared" si="7"/>
        <v>0</v>
      </c>
      <c r="EH21" s="2" t="str">
        <f t="shared" si="8"/>
        <v>NV</v>
      </c>
      <c r="EI21" s="29">
        <f>IF(COUNT(I21:Y21)&lt;5,DZ21,SUMPRODUCT(LARGE(I21:Y21,{1,2,3,4,5}))/5)</f>
        <v>44.981378680545006</v>
      </c>
      <c r="EJ21" s="29">
        <f>IF(COUNT(I21:AX21)&lt;5,DZ21,SUMPRODUCT(LARGE(I21:AX21,{1,2,3,4,5}))/5)</f>
        <v>44.981378680545006</v>
      </c>
      <c r="EK21" s="112">
        <f>IF(EG21&lt;0,AVERAGE(I21:DY21),0)</f>
        <v>0</v>
      </c>
      <c r="EL21" s="29">
        <f t="shared" si="10"/>
        <v>0</v>
      </c>
      <c r="EM21" s="116" t="str">
        <f t="shared" si="9"/>
        <v>Bang, Jason</v>
      </c>
      <c r="EQ21"/>
    </row>
    <row r="22" spans="1:147" x14ac:dyDescent="0.25">
      <c r="A22" s="59">
        <f t="shared" si="11"/>
        <v>19</v>
      </c>
      <c r="B22" s="32" t="s">
        <v>696</v>
      </c>
      <c r="C22" s="5" t="s">
        <v>6</v>
      </c>
      <c r="D22" s="6" t="s">
        <v>63</v>
      </c>
      <c r="E22" s="6">
        <v>51.935276668834355</v>
      </c>
      <c r="F22" s="6">
        <v>51.935276668834355</v>
      </c>
      <c r="G22" s="5">
        <f t="shared" si="0"/>
        <v>0</v>
      </c>
      <c r="H22" s="60">
        <v>51.935276668834355</v>
      </c>
      <c r="I22" s="36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227"/>
      <c r="Z22" s="228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4"/>
      <c r="AP22" s="7"/>
      <c r="AQ22" s="74"/>
      <c r="AR22" s="70"/>
      <c r="AS22" s="7"/>
      <c r="AT22" s="70"/>
      <c r="AU22" s="7"/>
      <c r="AV22" s="70"/>
      <c r="AW22" s="7"/>
      <c r="AX22" s="183"/>
      <c r="AY22" s="10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4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0"/>
      <c r="CD22" s="7"/>
      <c r="CE22" s="7"/>
      <c r="CF22" s="7"/>
      <c r="CG22" s="7"/>
      <c r="CH22" s="7"/>
      <c r="CI22" s="7"/>
      <c r="CJ22" s="7"/>
      <c r="CK22" s="101"/>
      <c r="CL22" s="74"/>
      <c r="CM22" s="74"/>
      <c r="CN22" s="74"/>
      <c r="CO22" s="70"/>
      <c r="CP22" s="74"/>
      <c r="CQ22" s="7"/>
      <c r="CR22" s="74"/>
      <c r="CS22" s="74"/>
      <c r="CT22" s="74"/>
      <c r="CU22" s="74"/>
      <c r="CV22" s="7"/>
      <c r="CW22" s="7"/>
      <c r="CX22" s="7"/>
      <c r="CY22" s="7"/>
      <c r="CZ22" s="7"/>
      <c r="DA22" s="7"/>
      <c r="DB22" s="7"/>
      <c r="DC22" s="7"/>
      <c r="DD22" s="7"/>
      <c r="DE22" s="74"/>
      <c r="DF22" s="74"/>
      <c r="DG22" s="74"/>
      <c r="DH22" s="7"/>
      <c r="DI22" s="74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8">
        <f t="shared" si="1"/>
        <v>51.935276668834355</v>
      </c>
      <c r="EA22" s="3" t="str">
        <f t="shared" si="2"/>
        <v>Barber, Austin</v>
      </c>
      <c r="EB22" s="2">
        <f t="shared" si="3"/>
        <v>0</v>
      </c>
      <c r="EC22" s="112">
        <f t="shared" si="12"/>
        <v>51.935276668834355</v>
      </c>
      <c r="ED22" s="29">
        <f t="shared" si="4"/>
        <v>0</v>
      </c>
      <c r="EE22" s="2">
        <f t="shared" si="5"/>
        <v>0</v>
      </c>
      <c r="EF22" s="46">
        <f t="shared" si="6"/>
        <v>0</v>
      </c>
      <c r="EG22" s="46">
        <f t="shared" si="7"/>
        <v>0</v>
      </c>
      <c r="EH22" s="2" t="str">
        <f t="shared" si="8"/>
        <v>VT</v>
      </c>
      <c r="EI22" s="29">
        <f>IF(COUNT(I22:Y22)&lt;5,DZ22,SUMPRODUCT(LARGE(I22:Y22,{1,2,3,4,5}))/5)</f>
        <v>51.935276668834355</v>
      </c>
      <c r="EJ22" s="29">
        <f>IF(COUNT(I22:AX22)&lt;5,DZ22,SUMPRODUCT(LARGE(I22:AX22,{1,2,3,4,5}))/5)</f>
        <v>51.935276668834355</v>
      </c>
      <c r="EK22" s="112">
        <f>IF(EG22&lt;0,AVERAGE(I22:DY22),0)</f>
        <v>0</v>
      </c>
      <c r="EL22" s="29">
        <f t="shared" si="10"/>
        <v>0</v>
      </c>
      <c r="EM22" s="116" t="str">
        <f t="shared" si="9"/>
        <v>Barber, Austin</v>
      </c>
      <c r="EQ22"/>
    </row>
    <row r="23" spans="1:147" x14ac:dyDescent="0.25">
      <c r="A23" s="59">
        <f t="shared" si="11"/>
        <v>20</v>
      </c>
      <c r="B23" s="32" t="s">
        <v>1002</v>
      </c>
      <c r="C23" s="5" t="s">
        <v>6</v>
      </c>
      <c r="D23" s="6" t="s">
        <v>59</v>
      </c>
      <c r="E23" s="6">
        <v>49.468628955391111</v>
      </c>
      <c r="F23" s="6">
        <v>49.468628955391111</v>
      </c>
      <c r="G23" s="5">
        <f t="shared" si="0"/>
        <v>1</v>
      </c>
      <c r="H23" s="8">
        <v>49.890115442943276</v>
      </c>
      <c r="I23" s="107">
        <f>(INDEX('Race 1'!$E$8:$E$200,(MATCH($B23,'Race 1'!$B$8:$B$200,0)),1))*100</f>
        <v>49.468628955391111</v>
      </c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227"/>
      <c r="Z23" s="228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4"/>
      <c r="AP23" s="7"/>
      <c r="AQ23" s="74"/>
      <c r="AR23" s="70"/>
      <c r="AS23" s="7"/>
      <c r="AT23" s="70"/>
      <c r="AU23" s="7"/>
      <c r="AV23" s="70"/>
      <c r="AW23" s="7"/>
      <c r="AX23" s="8"/>
      <c r="AY23" s="36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4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0"/>
      <c r="CD23" s="7"/>
      <c r="CE23" s="7"/>
      <c r="CF23" s="7"/>
      <c r="CG23" s="7"/>
      <c r="CH23" s="7"/>
      <c r="CI23" s="7"/>
      <c r="CJ23" s="7"/>
      <c r="CK23" s="101"/>
      <c r="CL23" s="74"/>
      <c r="CM23" s="74"/>
      <c r="CN23" s="74"/>
      <c r="CO23" s="70"/>
      <c r="CP23" s="74"/>
      <c r="CQ23" s="7"/>
      <c r="CR23" s="74"/>
      <c r="CS23" s="74"/>
      <c r="CT23" s="74"/>
      <c r="CU23" s="74"/>
      <c r="CV23" s="7"/>
      <c r="CW23" s="7"/>
      <c r="CX23" s="7"/>
      <c r="CY23" s="7"/>
      <c r="CZ23" s="7"/>
      <c r="DA23" s="7"/>
      <c r="DB23" s="7"/>
      <c r="DC23" s="7"/>
      <c r="DD23" s="7"/>
      <c r="DE23" s="74"/>
      <c r="DF23" s="74"/>
      <c r="DG23" s="74"/>
      <c r="DH23" s="7"/>
      <c r="DI23" s="74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8">
        <f t="shared" si="1"/>
        <v>49.468628955391111</v>
      </c>
      <c r="EA23" s="22" t="str">
        <f t="shared" si="2"/>
        <v xml:space="preserve">BARRICK, John </v>
      </c>
      <c r="EB23" s="56">
        <f t="shared" si="3"/>
        <v>1</v>
      </c>
      <c r="EC23" s="112">
        <f t="shared" si="12"/>
        <v>49.890115442943276</v>
      </c>
      <c r="ED23" s="112">
        <f t="shared" si="4"/>
        <v>48.670433840408414</v>
      </c>
      <c r="EE23" s="56">
        <f t="shared" si="5"/>
        <v>1</v>
      </c>
      <c r="EF23" s="111">
        <f t="shared" si="6"/>
        <v>1</v>
      </c>
      <c r="EG23" s="111">
        <f t="shared" si="7"/>
        <v>1</v>
      </c>
      <c r="EH23" s="56" t="str">
        <f t="shared" si="8"/>
        <v>MT</v>
      </c>
      <c r="EI23" s="112">
        <f>IF(COUNT(I23:Y23)&lt;5,DZ23,SUMPRODUCT(LARGE(I23:Y23,{1,2,3,4,5}))/5)</f>
        <v>49.468628955391111</v>
      </c>
      <c r="EJ23" s="112">
        <f>IF(COUNT(I23:AX23)&lt;5,DZ23,SUMPRODUCT(LARGE(I23:AX23,{1,2,3,4,5}))/5)</f>
        <v>49.468628955391111</v>
      </c>
      <c r="EK23" s="112">
        <f>IF(COUNT(I23:DY23)&lt;5,AVERAGE(I23:DY23),SUMPRODUCT(LARGE(I23:DY23,{1,2,3,4,5}))/5)</f>
        <v>49.468628955391111</v>
      </c>
      <c r="EL23" s="112">
        <f t="shared" si="10"/>
        <v>48.670433840408414</v>
      </c>
      <c r="EM23" s="116" t="str">
        <f t="shared" si="9"/>
        <v xml:space="preserve">BARRICK, John </v>
      </c>
      <c r="EQ23"/>
    </row>
    <row r="24" spans="1:147" x14ac:dyDescent="0.25">
      <c r="A24" s="59">
        <f t="shared" si="11"/>
        <v>21</v>
      </c>
      <c r="B24" s="32" t="s">
        <v>449</v>
      </c>
      <c r="C24" s="5" t="s">
        <v>6</v>
      </c>
      <c r="D24" s="6" t="s">
        <v>69</v>
      </c>
      <c r="E24" s="6">
        <v>55.404980572977784</v>
      </c>
      <c r="F24" s="6">
        <v>55.404980572977784</v>
      </c>
      <c r="G24" s="5">
        <f t="shared" si="0"/>
        <v>2</v>
      </c>
      <c r="H24" s="8">
        <v>55.404980572977784</v>
      </c>
      <c r="I24" s="36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227"/>
      <c r="Z24" s="228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4"/>
      <c r="AP24" s="7"/>
      <c r="AQ24" s="74"/>
      <c r="AR24" s="7"/>
      <c r="AS24" s="7"/>
      <c r="AT24" s="7"/>
      <c r="AU24" s="7"/>
      <c r="AV24" s="7"/>
      <c r="AW24" s="7"/>
      <c r="AX24" s="8"/>
      <c r="AY24" s="36"/>
      <c r="AZ24" s="7"/>
      <c r="BA24" s="7"/>
      <c r="BB24" s="7"/>
      <c r="BC24" s="74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0"/>
      <c r="CD24" s="7"/>
      <c r="CE24" s="7">
        <f>(INDEX('Race 75'!$E$8:$E$200,(MATCH($B24,'Race 75'!$B$8:$B$200,0)),1))*100</f>
        <v>53.127321422084997</v>
      </c>
      <c r="CF24" s="7">
        <f>(INDEX('Race 76'!$E$8:$E$200,(MATCH($B24,'Race 76'!$B$8:$B$200,0)),1))*100</f>
        <v>61.298088671917064</v>
      </c>
      <c r="CG24" s="7"/>
      <c r="CH24" s="7"/>
      <c r="CI24" s="7"/>
      <c r="CJ24" s="7"/>
      <c r="CK24" s="101"/>
      <c r="CL24" s="74"/>
      <c r="CM24" s="74"/>
      <c r="CN24" s="74"/>
      <c r="CO24" s="70"/>
      <c r="CP24" s="74"/>
      <c r="CQ24" s="7"/>
      <c r="CR24" s="74"/>
      <c r="CS24" s="74"/>
      <c r="CT24" s="74"/>
      <c r="CU24" s="74"/>
      <c r="CV24" s="74"/>
      <c r="CW24" s="7"/>
      <c r="CX24" s="7"/>
      <c r="CY24" s="7"/>
      <c r="CZ24" s="74"/>
      <c r="DA24" s="7"/>
      <c r="DB24" s="7"/>
      <c r="DC24" s="7"/>
      <c r="DD24" s="7"/>
      <c r="DE24" s="74"/>
      <c r="DF24" s="74"/>
      <c r="DG24" s="74"/>
      <c r="DH24" s="74"/>
      <c r="DI24" s="74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8">
        <f t="shared" si="1"/>
        <v>57.21270504700103</v>
      </c>
      <c r="EA24" s="3" t="str">
        <f t="shared" si="2"/>
        <v>Barrow, Joshua</v>
      </c>
      <c r="EB24" s="2">
        <f t="shared" si="3"/>
        <v>1</v>
      </c>
      <c r="EC24" s="112">
        <f t="shared" si="12"/>
        <v>55.404980572977784</v>
      </c>
      <c r="ED24" s="29">
        <f t="shared" si="4"/>
        <v>56.289556323298925</v>
      </c>
      <c r="EE24" s="2">
        <f t="shared" si="5"/>
        <v>0</v>
      </c>
      <c r="EF24" s="46">
        <f t="shared" si="6"/>
        <v>0</v>
      </c>
      <c r="EG24" s="46">
        <f t="shared" si="7"/>
        <v>2</v>
      </c>
      <c r="EH24" s="2" t="str">
        <f t="shared" si="8"/>
        <v>WA</v>
      </c>
      <c r="EI24" s="29">
        <f>IF(COUNT(I24:Y24)&lt;5,DZ24,SUMPRODUCT(LARGE(I24:Y24,{1,2,3,4,5}))/5)</f>
        <v>57.21270504700103</v>
      </c>
      <c r="EJ24" s="29">
        <f>IF(COUNT(I24:AX24)&lt;5,DZ24,SUMPRODUCT(LARGE(I24:AX24,{1,2,3,4,5}))/5)</f>
        <v>57.21270504700103</v>
      </c>
      <c r="EK24" s="29">
        <f>IF(COUNT(I24:DY24)&lt;5,AVERAGE(I24:DY24),SUMPRODUCT(LARGE(I24:DY24,{1,2,3,4,5}))/5)</f>
        <v>57.21270504700103</v>
      </c>
      <c r="EL24" s="29">
        <f t="shared" si="10"/>
        <v>56.289556323298925</v>
      </c>
      <c r="EM24" s="116" t="str">
        <f t="shared" si="9"/>
        <v>Barrow, Joshua</v>
      </c>
      <c r="EQ24"/>
    </row>
    <row r="25" spans="1:147" x14ac:dyDescent="0.25">
      <c r="A25" s="59">
        <f t="shared" si="11"/>
        <v>22</v>
      </c>
      <c r="B25" s="32" t="s">
        <v>1124</v>
      </c>
      <c r="C25" s="5" t="s">
        <v>6</v>
      </c>
      <c r="D25" s="6" t="s">
        <v>88</v>
      </c>
      <c r="E25" s="6">
        <v>0</v>
      </c>
      <c r="F25" s="6">
        <v>72.397743156607177</v>
      </c>
      <c r="G25" s="5">
        <f t="shared" si="0"/>
        <v>3</v>
      </c>
      <c r="H25" s="8">
        <v>0</v>
      </c>
      <c r="I25" s="36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227"/>
      <c r="Z25" s="228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4"/>
      <c r="AP25" s="7"/>
      <c r="AQ25" s="74"/>
      <c r="AR25" s="70"/>
      <c r="AS25" s="7"/>
      <c r="AT25" s="70"/>
      <c r="AU25" s="7"/>
      <c r="AV25" s="70"/>
      <c r="AW25" s="7">
        <f>(INDEX('Race 41'!$E$8:$E$200,(MATCH($B25,'Race 41'!$B$8:$B$200,0)),1))*100</f>
        <v>67.801241218713955</v>
      </c>
      <c r="AX25" s="8">
        <f>(INDEX('Race 42'!$E$8:$E$200,(MATCH($B25,'Race 42'!$B$8:$B$200,0)),1))*100</f>
        <v>76.9942450945004</v>
      </c>
      <c r="AY25" s="36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4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>
        <f>(INDEX('Race 75'!$E$8:$E$200,(MATCH($B25,'Race 75'!$B$8:$B$200,0)),1))*100</f>
        <v>59.21367165807019</v>
      </c>
      <c r="CF25" s="7"/>
      <c r="CG25" s="7"/>
      <c r="CH25" s="7"/>
      <c r="CI25" s="7"/>
      <c r="CJ25" s="7"/>
      <c r="CK25" s="101"/>
      <c r="CL25" s="74"/>
      <c r="CM25" s="74"/>
      <c r="CN25" s="74"/>
      <c r="CO25" s="70"/>
      <c r="CP25" s="74"/>
      <c r="CQ25" s="7"/>
      <c r="CR25" s="74"/>
      <c r="CS25" s="74"/>
      <c r="CT25" s="74"/>
      <c r="CU25" s="74"/>
      <c r="CV25" s="7"/>
      <c r="CW25" s="7"/>
      <c r="CX25" s="7"/>
      <c r="CY25" s="7"/>
      <c r="CZ25" s="7"/>
      <c r="DA25" s="7"/>
      <c r="DB25" s="7"/>
      <c r="DC25" s="7"/>
      <c r="DD25" s="7"/>
      <c r="DE25" s="74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8">
        <f t="shared" si="1"/>
        <v>68.003052657094841</v>
      </c>
      <c r="EA25" s="3" t="str">
        <f t="shared" si="2"/>
        <v>Barthen, William</v>
      </c>
      <c r="EB25" s="2">
        <f t="shared" si="3"/>
        <v>1</v>
      </c>
      <c r="EC25" s="29">
        <v>0</v>
      </c>
      <c r="ED25" s="29">
        <f t="shared" si="4"/>
        <v>66.905797576834743</v>
      </c>
      <c r="EE25" s="2">
        <f t="shared" si="5"/>
        <v>0</v>
      </c>
      <c r="EF25" s="46">
        <f t="shared" si="6"/>
        <v>2</v>
      </c>
      <c r="EG25" s="46">
        <f t="shared" si="7"/>
        <v>3</v>
      </c>
      <c r="EH25" s="29" t="str">
        <f t="shared" si="8"/>
        <v>WI</v>
      </c>
      <c r="EI25" s="29">
        <f>IF(COUNT(I25:AD25)&lt;5,DZ25,SUMPRODUCT(LARGE(I25:AD25,{1,2,3,4,5}))/5)</f>
        <v>68.003052657094841</v>
      </c>
      <c r="EJ25" s="29">
        <f>IF(COUNT(I25:AX25)&lt;5,DZ25,SUMPRODUCT(LARGE(I25:AX25,{1,2,3,4,5}))/5)</f>
        <v>68.003052657094841</v>
      </c>
      <c r="EK25" s="112">
        <f>IF(COUNT(I25:DY25)&lt;5,AVERAGE(I25:DY25),SUMPRODUCT(LARGE(I25:DY25,{1,2,3,4,5}))/5)</f>
        <v>68.003052657094841</v>
      </c>
      <c r="EL25" s="29">
        <f t="shared" si="10"/>
        <v>66.905797576834743</v>
      </c>
      <c r="EM25" s="116" t="str">
        <f t="shared" si="9"/>
        <v>Barthen, William</v>
      </c>
      <c r="EQ25"/>
    </row>
    <row r="26" spans="1:147" x14ac:dyDescent="0.25">
      <c r="A26" s="59">
        <f t="shared" si="11"/>
        <v>23</v>
      </c>
      <c r="B26" s="32" t="s">
        <v>1246</v>
      </c>
      <c r="C26" s="5" t="s">
        <v>6</v>
      </c>
      <c r="D26" s="6" t="s">
        <v>64</v>
      </c>
      <c r="E26" s="6">
        <v>0</v>
      </c>
      <c r="F26" s="6">
        <v>0</v>
      </c>
      <c r="G26" s="5">
        <f t="shared" si="0"/>
        <v>2</v>
      </c>
      <c r="H26" s="60">
        <v>0</v>
      </c>
      <c r="I26" s="36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227"/>
      <c r="Z26" s="228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4"/>
      <c r="AP26" s="7"/>
      <c r="AQ26" s="74"/>
      <c r="AR26" s="70"/>
      <c r="AS26" s="7"/>
      <c r="AT26" s="70"/>
      <c r="AU26" s="7"/>
      <c r="AV26" s="70"/>
      <c r="AW26" s="7"/>
      <c r="AX26" s="183"/>
      <c r="AY26" s="107"/>
      <c r="AZ26" s="70"/>
      <c r="BA26" s="7"/>
      <c r="BB26" s="7"/>
      <c r="BC26" s="7"/>
      <c r="BD26" s="7"/>
      <c r="BE26" s="7"/>
      <c r="BF26" s="7"/>
      <c r="BG26" s="7"/>
      <c r="BH26" s="7"/>
      <c r="BI26" s="7"/>
      <c r="BJ26" s="70"/>
      <c r="BK26" s="7"/>
      <c r="BL26" s="70"/>
      <c r="BM26" s="7"/>
      <c r="BN26" s="74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>
        <f>(INDEX('Race 75'!$E$8:$E$200,(MATCH($B26,'Race 75'!$B$8:$B$200,0)),1))*100</f>
        <v>45.417692112434942</v>
      </c>
      <c r="CF26" s="7">
        <f>(INDEX('Race 76'!$E$8:$E$200,(MATCH($B26,'Race 76'!$B$8:$B$200,0)),1))*100</f>
        <v>49.268858085340774</v>
      </c>
      <c r="CG26" s="7"/>
      <c r="CH26" s="7"/>
      <c r="CI26" s="70"/>
      <c r="CJ26" s="7"/>
      <c r="CK26" s="101"/>
      <c r="CL26" s="74"/>
      <c r="CM26" s="74"/>
      <c r="CN26" s="74"/>
      <c r="CO26" s="70"/>
      <c r="CP26" s="74"/>
      <c r="CQ26" s="7"/>
      <c r="CR26" s="74"/>
      <c r="CS26" s="74"/>
      <c r="CT26" s="74"/>
      <c r="CU26" s="74"/>
      <c r="CV26" s="7"/>
      <c r="CW26" s="7"/>
      <c r="CX26" s="7"/>
      <c r="CY26" s="7"/>
      <c r="CZ26" s="7"/>
      <c r="DA26" s="7"/>
      <c r="DB26" s="7"/>
      <c r="DC26" s="7"/>
      <c r="DD26" s="7"/>
      <c r="DE26" s="74"/>
      <c r="DF26" s="74"/>
      <c r="DG26" s="74"/>
      <c r="DH26" s="7"/>
      <c r="DI26" s="74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8">
        <f t="shared" si="1"/>
        <v>47.343275098887858</v>
      </c>
      <c r="EA26" s="3" t="str">
        <f t="shared" si="2"/>
        <v>BARTMAN, KYLE</v>
      </c>
      <c r="EB26" s="2">
        <f t="shared" si="3"/>
        <v>1</v>
      </c>
      <c r="EC26" s="112">
        <f t="shared" ref="EC26:EC47" si="13">H26</f>
        <v>0</v>
      </c>
      <c r="ED26" s="29">
        <f t="shared" si="4"/>
        <v>46.57937337552918</v>
      </c>
      <c r="EE26" s="2">
        <f t="shared" si="5"/>
        <v>0</v>
      </c>
      <c r="EF26" s="46">
        <f t="shared" si="6"/>
        <v>0</v>
      </c>
      <c r="EG26" s="46">
        <f t="shared" si="7"/>
        <v>2</v>
      </c>
      <c r="EH26" s="2" t="str">
        <f t="shared" si="8"/>
        <v>ME</v>
      </c>
      <c r="EI26" s="29">
        <f>IF(COUNT(I26:AD26)&lt;5,DZ26,SUMPRODUCT(LARGE(I26:AD26,{1,2,3,4,5}))/5)</f>
        <v>47.343275098887858</v>
      </c>
      <c r="EJ26" s="29">
        <f>IF(COUNT(I26:BE26)&lt;5,DZ26,SUMPRODUCT(LARGE(I26:BE26,{1,2,3,4,5}))/5)</f>
        <v>47.343275098887858</v>
      </c>
      <c r="EK26" s="112">
        <f>IF(COUNT(I26:DY26)&lt;5,AVERAGE(I26:DY26),SUMPRODUCT(LARGE(I26:DY26,{1,2,3,4,5}))/5)</f>
        <v>47.343275098887858</v>
      </c>
      <c r="EL26" s="29">
        <f t="shared" si="10"/>
        <v>46.57937337552918</v>
      </c>
      <c r="EM26" s="116" t="str">
        <f t="shared" si="9"/>
        <v>BARTMAN, KYLE</v>
      </c>
      <c r="EQ26"/>
    </row>
    <row r="27" spans="1:147" x14ac:dyDescent="0.25">
      <c r="A27" s="59">
        <f t="shared" si="11"/>
        <v>24</v>
      </c>
      <c r="B27" s="32" t="s">
        <v>1146</v>
      </c>
      <c r="C27" s="5" t="s">
        <v>6</v>
      </c>
      <c r="D27" s="6" t="s">
        <v>75</v>
      </c>
      <c r="E27" s="6">
        <v>0</v>
      </c>
      <c r="F27" s="6">
        <v>57.852607909142236</v>
      </c>
      <c r="G27" s="5">
        <f t="shared" si="0"/>
        <v>4</v>
      </c>
      <c r="H27" s="8">
        <v>0</v>
      </c>
      <c r="I27" s="107"/>
      <c r="J27" s="7"/>
      <c r="K27" s="74"/>
      <c r="L27" s="7"/>
      <c r="M27" s="74"/>
      <c r="N27" s="74"/>
      <c r="O27" s="7"/>
      <c r="P27" s="74"/>
      <c r="Q27" s="74"/>
      <c r="R27" s="74"/>
      <c r="S27" s="74"/>
      <c r="T27" s="7"/>
      <c r="U27" s="7"/>
      <c r="V27" s="74"/>
      <c r="W27" s="7"/>
      <c r="X27" s="74"/>
      <c r="Y27" s="227"/>
      <c r="Z27" s="228"/>
      <c r="AA27" s="74"/>
      <c r="AB27" s="7"/>
      <c r="AC27" s="74"/>
      <c r="AD27" s="74"/>
      <c r="AE27" s="7"/>
      <c r="AF27" s="74"/>
      <c r="AG27" s="74"/>
      <c r="AH27" s="7"/>
      <c r="AI27" s="7"/>
      <c r="AJ27" s="7"/>
      <c r="AK27" s="7"/>
      <c r="AL27" s="7"/>
      <c r="AM27" s="7"/>
      <c r="AN27" s="7"/>
      <c r="AO27" s="74"/>
      <c r="AP27" s="7"/>
      <c r="AQ27" s="74"/>
      <c r="AR27" s="101"/>
      <c r="AS27" s="7"/>
      <c r="AT27" s="74"/>
      <c r="AU27" s="7"/>
      <c r="AV27" s="74"/>
      <c r="AW27" s="7">
        <f>(INDEX('Race 41'!$E$8:$E$200,(MATCH($B27,'Race 41'!$B$8:$B$200,0)),1))*100</f>
        <v>48.744609903519873</v>
      </c>
      <c r="AX27" s="8">
        <f>(INDEX('Race 42'!$E$8:$E$200,(MATCH($B27,'Race 42'!$B$8:$B$200,0)),1))*100</f>
        <v>66.960605914764599</v>
      </c>
      <c r="AY27" s="36"/>
      <c r="AZ27" s="74"/>
      <c r="BA27" s="74"/>
      <c r="BB27" s="74"/>
      <c r="BC27" s="74"/>
      <c r="BD27" s="7"/>
      <c r="BE27" s="7"/>
      <c r="BF27" s="74"/>
      <c r="BG27" s="74"/>
      <c r="BH27" s="74"/>
      <c r="BI27" s="74"/>
      <c r="BJ27" s="74"/>
      <c r="BK27" s="7"/>
      <c r="BL27" s="74"/>
      <c r="BM27" s="7"/>
      <c r="BN27" s="74"/>
      <c r="BO27" s="74"/>
      <c r="BP27" s="7"/>
      <c r="BQ27" s="7"/>
      <c r="BR27" s="74"/>
      <c r="BS27" s="7"/>
      <c r="BT27" s="7"/>
      <c r="BU27" s="74"/>
      <c r="BV27" s="74"/>
      <c r="BW27" s="74"/>
      <c r="BX27" s="74"/>
      <c r="BY27" s="74"/>
      <c r="BZ27" s="74"/>
      <c r="CA27" s="74"/>
      <c r="CB27" s="74"/>
      <c r="CC27" s="101"/>
      <c r="CD27" s="101"/>
      <c r="CE27" s="7">
        <f>(INDEX('Race 75'!$E$8:$E$200,(MATCH($B27,'Race 75'!$B$8:$B$200,0)),1))*100</f>
        <v>53.503133646244983</v>
      </c>
      <c r="CF27" s="74">
        <f>(INDEX('Race 76'!$E$8:$E$200,(MATCH($B27,'Race 76'!$B$8:$B$200,0)),1))*100</f>
        <v>47.939662273685578</v>
      </c>
      <c r="CG27" s="74"/>
      <c r="CH27" s="7"/>
      <c r="CI27" s="74"/>
      <c r="CJ27" s="74"/>
      <c r="CK27" s="101"/>
      <c r="CL27" s="74"/>
      <c r="CM27" s="74"/>
      <c r="CN27" s="74"/>
      <c r="CO27" s="101"/>
      <c r="CP27" s="74"/>
      <c r="CQ27" s="74"/>
      <c r="CR27" s="74"/>
      <c r="CS27" s="74"/>
      <c r="CT27" s="74"/>
      <c r="CU27" s="74"/>
      <c r="CV27" s="74"/>
      <c r="CW27" s="74"/>
      <c r="CX27" s="7"/>
      <c r="CY27" s="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 s="74"/>
      <c r="DM27" s="74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 s="8">
        <f t="shared" si="1"/>
        <v>54.287002934553755</v>
      </c>
      <c r="EA27" s="3" t="str">
        <f t="shared" si="2"/>
        <v>Batt, Ryan</v>
      </c>
      <c r="EB27" s="2">
        <f t="shared" si="3"/>
        <v>1</v>
      </c>
      <c r="EC27" s="112">
        <f t="shared" si="13"/>
        <v>0</v>
      </c>
      <c r="ED27" s="29">
        <f t="shared" si="4"/>
        <v>53.411061525534983</v>
      </c>
      <c r="EE27" s="2">
        <f t="shared" si="5"/>
        <v>0</v>
      </c>
      <c r="EF27" s="46">
        <f t="shared" si="6"/>
        <v>2</v>
      </c>
      <c r="EG27" s="46">
        <f t="shared" si="7"/>
        <v>4</v>
      </c>
      <c r="EH27" s="29" t="str">
        <f t="shared" si="8"/>
        <v>ID</v>
      </c>
      <c r="EI27" s="29">
        <f>IF(COUNT(I27:AD27)&lt;5,DZ27,SUMPRODUCT(LARGE(I27:AD27,{1,2,3,4,5}))/5)</f>
        <v>54.287002934553755</v>
      </c>
      <c r="EJ27" s="29">
        <f>IF(COUNT(I27:AX27)&lt;5,DZ27,SUMPRODUCT(LARGE(I27:AX27,{1,2,3,4,5}))/5)</f>
        <v>54.287002934553755</v>
      </c>
      <c r="EK27" s="112">
        <f>IF(COUNT(I27:DY27)&lt;5,AVERAGE(I27:DY27),SUMPRODUCT(LARGE(I27:DY27,{1,2,3,4,5}))/5)</f>
        <v>54.287002934553755</v>
      </c>
      <c r="EL27" s="29">
        <f t="shared" si="10"/>
        <v>53.411061525534983</v>
      </c>
      <c r="EM27" s="116" t="str">
        <f t="shared" si="9"/>
        <v>Batt, Ryan</v>
      </c>
      <c r="EQ27"/>
    </row>
    <row r="28" spans="1:147" x14ac:dyDescent="0.25">
      <c r="A28" s="59">
        <f t="shared" si="11"/>
        <v>25</v>
      </c>
      <c r="B28" s="32" t="s">
        <v>700</v>
      </c>
      <c r="C28" s="5" t="s">
        <v>6</v>
      </c>
      <c r="D28" s="6" t="s">
        <v>58</v>
      </c>
      <c r="E28" s="6">
        <v>47.751602901196883</v>
      </c>
      <c r="F28" s="6">
        <v>47.751602901196883</v>
      </c>
      <c r="G28" s="5">
        <f t="shared" si="0"/>
        <v>2</v>
      </c>
      <c r="H28" s="8">
        <v>47.751602901196883</v>
      </c>
      <c r="I28" s="36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227"/>
      <c r="Z28" s="228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4"/>
      <c r="AP28" s="7"/>
      <c r="AQ28" s="74"/>
      <c r="AR28" s="70"/>
      <c r="AS28" s="7"/>
      <c r="AT28" s="70"/>
      <c r="AU28" s="7"/>
      <c r="AV28" s="70"/>
      <c r="AW28" s="7"/>
      <c r="AX28" s="8"/>
      <c r="AY28" s="36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4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>
        <f>(INDEX('Race 75'!$E$8:$E$200,(MATCH($B28,'Race 75'!$B$8:$B$200,0)),1))*100</f>
        <v>57.444756909803793</v>
      </c>
      <c r="CF28" s="7">
        <f>(INDEX('Race 76'!$E$8:$E$200,(MATCH($B28,'Race 76'!$B$8:$B$200,0)),1))*100</f>
        <v>55.879354767649737</v>
      </c>
      <c r="CG28" s="7"/>
      <c r="CH28" s="7"/>
      <c r="CI28" s="7"/>
      <c r="CJ28" s="7"/>
      <c r="CK28" s="101"/>
      <c r="CL28" s="74"/>
      <c r="CM28" s="74"/>
      <c r="CN28" s="74"/>
      <c r="CO28" s="70"/>
      <c r="CP28" s="74"/>
      <c r="CQ28" s="7"/>
      <c r="CR28" s="101"/>
      <c r="CS28" s="101"/>
      <c r="CT28" s="74"/>
      <c r="CU28" s="74"/>
      <c r="CV28" s="7"/>
      <c r="CW28" s="7"/>
      <c r="CX28" s="7"/>
      <c r="CY28" s="7"/>
      <c r="CZ28" s="7"/>
      <c r="DA28" s="7"/>
      <c r="DB28" s="7"/>
      <c r="DC28" s="74"/>
      <c r="DD28" s="7"/>
      <c r="DE28" s="74"/>
      <c r="DF28" s="74"/>
      <c r="DG28" s="74"/>
      <c r="DH28" s="7"/>
      <c r="DI28" s="74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8">
        <f t="shared" si="1"/>
        <v>56.662055838726765</v>
      </c>
      <c r="EA28" s="3" t="str">
        <f t="shared" si="2"/>
        <v>Becker, Jared</v>
      </c>
      <c r="EB28" s="2">
        <f t="shared" si="3"/>
        <v>1</v>
      </c>
      <c r="EC28" s="112">
        <f t="shared" si="13"/>
        <v>47.751602901196883</v>
      </c>
      <c r="ED28" s="29">
        <f t="shared" si="4"/>
        <v>55.74779204912118</v>
      </c>
      <c r="EE28" s="2">
        <f t="shared" si="5"/>
        <v>0</v>
      </c>
      <c r="EF28" s="46">
        <f t="shared" si="6"/>
        <v>0</v>
      </c>
      <c r="EG28" s="46">
        <f t="shared" si="7"/>
        <v>2</v>
      </c>
      <c r="EH28" s="2" t="str">
        <f t="shared" si="8"/>
        <v>MN</v>
      </c>
      <c r="EI28" s="29">
        <f>IF(COUNT(I28:Y28)&lt;5,DZ28,SUMPRODUCT(LARGE(I28:Y28,{1,2,3,4,5}))/5)</f>
        <v>56.662055838726765</v>
      </c>
      <c r="EJ28" s="29">
        <f>IF(COUNT(I28:AX28)&lt;5,DZ28,SUMPRODUCT(LARGE(I28:AX28,{1,2,3,4,5}))/5)</f>
        <v>56.662055838726765</v>
      </c>
      <c r="EK28" s="29">
        <f>IF(COUNT(I28:DY28)&lt;5,AVERAGE(I28:DY28),SUMPRODUCT(LARGE(I28:DY28,{1,2,3,4,5}))/5)</f>
        <v>56.662055838726765</v>
      </c>
      <c r="EL28" s="29">
        <f t="shared" si="10"/>
        <v>55.74779204912118</v>
      </c>
      <c r="EM28" s="116" t="str">
        <f t="shared" si="9"/>
        <v>Becker, Jared</v>
      </c>
      <c r="EQ28"/>
    </row>
    <row r="29" spans="1:147" x14ac:dyDescent="0.25">
      <c r="A29" s="59">
        <f t="shared" si="11"/>
        <v>26</v>
      </c>
      <c r="B29" s="32" t="s">
        <v>1291</v>
      </c>
      <c r="C29" s="5" t="s">
        <v>6</v>
      </c>
      <c r="D29" s="6" t="s">
        <v>122</v>
      </c>
      <c r="E29" s="6">
        <v>0</v>
      </c>
      <c r="F29" s="6">
        <v>0</v>
      </c>
      <c r="G29" s="5">
        <f t="shared" si="0"/>
        <v>2</v>
      </c>
      <c r="H29" s="60">
        <v>0</v>
      </c>
      <c r="I29" s="36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227"/>
      <c r="Z29" s="228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4"/>
      <c r="AP29" s="7"/>
      <c r="AQ29" s="74"/>
      <c r="AR29" s="70"/>
      <c r="AS29" s="7"/>
      <c r="AT29" s="70"/>
      <c r="AU29" s="7"/>
      <c r="AV29" s="70"/>
      <c r="AW29" s="7"/>
      <c r="AX29" s="8"/>
      <c r="AY29" s="10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4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4">
        <f>(INDEX('Race 75'!$E$8:$E$200,(MATCH($B29,'Race 75'!$B$8:$B$200,0)),1))*100</f>
        <v>43.460407928313543</v>
      </c>
      <c r="CF29" s="7">
        <f>(INDEX('Race 76'!$E$8:$E$200,(MATCH($B29,'Race 76'!$B$8:$B$200,0)),1))*100</f>
        <v>46.968197751838673</v>
      </c>
      <c r="CG29" s="7"/>
      <c r="CH29" s="7"/>
      <c r="CI29" s="7"/>
      <c r="CJ29" s="7"/>
      <c r="CK29" s="101"/>
      <c r="CL29" s="74"/>
      <c r="CM29" s="74"/>
      <c r="CN29" s="74"/>
      <c r="CO29" s="70"/>
      <c r="CP29" s="74"/>
      <c r="CQ29" s="7"/>
      <c r="CR29" s="74"/>
      <c r="CS29" s="74"/>
      <c r="CT29" s="74"/>
      <c r="CU29" s="74"/>
      <c r="CV29" s="7"/>
      <c r="CW29" s="7"/>
      <c r="CX29" s="7"/>
      <c r="CY29" s="7"/>
      <c r="CZ29" s="7"/>
      <c r="DA29" s="7"/>
      <c r="DB29" s="7"/>
      <c r="DC29" s="7"/>
      <c r="DD29" s="7"/>
      <c r="DE29" s="74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8">
        <f t="shared" si="1"/>
        <v>45.214302840076108</v>
      </c>
      <c r="EA29" s="3" t="str">
        <f t="shared" si="2"/>
        <v>BECKER, Jordan</v>
      </c>
      <c r="EB29" s="2">
        <f t="shared" si="3"/>
        <v>1</v>
      </c>
      <c r="EC29" s="112">
        <f t="shared" si="13"/>
        <v>0</v>
      </c>
      <c r="ED29" s="29">
        <f t="shared" si="4"/>
        <v>44.484752892636862</v>
      </c>
      <c r="EE29" s="2">
        <f t="shared" si="5"/>
        <v>0</v>
      </c>
      <c r="EF29" s="46">
        <f t="shared" si="6"/>
        <v>0</v>
      </c>
      <c r="EG29" s="46">
        <f t="shared" si="7"/>
        <v>2</v>
      </c>
      <c r="EH29" s="29" t="str">
        <f t="shared" si="8"/>
        <v>ND</v>
      </c>
      <c r="EI29" s="29">
        <f>IF(COUNT(I29:AD29)&lt;5,DZ29,SUMPRODUCT(LARGE(I29:AD29,{1,2,3,4,5}))/5)</f>
        <v>45.214302840076108</v>
      </c>
      <c r="EJ29" s="29">
        <f>IF(COUNT(I29:BE29)&lt;5,DZ29,SUMPRODUCT(LARGE(I29:BE29,{1,2,3,4,5}))/5)</f>
        <v>45.214302840076108</v>
      </c>
      <c r="EK29" s="112">
        <f>IF(COUNT(I29:DY29)&lt;5,AVERAGE(I29:DY29),SUMPRODUCT(LARGE(I29:DY29,{1,2,3,4,5}))/5)</f>
        <v>45.214302840076108</v>
      </c>
      <c r="EL29" s="29">
        <f t="shared" si="10"/>
        <v>44.484752892636862</v>
      </c>
      <c r="EM29" s="116" t="str">
        <f t="shared" si="9"/>
        <v>BECKER, Jordan</v>
      </c>
      <c r="EQ29"/>
    </row>
    <row r="30" spans="1:147" x14ac:dyDescent="0.25">
      <c r="A30" s="59">
        <f t="shared" si="11"/>
        <v>27</v>
      </c>
      <c r="B30" s="186" t="s">
        <v>970</v>
      </c>
      <c r="C30" s="106" t="s">
        <v>6</v>
      </c>
      <c r="D30" s="187" t="s">
        <v>87</v>
      </c>
      <c r="E30" s="6">
        <v>41.854328923749364</v>
      </c>
      <c r="F30" s="6">
        <v>41.854328923749364</v>
      </c>
      <c r="G30" s="5">
        <f t="shared" si="0"/>
        <v>0</v>
      </c>
      <c r="H30" s="8">
        <v>41.854328923749364</v>
      </c>
      <c r="I30" s="107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229"/>
      <c r="Z30" s="230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101"/>
      <c r="AS30" s="74"/>
      <c r="AT30" s="74"/>
      <c r="AU30" s="74"/>
      <c r="AV30" s="74"/>
      <c r="AW30" s="74"/>
      <c r="AX30" s="8"/>
      <c r="AY30" s="36"/>
      <c r="AZ30" s="74"/>
      <c r="BA30" s="74"/>
      <c r="BB30" s="74"/>
      <c r="BC30" s="74"/>
      <c r="BD30" s="7"/>
      <c r="BE30" s="7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"/>
      <c r="BQ30" s="7"/>
      <c r="BR30" s="74"/>
      <c r="BS30" s="7"/>
      <c r="BT30" s="7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101"/>
      <c r="CK30" s="101"/>
      <c r="CL30" s="101"/>
      <c r="CM30" s="74"/>
      <c r="CN30" s="74"/>
      <c r="CO30" s="101"/>
      <c r="CP30" s="74"/>
      <c r="CQ30" s="74"/>
      <c r="CR30" s="74"/>
      <c r="CS30" s="74"/>
      <c r="CT30" s="74"/>
      <c r="CU30" s="74"/>
      <c r="CV30" s="74"/>
      <c r="CW30" s="74"/>
      <c r="CX30" s="7"/>
      <c r="CY30" s="7"/>
      <c r="CZ30" s="74"/>
      <c r="DA30" s="74"/>
      <c r="DB30" s="74"/>
      <c r="DC30" s="74"/>
      <c r="DD30" s="74"/>
      <c r="DE30" s="74"/>
      <c r="DF30" s="74"/>
      <c r="DG30" s="74"/>
      <c r="DH30" s="74"/>
      <c r="DI30" s="74"/>
      <c r="DJ30" s="74"/>
      <c r="DK30" s="74"/>
      <c r="DL30" s="74"/>
      <c r="DM30" s="74"/>
      <c r="DN30" s="74"/>
      <c r="DO30" s="74"/>
      <c r="DP30" s="74"/>
      <c r="DQ30" s="74"/>
      <c r="DR30" s="74"/>
      <c r="DS30" s="74"/>
      <c r="DT30" s="74"/>
      <c r="DU30" s="74"/>
      <c r="DV30" s="74"/>
      <c r="DW30" s="74"/>
      <c r="DX30" s="74"/>
      <c r="DY30" s="74"/>
      <c r="DZ30" s="8">
        <f t="shared" si="1"/>
        <v>41.854328923749364</v>
      </c>
      <c r="EA30" s="3" t="str">
        <f t="shared" si="2"/>
        <v>Becker, Michael</v>
      </c>
      <c r="EB30" s="2">
        <f t="shared" si="3"/>
        <v>0</v>
      </c>
      <c r="EC30" s="112">
        <f t="shared" si="13"/>
        <v>41.854328923749364</v>
      </c>
      <c r="ED30" s="29">
        <f t="shared" si="4"/>
        <v>0</v>
      </c>
      <c r="EE30" s="2">
        <f t="shared" si="5"/>
        <v>0</v>
      </c>
      <c r="EF30" s="46">
        <f t="shared" si="6"/>
        <v>0</v>
      </c>
      <c r="EG30" s="46">
        <f t="shared" si="7"/>
        <v>0</v>
      </c>
      <c r="EH30" s="29" t="str">
        <f t="shared" si="8"/>
        <v>CA</v>
      </c>
      <c r="EI30" s="29">
        <f>IF(COUNT(I30:Y30)&lt;5,DZ30,SUMPRODUCT(LARGE(I30:Y30,{1,2,3,4,5}))/5)</f>
        <v>41.854328923749364</v>
      </c>
      <c r="EJ30" s="29">
        <f>IF(COUNT(I30:AX30)&lt;5,DZ30,SUMPRODUCT(LARGE(I30:AX30,{1,2,3,4,5}))/5)</f>
        <v>41.854328923749364</v>
      </c>
      <c r="EK30" s="112">
        <f>IF(EG30&lt;0,AVERAGE(I30:DY30),0)</f>
        <v>0</v>
      </c>
      <c r="EL30" s="29">
        <f t="shared" si="10"/>
        <v>0</v>
      </c>
      <c r="EM30" s="116" t="str">
        <f t="shared" si="9"/>
        <v>Becker, Michael</v>
      </c>
      <c r="EQ30"/>
    </row>
    <row r="31" spans="1:147" x14ac:dyDescent="0.25">
      <c r="A31" s="59">
        <f t="shared" si="11"/>
        <v>28</v>
      </c>
      <c r="B31" s="186" t="s">
        <v>1028</v>
      </c>
      <c r="C31" s="106" t="s">
        <v>16</v>
      </c>
      <c r="D31" s="187" t="s">
        <v>58</v>
      </c>
      <c r="E31" s="6">
        <v>85.646563457473988</v>
      </c>
      <c r="F31" s="6">
        <v>85.646563457473988</v>
      </c>
      <c r="G31" s="5">
        <f t="shared" si="0"/>
        <v>10</v>
      </c>
      <c r="H31" s="8">
        <v>0</v>
      </c>
      <c r="I31" s="107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">
        <f>(INDEX('Race 14'!$E$8:$E$200,(MATCH($B31,'Race 14'!$B$8:$B$200,0)),1))*100</f>
        <v>85.469970117160955</v>
      </c>
      <c r="W31" s="7">
        <f>(INDEX('Race 15'!$E$8:$E$200,(MATCH($B31,'Race 15'!$B$8:$B$200,0)),1))*100</f>
        <v>79.334899471063949</v>
      </c>
      <c r="X31" s="7">
        <f>(INDEX('Race 16'!$E$8:$E$200,(MATCH($B31,'Race 16'!$B$8:$B$200,0)),1))*100</f>
        <v>91.793255447596849</v>
      </c>
      <c r="Y31" s="227">
        <f>(INDEX('Race 17'!$E$8:$E$200,(MATCH($B31,'Race 17'!$B$8:$B$200,0)),1))*100</f>
        <v>85.9881287940742</v>
      </c>
      <c r="Z31" s="230"/>
      <c r="AA31" s="7"/>
      <c r="AB31" s="7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  <c r="AR31" s="101"/>
      <c r="AS31" s="74"/>
      <c r="AT31" s="101"/>
      <c r="AU31" s="74"/>
      <c r="AV31" s="101"/>
      <c r="AW31" s="74"/>
      <c r="AX31" s="8"/>
      <c r="AY31" s="36"/>
      <c r="AZ31" s="101"/>
      <c r="BA31" s="74"/>
      <c r="BB31" s="74"/>
      <c r="BC31" s="74"/>
      <c r="BD31" s="7"/>
      <c r="BE31" s="7"/>
      <c r="BF31" s="74"/>
      <c r="BG31" s="74"/>
      <c r="BH31" s="74"/>
      <c r="BI31" s="74"/>
      <c r="BJ31" s="74"/>
      <c r="BK31" s="74"/>
      <c r="BL31" s="74"/>
      <c r="BM31" s="74"/>
      <c r="BN31" s="74"/>
      <c r="BO31" s="74"/>
      <c r="BP31" s="7"/>
      <c r="BQ31" s="7"/>
      <c r="BR31" s="74"/>
      <c r="BS31" s="7"/>
      <c r="BT31" s="7"/>
      <c r="BU31" s="7">
        <f>(INDEX('Race 65'!$E$8:$E$200,(MATCH($B31,'Race 65'!$B$8:$B$200,0)),1))*100</f>
        <v>88.964144787481729</v>
      </c>
      <c r="BV31" s="7">
        <f>(INDEX('Race 66'!$E$8:$E$200,(MATCH($B31,'Race 66'!$B$8:$B$200,0)),1))*100</f>
        <v>89.030190115426791</v>
      </c>
      <c r="BW31" s="7">
        <f>(INDEX('Race 67'!$E$8:$E$200,(MATCH($B31,'Race 67'!$B$8:$B$200,0)),1))*100</f>
        <v>87.291643970729197</v>
      </c>
      <c r="BX31" s="7">
        <f>(INDEX('Race 68'!$E$8:$E$200,(MATCH($B31,'Race 68'!$B$8:$B$200,0)),1))*100</f>
        <v>87.758395706971527</v>
      </c>
      <c r="BY31" s="7"/>
      <c r="BZ31" s="7">
        <f>(INDEX('Race 70'!$E$8:$E$200,(MATCH($B31,'Race 70'!$B$8:$B$200,0)),1))*100</f>
        <v>87.661467320302052</v>
      </c>
      <c r="CA31" s="7"/>
      <c r="CB31" s="74"/>
      <c r="CC31" s="7">
        <f>(INDEX('Race 73'!$E$8:$E$200,(MATCH($B31,'Race 73'!$B$8:$B$200,0)),1))*100</f>
        <v>88.156620482767238</v>
      </c>
      <c r="CD31" s="7"/>
      <c r="CE31" s="74"/>
      <c r="CF31" s="74"/>
      <c r="CG31" s="74"/>
      <c r="CH31" s="74"/>
      <c r="CI31" s="74"/>
      <c r="CJ31" s="74"/>
      <c r="CK31" s="101"/>
      <c r="CL31" s="74"/>
      <c r="CM31" s="74"/>
      <c r="CN31" s="74"/>
      <c r="CO31" s="101"/>
      <c r="CP31" s="74"/>
      <c r="CQ31" s="74"/>
      <c r="CR31" s="74"/>
      <c r="CS31" s="74"/>
      <c r="CT31" s="74"/>
      <c r="CU31" s="74"/>
      <c r="CV31" s="74"/>
      <c r="CW31" s="74"/>
      <c r="CX31" s="7"/>
      <c r="CY31" s="7"/>
      <c r="CZ31" s="74"/>
      <c r="DA31" s="74"/>
      <c r="DB31" s="74"/>
      <c r="DC31" s="74"/>
      <c r="DD31" s="74"/>
      <c r="DE31" s="74"/>
      <c r="DF31" s="74"/>
      <c r="DG31" s="74"/>
      <c r="DH31" s="74"/>
      <c r="DI31" s="74"/>
      <c r="DJ31" s="74"/>
      <c r="DK31" s="74"/>
      <c r="DL31" s="74"/>
      <c r="DM31" s="74"/>
      <c r="DN31" s="74"/>
      <c r="DO31" s="74"/>
      <c r="DP31" s="74"/>
      <c r="DQ31" s="74"/>
      <c r="DR31" s="74"/>
      <c r="DS31" s="74"/>
      <c r="DT31" s="74"/>
      <c r="DU31" s="74"/>
      <c r="DV31" s="74"/>
      <c r="DW31" s="74"/>
      <c r="DX31" s="74"/>
      <c r="DY31" s="74"/>
      <c r="DZ31" s="8">
        <f t="shared" si="1"/>
        <v>87.144871621357453</v>
      </c>
      <c r="EA31" s="3" t="str">
        <f t="shared" si="2"/>
        <v xml:space="preserve">Beckrich, Garrett </v>
      </c>
      <c r="EB31" s="2">
        <f t="shared" si="3"/>
        <v>1</v>
      </c>
      <c r="EC31" s="112">
        <f t="shared" si="13"/>
        <v>0</v>
      </c>
      <c r="ED31" s="29">
        <f t="shared" si="4"/>
        <v>87.702205143692296</v>
      </c>
      <c r="EE31" s="2">
        <f t="shared" si="5"/>
        <v>4</v>
      </c>
      <c r="EF31" s="46">
        <f t="shared" si="6"/>
        <v>4</v>
      </c>
      <c r="EG31" s="46">
        <f t="shared" si="7"/>
        <v>10</v>
      </c>
      <c r="EH31" s="29" t="str">
        <f t="shared" si="8"/>
        <v>MN</v>
      </c>
      <c r="EI31" s="29">
        <f>IF(COUNT(I31:Y31)&lt;5,DZ31,SUMPRODUCT(LARGE(I31:Y31,{1,2,3,4,5}))/5)</f>
        <v>87.144871621357453</v>
      </c>
      <c r="EJ31" s="29">
        <f>IF(COUNT(I31:AX31)&lt;5,DZ31,SUMPRODUCT(LARGE(I31:AX31,{1,2,3,4,5}))/5)</f>
        <v>87.144871621357453</v>
      </c>
      <c r="EK31" s="29">
        <f>IF(COUNT(I31:DY31)&lt;5,AVERAGE(I31:DY31),SUMPRODUCT(LARGE(I31:DY31,{1,2,3,4,5}))/5)</f>
        <v>89.140521308048847</v>
      </c>
      <c r="EL31" s="29">
        <f t="shared" si="10"/>
        <v>87.702205143692296</v>
      </c>
      <c r="EM31" s="116" t="str">
        <f t="shared" si="9"/>
        <v xml:space="preserve">Beckrich, Garrett </v>
      </c>
      <c r="EQ31"/>
    </row>
    <row r="32" spans="1:147" x14ac:dyDescent="0.25">
      <c r="A32" s="59">
        <f t="shared" si="11"/>
        <v>29</v>
      </c>
      <c r="B32" s="32" t="s">
        <v>845</v>
      </c>
      <c r="C32" s="5" t="s">
        <v>6</v>
      </c>
      <c r="D32" s="6" t="s">
        <v>58</v>
      </c>
      <c r="E32" s="6">
        <v>43.557289566299225</v>
      </c>
      <c r="F32" s="6">
        <v>43.557289566299225</v>
      </c>
      <c r="G32" s="5">
        <f t="shared" si="0"/>
        <v>1</v>
      </c>
      <c r="H32" s="8">
        <v>54.303932065615079</v>
      </c>
      <c r="I32" s="36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>
        <f>(INDEX('Race 15'!$E$8:$E$200,(MATCH($B32,'Race 15'!$B$8:$B$200,0)),1))*100</f>
        <v>43.557289566299225</v>
      </c>
      <c r="X32" s="7"/>
      <c r="Y32" s="227"/>
      <c r="Z32" s="228"/>
      <c r="AA32" s="7"/>
      <c r="AB32" s="7"/>
      <c r="AC32" s="7"/>
      <c r="AD32" s="14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4"/>
      <c r="AP32" s="7"/>
      <c r="AQ32" s="74"/>
      <c r="AR32" s="70"/>
      <c r="AS32" s="7"/>
      <c r="AT32" s="70"/>
      <c r="AU32" s="7"/>
      <c r="AV32" s="70"/>
      <c r="AW32" s="7"/>
      <c r="AX32" s="8"/>
      <c r="AY32" s="36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4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0"/>
      <c r="BZ32" s="7"/>
      <c r="CA32" s="7"/>
      <c r="CB32" s="7"/>
      <c r="CC32" s="7"/>
      <c r="CD32" s="7"/>
      <c r="CE32" s="74"/>
      <c r="CF32" s="74"/>
      <c r="CG32" s="70"/>
      <c r="CH32" s="7"/>
      <c r="CI32" s="7"/>
      <c r="CJ32" s="7"/>
      <c r="CK32" s="101"/>
      <c r="CL32" s="74"/>
      <c r="CM32" s="74"/>
      <c r="CN32" s="74"/>
      <c r="CO32" s="70"/>
      <c r="CP32" s="74"/>
      <c r="CQ32" s="7"/>
      <c r="CR32" s="74"/>
      <c r="CS32" s="74"/>
      <c r="CT32" s="74"/>
      <c r="CU32" s="74"/>
      <c r="CV32" s="7"/>
      <c r="CW32" s="7"/>
      <c r="CX32" s="7"/>
      <c r="CY32" s="7"/>
      <c r="CZ32" s="7"/>
      <c r="DA32" s="7"/>
      <c r="DB32" s="7"/>
      <c r="DC32" s="7"/>
      <c r="DD32" s="7"/>
      <c r="DE32" s="74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8">
        <f t="shared" si="1"/>
        <v>43.557289566299225</v>
      </c>
      <c r="EA32" s="3" t="str">
        <f t="shared" si="2"/>
        <v>Bedard-Parker, Sean</v>
      </c>
      <c r="EB32" s="2">
        <f t="shared" si="3"/>
        <v>1</v>
      </c>
      <c r="EC32" s="112">
        <f t="shared" si="13"/>
        <v>54.303932065615079</v>
      </c>
      <c r="ED32" s="29">
        <f t="shared" si="4"/>
        <v>42.854476157319191</v>
      </c>
      <c r="EE32" s="2">
        <f t="shared" si="5"/>
        <v>1</v>
      </c>
      <c r="EF32" s="46">
        <f t="shared" si="6"/>
        <v>1</v>
      </c>
      <c r="EG32" s="46">
        <f t="shared" si="7"/>
        <v>1</v>
      </c>
      <c r="EH32" s="29" t="str">
        <f t="shared" si="8"/>
        <v>MN</v>
      </c>
      <c r="EI32" s="29">
        <f>IF(COUNT(I32:Y32)&lt;5,DZ32,SUMPRODUCT(LARGE(I32:Y32,{1,2,3,4,5}))/5)</f>
        <v>43.557289566299225</v>
      </c>
      <c r="EJ32" s="29">
        <f>IF(COUNT(I32:AX32)&lt;5,DZ32,SUMPRODUCT(LARGE(I32:AX32,{1,2,3,4,5}))/5)</f>
        <v>43.557289566299225</v>
      </c>
      <c r="EK32" s="29">
        <f>IF(COUNT(I32:DY32)&lt;5,AVERAGE(I32:DY32),SUMPRODUCT(LARGE(I32:DY32,{1,2,3,4,5}))/5)</f>
        <v>43.557289566299225</v>
      </c>
      <c r="EL32" s="29">
        <f t="shared" si="10"/>
        <v>42.854476157319191</v>
      </c>
      <c r="EM32" s="116" t="str">
        <f t="shared" si="9"/>
        <v>Bedard-Parker, Sean</v>
      </c>
      <c r="EQ32"/>
    </row>
    <row r="33" spans="1:147" x14ac:dyDescent="0.25">
      <c r="A33" s="59">
        <f t="shared" si="11"/>
        <v>30</v>
      </c>
      <c r="B33" s="32" t="s">
        <v>878</v>
      </c>
      <c r="C33" s="5" t="s">
        <v>6</v>
      </c>
      <c r="D33" s="6" t="s">
        <v>87</v>
      </c>
      <c r="E33" s="6">
        <v>26.164378235281418</v>
      </c>
      <c r="F33" s="6">
        <v>26.164378235281418</v>
      </c>
      <c r="G33" s="5">
        <f t="shared" si="0"/>
        <v>0</v>
      </c>
      <c r="H33" s="8">
        <v>26.164378235281418</v>
      </c>
      <c r="I33" s="36"/>
      <c r="J33" s="7"/>
      <c r="K33" s="14"/>
      <c r="L33" s="7"/>
      <c r="M33" s="14"/>
      <c r="N33" s="7"/>
      <c r="O33" s="7"/>
      <c r="P33" s="14"/>
      <c r="Q33" s="7"/>
      <c r="R33" s="14"/>
      <c r="S33" s="7"/>
      <c r="T33" s="7"/>
      <c r="U33" s="7"/>
      <c r="V33" s="7"/>
      <c r="W33" s="7"/>
      <c r="X33" s="7"/>
      <c r="Y33" s="227"/>
      <c r="Z33" s="228"/>
      <c r="AA33" s="7"/>
      <c r="AB33" s="7"/>
      <c r="AC33" s="7"/>
      <c r="AD33" s="7"/>
      <c r="AE33" s="7"/>
      <c r="AF33" s="14"/>
      <c r="AG33" s="7"/>
      <c r="AH33" s="7"/>
      <c r="AI33" s="7"/>
      <c r="AJ33" s="7"/>
      <c r="AK33" s="7"/>
      <c r="AL33" s="7"/>
      <c r="AM33" s="7"/>
      <c r="AN33" s="7"/>
      <c r="AO33" s="74"/>
      <c r="AP33" s="7"/>
      <c r="AQ33" s="74"/>
      <c r="AR33" s="70"/>
      <c r="AS33" s="7"/>
      <c r="AT33" s="70"/>
      <c r="AU33" s="7"/>
      <c r="AV33" s="70"/>
      <c r="AW33" s="7"/>
      <c r="AX33" s="183"/>
      <c r="AY33" s="107"/>
      <c r="AZ33" s="14"/>
      <c r="BA33" s="14"/>
      <c r="BB33" s="14"/>
      <c r="BC33" s="7"/>
      <c r="BD33" s="7"/>
      <c r="BE33" s="7"/>
      <c r="BF33" s="14"/>
      <c r="BG33" s="7"/>
      <c r="BH33" s="7"/>
      <c r="BI33" s="14"/>
      <c r="BJ33" s="14"/>
      <c r="BK33" s="7"/>
      <c r="BL33" s="14"/>
      <c r="BM33" s="7"/>
      <c r="BN33" s="103"/>
      <c r="BO33" s="14"/>
      <c r="BP33" s="7"/>
      <c r="BQ33" s="7"/>
      <c r="BR33" s="7"/>
      <c r="BS33" s="7"/>
      <c r="BT33" s="7"/>
      <c r="BU33" s="7"/>
      <c r="BV33" s="7"/>
      <c r="BW33" s="7"/>
      <c r="BX33" s="7"/>
      <c r="BY33" s="14"/>
      <c r="BZ33" s="14"/>
      <c r="CA33" s="7"/>
      <c r="CB33" s="7"/>
      <c r="CC33" s="14"/>
      <c r="CD33" s="7"/>
      <c r="CE33" s="7"/>
      <c r="CF33" s="14"/>
      <c r="CG33" s="7"/>
      <c r="CH33" s="70"/>
      <c r="CI33" s="70"/>
      <c r="CJ33" s="14"/>
      <c r="CK33" s="101"/>
      <c r="CL33" s="74"/>
      <c r="CM33" s="74"/>
      <c r="CN33" s="74"/>
      <c r="CO33" s="70"/>
      <c r="CP33" s="74"/>
      <c r="CQ33" s="7"/>
      <c r="CR33" s="74"/>
      <c r="CS33" s="74"/>
      <c r="CT33" s="74"/>
      <c r="CU33" s="74"/>
      <c r="CV33" s="7"/>
      <c r="CW33" s="7"/>
      <c r="CX33" s="7"/>
      <c r="CY33" s="7"/>
      <c r="CZ33" s="7"/>
      <c r="DA33" s="14"/>
      <c r="DB33" s="14"/>
      <c r="DC33" s="14"/>
      <c r="DD33" s="14"/>
      <c r="DE33" s="74"/>
      <c r="DF33" s="74"/>
      <c r="DG33" s="74"/>
      <c r="DH33" s="7"/>
      <c r="DI33" s="74"/>
      <c r="DJ33" s="14"/>
      <c r="DK33" s="7"/>
      <c r="DL33" s="7"/>
      <c r="DM33" s="14"/>
      <c r="DN33" s="14"/>
      <c r="DO33" s="14"/>
      <c r="DP33" s="7"/>
      <c r="DQ33" s="14"/>
      <c r="DR33" s="7"/>
      <c r="DS33" s="7"/>
      <c r="DT33" s="7"/>
      <c r="DU33" s="7"/>
      <c r="DV33" s="14"/>
      <c r="DW33" s="7"/>
      <c r="DX33" s="7"/>
      <c r="DY33" s="14"/>
      <c r="DZ33" s="8">
        <f t="shared" si="1"/>
        <v>26.164378235281418</v>
      </c>
      <c r="EA33" s="3" t="str">
        <f t="shared" si="2"/>
        <v>BEESON, James</v>
      </c>
      <c r="EB33" s="2">
        <f t="shared" si="3"/>
        <v>0</v>
      </c>
      <c r="EC33" s="112">
        <f t="shared" si="13"/>
        <v>26.164378235281418</v>
      </c>
      <c r="ED33" s="29">
        <f t="shared" si="4"/>
        <v>0</v>
      </c>
      <c r="EE33" s="2">
        <f t="shared" si="5"/>
        <v>0</v>
      </c>
      <c r="EF33" s="46">
        <f t="shared" si="6"/>
        <v>0</v>
      </c>
      <c r="EG33" s="46">
        <f t="shared" si="7"/>
        <v>0</v>
      </c>
      <c r="EH33" s="29" t="str">
        <f t="shared" si="8"/>
        <v>CA</v>
      </c>
      <c r="EI33" s="29">
        <f>IF(COUNT(I33:Y33)&lt;5,DZ33,SUMPRODUCT(LARGE(I33:Y33,{1,2,3,4,5}))/5)</f>
        <v>26.164378235281418</v>
      </c>
      <c r="EJ33" s="29">
        <f>IF(COUNT(I33:AX33)&lt;5,DZ33,SUMPRODUCT(LARGE(I33:AX33,{1,2,3,4,5}))/5)</f>
        <v>26.164378235281418</v>
      </c>
      <c r="EK33" s="112">
        <f>IF(EG33&lt;0,AVERAGE(I33:DY33),0)</f>
        <v>0</v>
      </c>
      <c r="EL33" s="29">
        <f t="shared" si="10"/>
        <v>0</v>
      </c>
      <c r="EM33" s="116" t="str">
        <f t="shared" si="9"/>
        <v>BEESON, James</v>
      </c>
      <c r="EQ33"/>
    </row>
    <row r="34" spans="1:147" x14ac:dyDescent="0.25">
      <c r="A34" s="59">
        <f t="shared" si="11"/>
        <v>31</v>
      </c>
      <c r="B34" s="32" t="s">
        <v>818</v>
      </c>
      <c r="C34" s="5" t="s">
        <v>6</v>
      </c>
      <c r="D34" s="6" t="s">
        <v>63</v>
      </c>
      <c r="E34" s="6">
        <v>62.817150612854775</v>
      </c>
      <c r="F34" s="6">
        <v>62.817150612854775</v>
      </c>
      <c r="G34" s="5">
        <f t="shared" si="0"/>
        <v>0</v>
      </c>
      <c r="H34" s="8">
        <v>62.817150612854775</v>
      </c>
      <c r="I34" s="36"/>
      <c r="J34" s="7"/>
      <c r="K34" s="14"/>
      <c r="L34" s="7"/>
      <c r="M34" s="14"/>
      <c r="N34" s="7"/>
      <c r="O34" s="7"/>
      <c r="P34" s="14"/>
      <c r="Q34" s="14"/>
      <c r="R34" s="14"/>
      <c r="S34" s="14"/>
      <c r="T34" s="7"/>
      <c r="U34" s="7"/>
      <c r="V34" s="7"/>
      <c r="W34" s="7"/>
      <c r="X34" s="14"/>
      <c r="Y34" s="227"/>
      <c r="Z34" s="228"/>
      <c r="AA34" s="14"/>
      <c r="AB34" s="7"/>
      <c r="AC34" s="7"/>
      <c r="AD34" s="14"/>
      <c r="AE34" s="7"/>
      <c r="AF34" s="14"/>
      <c r="AG34" s="7"/>
      <c r="AH34" s="7"/>
      <c r="AI34" s="7"/>
      <c r="AJ34" s="7"/>
      <c r="AK34" s="7"/>
      <c r="AL34" s="7"/>
      <c r="AM34" s="7"/>
      <c r="AN34" s="7"/>
      <c r="AO34" s="74"/>
      <c r="AP34" s="7"/>
      <c r="AQ34" s="74"/>
      <c r="AR34" s="70"/>
      <c r="AS34" s="7"/>
      <c r="AT34" s="7"/>
      <c r="AU34" s="7"/>
      <c r="AV34" s="7"/>
      <c r="AW34" s="7"/>
      <c r="AX34" s="183"/>
      <c r="AY34" s="107"/>
      <c r="AZ34" s="14"/>
      <c r="BA34" s="14"/>
      <c r="BB34" s="14"/>
      <c r="BC34" s="7"/>
      <c r="BD34" s="7"/>
      <c r="BE34" s="7"/>
      <c r="BF34" s="14"/>
      <c r="BG34" s="14"/>
      <c r="BH34" s="14"/>
      <c r="BI34" s="14"/>
      <c r="BJ34" s="14"/>
      <c r="BK34" s="7"/>
      <c r="BL34" s="14"/>
      <c r="BM34" s="7"/>
      <c r="BN34" s="103"/>
      <c r="BO34" s="14"/>
      <c r="BP34" s="7"/>
      <c r="BQ34" s="7"/>
      <c r="BR34" s="7"/>
      <c r="BS34" s="7"/>
      <c r="BT34" s="7"/>
      <c r="BU34" s="7"/>
      <c r="BV34" s="7"/>
      <c r="BW34" s="7"/>
      <c r="BX34" s="7"/>
      <c r="BY34" s="14"/>
      <c r="BZ34" s="14"/>
      <c r="CA34" s="7"/>
      <c r="CB34" s="7"/>
      <c r="CC34" s="14"/>
      <c r="CD34" s="7"/>
      <c r="CE34" s="7"/>
      <c r="CF34" s="14"/>
      <c r="CG34" s="7"/>
      <c r="CH34" s="14"/>
      <c r="CI34" s="14"/>
      <c r="CJ34" s="14"/>
      <c r="CK34" s="101"/>
      <c r="CL34" s="74"/>
      <c r="CM34" s="74"/>
      <c r="CN34" s="74"/>
      <c r="CO34" s="70"/>
      <c r="CP34" s="74"/>
      <c r="CQ34" s="7"/>
      <c r="CR34" s="74"/>
      <c r="CS34" s="74"/>
      <c r="CT34" s="101"/>
      <c r="CU34" s="74"/>
      <c r="CV34" s="7"/>
      <c r="CW34" s="7"/>
      <c r="CX34" s="7"/>
      <c r="CY34" s="7"/>
      <c r="CZ34" s="7"/>
      <c r="DA34" s="14"/>
      <c r="DB34" s="14"/>
      <c r="DC34" s="14"/>
      <c r="DD34" s="14"/>
      <c r="DE34" s="74"/>
      <c r="DF34" s="7"/>
      <c r="DG34" s="7"/>
      <c r="DH34" s="7"/>
      <c r="DI34" s="7"/>
      <c r="DJ34" s="14"/>
      <c r="DK34" s="7"/>
      <c r="DL34" s="7"/>
      <c r="DM34" s="14"/>
      <c r="DN34" s="14"/>
      <c r="DO34" s="14"/>
      <c r="DP34" s="14"/>
      <c r="DQ34" s="14"/>
      <c r="DR34" s="7"/>
      <c r="DS34" s="7"/>
      <c r="DT34" s="7"/>
      <c r="DU34" s="7"/>
      <c r="DV34" s="14"/>
      <c r="DW34" s="14"/>
      <c r="DX34" s="14"/>
      <c r="DY34" s="14"/>
      <c r="DZ34" s="8">
        <f t="shared" si="1"/>
        <v>62.817150612854775</v>
      </c>
      <c r="EA34" s="22" t="str">
        <f t="shared" si="2"/>
        <v>Berg, Chris</v>
      </c>
      <c r="EB34" s="56">
        <f t="shared" si="3"/>
        <v>0</v>
      </c>
      <c r="EC34" s="112">
        <f t="shared" si="13"/>
        <v>62.817150612854775</v>
      </c>
      <c r="ED34" s="112">
        <f t="shared" si="4"/>
        <v>0</v>
      </c>
      <c r="EE34" s="56">
        <f t="shared" si="5"/>
        <v>0</v>
      </c>
      <c r="EF34" s="111">
        <f t="shared" si="6"/>
        <v>0</v>
      </c>
      <c r="EG34" s="111">
        <f t="shared" si="7"/>
        <v>0</v>
      </c>
      <c r="EH34" s="112" t="str">
        <f t="shared" si="8"/>
        <v>VT</v>
      </c>
      <c r="EI34" s="112">
        <f>IF(COUNT(I34:Y34)&lt;5,DZ34,SUMPRODUCT(LARGE(I34:Y34,{1,2,3,4,5}))/5)</f>
        <v>62.817150612854775</v>
      </c>
      <c r="EJ34" s="112">
        <f>IF(COUNT(I34:AX34)&lt;5,DZ34,SUMPRODUCT(LARGE(I34:AX34,{1,2,3,4,5}))/5)</f>
        <v>62.817150612854775</v>
      </c>
      <c r="EK34" s="112">
        <f>IF(EG34&lt;0,AVERAGE(I34:DY34),0)</f>
        <v>0</v>
      </c>
      <c r="EL34" s="112">
        <f t="shared" si="10"/>
        <v>0</v>
      </c>
      <c r="EM34" s="163" t="str">
        <f t="shared" si="9"/>
        <v>Berg, Chris</v>
      </c>
      <c r="EQ34"/>
    </row>
    <row r="35" spans="1:147" x14ac:dyDescent="0.25">
      <c r="A35" s="59">
        <f t="shared" si="11"/>
        <v>32</v>
      </c>
      <c r="B35" s="32" t="s">
        <v>857</v>
      </c>
      <c r="C35" s="5" t="s">
        <v>6</v>
      </c>
      <c r="D35" s="6" t="s">
        <v>89</v>
      </c>
      <c r="E35" s="6">
        <v>49.631093114644997</v>
      </c>
      <c r="F35" s="6">
        <v>49.631093114644997</v>
      </c>
      <c r="G35" s="5">
        <f t="shared" si="0"/>
        <v>0</v>
      </c>
      <c r="H35" s="8">
        <v>49.631093114644997</v>
      </c>
      <c r="I35" s="36"/>
      <c r="J35" s="7"/>
      <c r="K35" s="14"/>
      <c r="L35" s="7"/>
      <c r="M35" s="14"/>
      <c r="N35" s="7"/>
      <c r="O35" s="7"/>
      <c r="P35" s="14"/>
      <c r="Q35" s="14"/>
      <c r="R35" s="14"/>
      <c r="S35" s="14"/>
      <c r="T35" s="7"/>
      <c r="U35" s="7"/>
      <c r="V35" s="14"/>
      <c r="W35" s="7"/>
      <c r="X35" s="7"/>
      <c r="Y35" s="227"/>
      <c r="Z35" s="228"/>
      <c r="AA35" s="7"/>
      <c r="AB35" s="7"/>
      <c r="AC35" s="7"/>
      <c r="AD35" s="14"/>
      <c r="AE35" s="7"/>
      <c r="AF35" s="14"/>
      <c r="AG35" s="7"/>
      <c r="AH35" s="7"/>
      <c r="AI35" s="7"/>
      <c r="AJ35" s="7"/>
      <c r="AK35" s="7"/>
      <c r="AL35" s="7"/>
      <c r="AM35" s="7"/>
      <c r="AN35" s="7"/>
      <c r="AO35" s="74"/>
      <c r="AP35" s="7"/>
      <c r="AQ35" s="74"/>
      <c r="AR35" s="70"/>
      <c r="AS35" s="7"/>
      <c r="AT35" s="70"/>
      <c r="AU35" s="7"/>
      <c r="AV35" s="70"/>
      <c r="AW35" s="7"/>
      <c r="AX35" s="8"/>
      <c r="AY35" s="36"/>
      <c r="AZ35" s="14"/>
      <c r="BA35" s="14"/>
      <c r="BB35" s="14"/>
      <c r="BC35" s="7"/>
      <c r="BD35" s="7"/>
      <c r="BE35" s="7"/>
      <c r="BF35" s="14"/>
      <c r="BG35" s="14"/>
      <c r="BH35" s="14"/>
      <c r="BI35" s="14"/>
      <c r="BJ35" s="14"/>
      <c r="BK35" s="7"/>
      <c r="BL35" s="14"/>
      <c r="BM35" s="7"/>
      <c r="BN35" s="103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14"/>
      <c r="BZ35" s="14"/>
      <c r="CA35" s="7"/>
      <c r="CB35" s="7"/>
      <c r="CC35" s="14"/>
      <c r="CD35" s="7"/>
      <c r="CE35" s="7"/>
      <c r="CF35" s="14"/>
      <c r="CG35" s="7"/>
      <c r="CH35" s="14"/>
      <c r="CI35" s="14"/>
      <c r="CJ35" s="14"/>
      <c r="CK35" s="101"/>
      <c r="CL35" s="74"/>
      <c r="CM35" s="74"/>
      <c r="CN35" s="74"/>
      <c r="CO35" s="70"/>
      <c r="CP35" s="74"/>
      <c r="CQ35" s="7"/>
      <c r="CR35" s="74"/>
      <c r="CS35" s="74"/>
      <c r="CT35" s="74"/>
      <c r="CU35" s="74"/>
      <c r="CV35" s="7"/>
      <c r="CW35" s="7"/>
      <c r="CX35" s="7"/>
      <c r="CY35" s="7"/>
      <c r="CZ35" s="7"/>
      <c r="DA35" s="14"/>
      <c r="DB35" s="14"/>
      <c r="DC35" s="14"/>
      <c r="DD35" s="14"/>
      <c r="DE35" s="74"/>
      <c r="DF35" s="74"/>
      <c r="DG35" s="74"/>
      <c r="DH35" s="7"/>
      <c r="DI35" s="74"/>
      <c r="DJ35" s="14"/>
      <c r="DK35" s="7"/>
      <c r="DL35" s="7"/>
      <c r="DM35" s="14"/>
      <c r="DN35" s="14"/>
      <c r="DO35" s="14"/>
      <c r="DP35" s="14"/>
      <c r="DQ35" s="14"/>
      <c r="DR35" s="7"/>
      <c r="DS35" s="7"/>
      <c r="DT35" s="14"/>
      <c r="DU35" s="7"/>
      <c r="DV35" s="14"/>
      <c r="DW35" s="14"/>
      <c r="DX35" s="14"/>
      <c r="DY35" s="14"/>
      <c r="DZ35" s="8">
        <f t="shared" si="1"/>
        <v>49.631093114644997</v>
      </c>
      <c r="EA35" s="3" t="str">
        <f t="shared" si="2"/>
        <v>BESSMAN, Joseph</v>
      </c>
      <c r="EB35" s="2">
        <f t="shared" si="3"/>
        <v>0</v>
      </c>
      <c r="EC35" s="112">
        <f t="shared" si="13"/>
        <v>49.631093114644997</v>
      </c>
      <c r="ED35" s="29">
        <f t="shared" si="4"/>
        <v>0</v>
      </c>
      <c r="EE35" s="2">
        <f t="shared" si="5"/>
        <v>0</v>
      </c>
      <c r="EF35" s="46">
        <f t="shared" si="6"/>
        <v>0</v>
      </c>
      <c r="EG35" s="46">
        <f t="shared" si="7"/>
        <v>0</v>
      </c>
      <c r="EH35" s="29" t="str">
        <f t="shared" si="8"/>
        <v>OR</v>
      </c>
      <c r="EI35" s="29">
        <f>IF(COUNT(I35:Y35)&lt;5,DZ35,SUMPRODUCT(LARGE(I35:Y35,{1,2,3,4,5}))/5)</f>
        <v>49.631093114644997</v>
      </c>
      <c r="EJ35" s="29">
        <f>IF(COUNT(I35:AX35)&lt;5,DZ35,SUMPRODUCT(LARGE(I35:AX35,{1,2,3,4,5}))/5)</f>
        <v>49.631093114644997</v>
      </c>
      <c r="EK35" s="112">
        <f>IF(EG35&lt;0,AVERAGE(I35:DY35),0)</f>
        <v>0</v>
      </c>
      <c r="EL35" s="29">
        <f t="shared" si="10"/>
        <v>0</v>
      </c>
      <c r="EM35" s="116" t="str">
        <f t="shared" si="9"/>
        <v>BESSMAN, Joseph</v>
      </c>
      <c r="EQ35"/>
    </row>
    <row r="36" spans="1:147" x14ac:dyDescent="0.25">
      <c r="A36" s="59">
        <f t="shared" si="11"/>
        <v>33</v>
      </c>
      <c r="B36" s="32" t="s">
        <v>733</v>
      </c>
      <c r="C36" s="5" t="s">
        <v>6</v>
      </c>
      <c r="D36" s="6" t="s">
        <v>63</v>
      </c>
      <c r="E36" s="6">
        <v>65.363286458323827</v>
      </c>
      <c r="F36" s="6">
        <v>66.595123596656933</v>
      </c>
      <c r="G36" s="5">
        <f t="shared" si="0"/>
        <v>9</v>
      </c>
      <c r="H36" s="8">
        <v>65.363286458323827</v>
      </c>
      <c r="I36" s="36"/>
      <c r="J36" s="7"/>
      <c r="K36" s="14"/>
      <c r="L36" s="7"/>
      <c r="M36" s="7"/>
      <c r="N36" s="7"/>
      <c r="O36" s="7"/>
      <c r="P36" s="14"/>
      <c r="Q36" s="14"/>
      <c r="R36" s="7"/>
      <c r="S36" s="14"/>
      <c r="T36" s="7"/>
      <c r="U36" s="7"/>
      <c r="V36" s="14"/>
      <c r="W36" s="7"/>
      <c r="X36" s="7"/>
      <c r="Y36" s="227"/>
      <c r="Z36" s="228"/>
      <c r="AA36" s="7"/>
      <c r="AB36" s="7"/>
      <c r="AC36" s="14"/>
      <c r="AD36" s="14"/>
      <c r="AE36" s="7"/>
      <c r="AF36" s="14"/>
      <c r="AG36" s="7"/>
      <c r="AH36" s="7"/>
      <c r="AI36" s="7"/>
      <c r="AJ36" s="7"/>
      <c r="AK36" s="7"/>
      <c r="AL36" s="7"/>
      <c r="AM36" s="7"/>
      <c r="AN36" s="7"/>
      <c r="AO36" s="74"/>
      <c r="AP36" s="7"/>
      <c r="AQ36" s="74"/>
      <c r="AR36" s="70"/>
      <c r="AS36" s="7"/>
      <c r="AT36" s="101">
        <f>(INDEX('Race 38'!$E$8:$E$200,(MATCH($B36,'Race 38'!$B$8:$B$200,0)),1))*100</f>
        <v>67.978221776664668</v>
      </c>
      <c r="AU36" s="74"/>
      <c r="AV36" s="101"/>
      <c r="AW36" s="74"/>
      <c r="AX36" s="184"/>
      <c r="AY36" s="36">
        <f>(INDEX('Race 43'!$E$8:$E$200,(MATCH($B36,'Race 43'!$B$8:$B$200,0)),1))*100</f>
        <v>66.047180936761038</v>
      </c>
      <c r="AZ36" s="14"/>
      <c r="BA36" s="14"/>
      <c r="BB36" s="14">
        <f>(INDEX('Race 46'!$E$8:$E$200,(MATCH($B36,'Race 46'!$B$8:$B$200,0)),1))*100</f>
        <v>64.817145777801031</v>
      </c>
      <c r="BC36" s="7"/>
      <c r="BD36" s="7"/>
      <c r="BE36" s="7">
        <f>(INDEX('Race 49'!$E$8:$E$200,(MATCH($B36,'Race 49'!$B$8:$B$200,0)),1))*100</f>
        <v>67.030574371237691</v>
      </c>
      <c r="BF36" s="14"/>
      <c r="BG36" s="14"/>
      <c r="BH36" s="14"/>
      <c r="BI36" s="14"/>
      <c r="BJ36" s="103">
        <f>(INDEX('Race 54'!$E$8:$E$200,(MATCH($B36,'Race 54'!$B$8:$B$200,0)),1))*100</f>
        <v>67.348304520025337</v>
      </c>
      <c r="BK36" s="14"/>
      <c r="BL36" s="14"/>
      <c r="BM36" s="74">
        <f>(INDEX('Race 57'!$E$8:$E$200,(MATCH($B36,'Race 57'!$B$8:$B$200,0)),1))*100</f>
        <v>70.351410427290418</v>
      </c>
      <c r="BN36" s="103"/>
      <c r="BO36" s="14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14"/>
      <c r="CD36" s="7"/>
      <c r="CE36" s="7"/>
      <c r="CF36" s="14"/>
      <c r="CG36" s="7"/>
      <c r="CH36" s="14"/>
      <c r="CI36" s="14"/>
      <c r="CJ36" s="14"/>
      <c r="CK36" s="101"/>
      <c r="CL36" s="74"/>
      <c r="CM36" s="74"/>
      <c r="CN36" s="74"/>
      <c r="CO36" s="7">
        <f>(INDEX('Race 85'!$E$8:$E$200,(MATCH($B36,'Race 85'!$B$8:$B$200,0)),1))*100</f>
        <v>62.081378524982412</v>
      </c>
      <c r="CP36" s="74"/>
      <c r="CQ36" s="7">
        <f>(INDEX('Race 87'!$E$8:$E$200,(MATCH($B36,'Race 87'!$B$8:$B$200,0)),1))*100</f>
        <v>61.454908198711088</v>
      </c>
      <c r="CR36" s="74"/>
      <c r="CS36" s="74"/>
      <c r="CT36" s="74"/>
      <c r="CU36" s="74"/>
      <c r="CV36" s="7">
        <f>(INDEX('Race 92'!$E$8:$E$200,(MATCH($B36,'Race 92'!$B$8:$B$200,0)),1))*100</f>
        <v>58.261442585207149</v>
      </c>
      <c r="CW36" s="7"/>
      <c r="CX36" s="7"/>
      <c r="CY36" s="7"/>
      <c r="CZ36" s="7"/>
      <c r="DA36" s="14"/>
      <c r="DB36" s="14"/>
      <c r="DC36" s="103"/>
      <c r="DD36" s="7"/>
      <c r="DE36" s="74"/>
      <c r="DF36" s="74"/>
      <c r="DG36" s="74"/>
      <c r="DH36" s="7"/>
      <c r="DI36" s="74"/>
      <c r="DJ36" s="7"/>
      <c r="DK36" s="7"/>
      <c r="DL36" s="7"/>
      <c r="DM36" s="7"/>
      <c r="DN36" s="14"/>
      <c r="DO36" s="14"/>
      <c r="DP36" s="14"/>
      <c r="DQ36" s="14"/>
      <c r="DR36" s="7"/>
      <c r="DS36" s="7"/>
      <c r="DT36" s="14"/>
      <c r="DU36" s="7"/>
      <c r="DV36" s="14"/>
      <c r="DW36" s="14"/>
      <c r="DX36" s="14"/>
      <c r="DY36" s="14"/>
      <c r="DZ36" s="8">
        <f t="shared" si="1"/>
        <v>65.041174124297882</v>
      </c>
      <c r="EA36" s="3" t="str">
        <f t="shared" si="2"/>
        <v>Betournay, Scott</v>
      </c>
      <c r="EB36" s="2">
        <f t="shared" si="3"/>
        <v>1</v>
      </c>
      <c r="EC36" s="112">
        <f t="shared" si="13"/>
        <v>65.363286458323827</v>
      </c>
      <c r="ED36" s="29">
        <f t="shared" si="4"/>
        <v>66.657948058240677</v>
      </c>
      <c r="EE36" s="2">
        <f t="shared" si="5"/>
        <v>0</v>
      </c>
      <c r="EF36" s="46">
        <f t="shared" si="6"/>
        <v>6</v>
      </c>
      <c r="EG36" s="46">
        <f t="shared" si="7"/>
        <v>9</v>
      </c>
      <c r="EH36" s="2" t="str">
        <f t="shared" si="8"/>
        <v>VT</v>
      </c>
      <c r="EI36" s="29">
        <f>IF(COUNT(I36:Y36)&lt;5,DZ36,SUMPRODUCT(LARGE(I36:Y36,{1,2,3,4,5}))/5)</f>
        <v>65.041174124297882</v>
      </c>
      <c r="EJ36" s="29">
        <f>IF(COUNT(I36:AX36)&lt;5,DZ36,SUMPRODUCT(LARGE(I36:AX36,{1,2,3,4,5}))/5)</f>
        <v>65.041174124297882</v>
      </c>
      <c r="EK36" s="29">
        <f>IF(COUNT(I36:DY36)&lt;5,AVERAGE(I36:DY36),SUMPRODUCT(LARGE(I36:DY36,{1,2,3,4,5}))/5)</f>
        <v>67.751138406395825</v>
      </c>
      <c r="EL36" s="29">
        <f t="shared" si="10"/>
        <v>66.657948058240677</v>
      </c>
      <c r="EM36" s="116" t="str">
        <f t="shared" si="9"/>
        <v>Betournay, Scott</v>
      </c>
      <c r="EQ36"/>
    </row>
    <row r="37" spans="1:147" x14ac:dyDescent="0.25">
      <c r="A37" s="59">
        <f t="shared" si="11"/>
        <v>34</v>
      </c>
      <c r="B37" s="32" t="s">
        <v>801</v>
      </c>
      <c r="C37" s="5" t="s">
        <v>6</v>
      </c>
      <c r="D37" s="6" t="s">
        <v>62</v>
      </c>
      <c r="E37" s="6">
        <v>32.342782710051459</v>
      </c>
      <c r="F37" s="6">
        <v>37.864959554198414</v>
      </c>
      <c r="G37" s="5">
        <f t="shared" si="0"/>
        <v>1</v>
      </c>
      <c r="H37" s="8">
        <v>32.342782710051459</v>
      </c>
      <c r="I37" s="36"/>
      <c r="J37" s="7"/>
      <c r="K37" s="14"/>
      <c r="L37" s="7"/>
      <c r="M37" s="14"/>
      <c r="N37" s="7"/>
      <c r="O37" s="7"/>
      <c r="P37" s="14"/>
      <c r="Q37" s="7"/>
      <c r="R37" s="7"/>
      <c r="S37" s="14"/>
      <c r="T37" s="7"/>
      <c r="U37" s="7"/>
      <c r="V37" s="14"/>
      <c r="W37" s="7"/>
      <c r="X37" s="14"/>
      <c r="Y37" s="227"/>
      <c r="Z37" s="228"/>
      <c r="AA37" s="7"/>
      <c r="AB37" s="7"/>
      <c r="AC37" s="14"/>
      <c r="AD37" s="7"/>
      <c r="AE37" s="7"/>
      <c r="AF37" s="14"/>
      <c r="AG37" s="7"/>
      <c r="AH37" s="7"/>
      <c r="AI37" s="7"/>
      <c r="AJ37" s="7"/>
      <c r="AK37" s="7"/>
      <c r="AL37" s="74">
        <f>(INDEX('Race 30'!$E$8:$E$200,(MATCH($B37,'Race 30'!$B$8:$B$200,0)),1))*100</f>
        <v>37.864959554198414</v>
      </c>
      <c r="AM37" s="7"/>
      <c r="AN37" s="7"/>
      <c r="AO37" s="74"/>
      <c r="AP37" s="7"/>
      <c r="AQ37" s="74"/>
      <c r="AR37" s="70"/>
      <c r="AS37" s="7"/>
      <c r="AT37" s="70"/>
      <c r="AU37" s="7"/>
      <c r="AV37" s="70"/>
      <c r="AW37" s="7"/>
      <c r="AX37" s="184"/>
      <c r="AY37" s="207"/>
      <c r="AZ37" s="7"/>
      <c r="BA37" s="14"/>
      <c r="BB37" s="14"/>
      <c r="BC37" s="7"/>
      <c r="BD37" s="7"/>
      <c r="BE37" s="7"/>
      <c r="BF37" s="14"/>
      <c r="BG37" s="14"/>
      <c r="BH37" s="14"/>
      <c r="BI37" s="14"/>
      <c r="BJ37" s="14"/>
      <c r="BK37" s="7"/>
      <c r="BL37" s="14"/>
      <c r="BM37" s="7"/>
      <c r="BN37" s="103"/>
      <c r="BO37" s="14"/>
      <c r="BP37" s="7"/>
      <c r="BQ37" s="7"/>
      <c r="BR37" s="7"/>
      <c r="BS37" s="7"/>
      <c r="BT37" s="7"/>
      <c r="BU37" s="7"/>
      <c r="BV37" s="7"/>
      <c r="BW37" s="7"/>
      <c r="BX37" s="7"/>
      <c r="BY37" s="14"/>
      <c r="BZ37" s="14"/>
      <c r="CA37" s="7"/>
      <c r="CB37" s="7"/>
      <c r="CC37" s="14"/>
      <c r="CD37" s="7"/>
      <c r="CE37" s="7"/>
      <c r="CF37" s="14"/>
      <c r="CG37" s="7"/>
      <c r="CH37" s="7"/>
      <c r="CI37" s="7"/>
      <c r="CJ37" s="7"/>
      <c r="CK37" s="101"/>
      <c r="CL37" s="74"/>
      <c r="CM37" s="74"/>
      <c r="CN37" s="74"/>
      <c r="CO37" s="70"/>
      <c r="CP37" s="74"/>
      <c r="CQ37" s="7"/>
      <c r="CR37" s="74"/>
      <c r="CS37" s="74"/>
      <c r="CT37" s="74"/>
      <c r="CU37" s="74"/>
      <c r="CV37" s="7"/>
      <c r="CW37" s="7"/>
      <c r="CX37" s="7"/>
      <c r="CY37" s="7"/>
      <c r="CZ37" s="7"/>
      <c r="DA37" s="14"/>
      <c r="DB37" s="14"/>
      <c r="DC37" s="14"/>
      <c r="DD37" s="14"/>
      <c r="DE37" s="74"/>
      <c r="DF37" s="7"/>
      <c r="DG37" s="7"/>
      <c r="DH37" s="7"/>
      <c r="DI37" s="7"/>
      <c r="DJ37" s="14"/>
      <c r="DK37" s="7"/>
      <c r="DL37" s="7"/>
      <c r="DM37" s="14"/>
      <c r="DN37" s="14"/>
      <c r="DO37" s="14"/>
      <c r="DP37" s="14"/>
      <c r="DQ37" s="14"/>
      <c r="DR37" s="7"/>
      <c r="DS37" s="7"/>
      <c r="DT37" s="7"/>
      <c r="DU37" s="7"/>
      <c r="DV37" s="14"/>
      <c r="DW37" s="14"/>
      <c r="DX37" s="14"/>
      <c r="DY37" s="14"/>
      <c r="DZ37" s="8">
        <f t="shared" si="1"/>
        <v>37.864959554198414</v>
      </c>
      <c r="EA37" s="3" t="str">
        <f t="shared" si="2"/>
        <v>Bieber, David</v>
      </c>
      <c r="EB37" s="2">
        <f t="shared" si="3"/>
        <v>1</v>
      </c>
      <c r="EC37" s="112">
        <f t="shared" si="13"/>
        <v>32.342782710051459</v>
      </c>
      <c r="ED37" s="29">
        <f t="shared" si="4"/>
        <v>37.253994051749714</v>
      </c>
      <c r="EE37" s="2">
        <f t="shared" si="5"/>
        <v>0</v>
      </c>
      <c r="EF37" s="46">
        <f t="shared" si="6"/>
        <v>1</v>
      </c>
      <c r="EG37" s="46">
        <f t="shared" si="7"/>
        <v>1</v>
      </c>
      <c r="EH37" s="29" t="str">
        <f t="shared" si="8"/>
        <v>CO</v>
      </c>
      <c r="EI37" s="29">
        <f>IF(COUNT(I37:Y37)&lt;5,DZ37,SUMPRODUCT(LARGE(I37:Y37,{1,2,3,4,5}))/5)</f>
        <v>37.864959554198414</v>
      </c>
      <c r="EJ37" s="29">
        <f>IF(COUNT(I37:AX37)&lt;5,DZ37,SUMPRODUCT(LARGE(I37:AX37,{1,2,3,4,5}))/5)</f>
        <v>37.864959554198414</v>
      </c>
      <c r="EK37" s="29">
        <f>IF(COUNT(I37:DY37)&lt;5,AVERAGE(I37:DY37),SUMPRODUCT(LARGE(I37:DY37,{1,2,3,4,5}))/5)</f>
        <v>37.864959554198414</v>
      </c>
      <c r="EL37" s="29">
        <f t="shared" si="10"/>
        <v>37.253994051749714</v>
      </c>
      <c r="EM37" s="116" t="str">
        <f t="shared" si="9"/>
        <v>Bieber, David</v>
      </c>
      <c r="EQ37"/>
    </row>
    <row r="38" spans="1:147" x14ac:dyDescent="0.25">
      <c r="A38" s="59">
        <f t="shared" si="11"/>
        <v>35</v>
      </c>
      <c r="B38" s="32" t="s">
        <v>930</v>
      </c>
      <c r="C38" s="5" t="s">
        <v>6</v>
      </c>
      <c r="D38" s="6" t="s">
        <v>933</v>
      </c>
      <c r="E38" s="6">
        <v>18.618733858802432</v>
      </c>
      <c r="F38" s="6">
        <v>18.618733858802432</v>
      </c>
      <c r="G38" s="5">
        <f t="shared" si="0"/>
        <v>0</v>
      </c>
      <c r="H38" s="8">
        <v>18.618733858802432</v>
      </c>
      <c r="I38" s="36"/>
      <c r="J38" s="7"/>
      <c r="K38" s="14"/>
      <c r="L38" s="7"/>
      <c r="M38" s="14"/>
      <c r="N38" s="7"/>
      <c r="O38" s="7"/>
      <c r="P38" s="14"/>
      <c r="Q38" s="14"/>
      <c r="R38" s="14"/>
      <c r="S38" s="14"/>
      <c r="T38" s="7"/>
      <c r="U38" s="7"/>
      <c r="V38" s="14"/>
      <c r="W38" s="7"/>
      <c r="X38" s="14"/>
      <c r="Y38" s="227"/>
      <c r="Z38" s="228"/>
      <c r="AA38" s="7"/>
      <c r="AB38" s="7"/>
      <c r="AC38" s="7"/>
      <c r="AD38" s="7"/>
      <c r="AE38" s="7"/>
      <c r="AF38" s="14"/>
      <c r="AG38" s="7"/>
      <c r="AH38" s="7"/>
      <c r="AI38" s="7"/>
      <c r="AJ38" s="7"/>
      <c r="AK38" s="7"/>
      <c r="AL38" s="7"/>
      <c r="AM38" s="7"/>
      <c r="AN38" s="7"/>
      <c r="AO38" s="74"/>
      <c r="AP38" s="7"/>
      <c r="AQ38" s="74"/>
      <c r="AR38" s="70"/>
      <c r="AS38" s="7"/>
      <c r="AT38" s="70"/>
      <c r="AU38" s="7"/>
      <c r="AV38" s="70"/>
      <c r="AW38" s="7"/>
      <c r="AX38" s="184"/>
      <c r="AY38" s="207"/>
      <c r="AZ38" s="14"/>
      <c r="BA38" s="7"/>
      <c r="BB38" s="14"/>
      <c r="BC38" s="7"/>
      <c r="BD38" s="7"/>
      <c r="BE38" s="7"/>
      <c r="BF38" s="14"/>
      <c r="BG38" s="14"/>
      <c r="BH38" s="14"/>
      <c r="BI38" s="14"/>
      <c r="BJ38" s="14"/>
      <c r="BK38" s="7"/>
      <c r="BL38" s="14"/>
      <c r="BM38" s="7"/>
      <c r="BN38" s="74"/>
      <c r="BO38" s="14"/>
      <c r="BP38" s="7"/>
      <c r="BQ38" s="7"/>
      <c r="BR38" s="7"/>
      <c r="BS38" s="7"/>
      <c r="BT38" s="7"/>
      <c r="BU38" s="7"/>
      <c r="BV38" s="7"/>
      <c r="BW38" s="7"/>
      <c r="BX38" s="7"/>
      <c r="BY38" s="14"/>
      <c r="BZ38" s="14"/>
      <c r="CA38" s="7"/>
      <c r="CB38" s="7"/>
      <c r="CC38" s="14"/>
      <c r="CD38" s="7"/>
      <c r="CE38" s="74"/>
      <c r="CF38" s="103"/>
      <c r="CG38" s="7"/>
      <c r="CH38" s="14"/>
      <c r="CI38" s="14"/>
      <c r="CJ38" s="14"/>
      <c r="CK38" s="101"/>
      <c r="CL38" s="74"/>
      <c r="CM38" s="74"/>
      <c r="CN38" s="74"/>
      <c r="CO38" s="70"/>
      <c r="CP38" s="74"/>
      <c r="CQ38" s="7"/>
      <c r="CR38" s="74"/>
      <c r="CS38" s="74"/>
      <c r="CT38" s="74"/>
      <c r="CU38" s="74"/>
      <c r="CV38" s="7"/>
      <c r="CW38" s="7"/>
      <c r="CX38" s="7"/>
      <c r="CY38" s="7"/>
      <c r="CZ38" s="7"/>
      <c r="DA38" s="7"/>
      <c r="DB38" s="7"/>
      <c r="DC38" s="14"/>
      <c r="DD38" s="7"/>
      <c r="DE38" s="74"/>
      <c r="DF38" s="7"/>
      <c r="DG38" s="7"/>
      <c r="DH38" s="7"/>
      <c r="DI38" s="7"/>
      <c r="DJ38" s="14"/>
      <c r="DK38" s="7"/>
      <c r="DL38" s="7"/>
      <c r="DM38" s="14"/>
      <c r="DN38" s="7"/>
      <c r="DO38" s="7"/>
      <c r="DP38" s="7"/>
      <c r="DQ38" s="14"/>
      <c r="DR38" s="7"/>
      <c r="DS38" s="7"/>
      <c r="DT38" s="14"/>
      <c r="DU38" s="7"/>
      <c r="DV38" s="14"/>
      <c r="DW38" s="7"/>
      <c r="DX38" s="14"/>
      <c r="DY38" s="14"/>
      <c r="DZ38" s="8">
        <f t="shared" si="1"/>
        <v>18.618733858802432</v>
      </c>
      <c r="EA38" s="3" t="str">
        <f t="shared" si="2"/>
        <v>Bieri, Scott</v>
      </c>
      <c r="EB38" s="2">
        <f t="shared" si="3"/>
        <v>0</v>
      </c>
      <c r="EC38" s="112">
        <f t="shared" si="13"/>
        <v>18.618733858802432</v>
      </c>
      <c r="ED38" s="29">
        <f t="shared" si="4"/>
        <v>0</v>
      </c>
      <c r="EE38" s="2">
        <f t="shared" si="5"/>
        <v>0</v>
      </c>
      <c r="EF38" s="46">
        <f t="shared" si="6"/>
        <v>0</v>
      </c>
      <c r="EG38" s="46">
        <f t="shared" si="7"/>
        <v>0</v>
      </c>
      <c r="EH38" s="29" t="str">
        <f t="shared" si="8"/>
        <v xml:space="preserve">IN </v>
      </c>
      <c r="EI38" s="29">
        <f>IF(COUNT(I38:Y38)&lt;5,DZ38,SUMPRODUCT(LARGE(I38:Y38,{1,2,3,4,5}))/5)</f>
        <v>18.618733858802432</v>
      </c>
      <c r="EJ38" s="29">
        <f>IF(COUNT(I38:AX38)&lt;5,DZ38,SUMPRODUCT(LARGE(I38:AX38,{1,2,3,4,5}))/5)</f>
        <v>18.618733858802432</v>
      </c>
      <c r="EK38" s="112">
        <f>IF(EG38&lt;0,AVERAGE(I38:DY38),0)</f>
        <v>0</v>
      </c>
      <c r="EL38" s="29">
        <f t="shared" si="10"/>
        <v>0</v>
      </c>
      <c r="EM38" s="116" t="str">
        <f t="shared" si="9"/>
        <v>Bieri, Scott</v>
      </c>
      <c r="EQ38"/>
    </row>
    <row r="39" spans="1:147" x14ac:dyDescent="0.25">
      <c r="A39" s="59">
        <f t="shared" si="11"/>
        <v>36</v>
      </c>
      <c r="B39" s="32" t="s">
        <v>1044</v>
      </c>
      <c r="C39" s="5" t="s">
        <v>16</v>
      </c>
      <c r="D39" s="6" t="s">
        <v>61</v>
      </c>
      <c r="E39" s="6">
        <v>63.550692728661048</v>
      </c>
      <c r="F39" s="6">
        <v>63.550692728661048</v>
      </c>
      <c r="G39" s="5">
        <f t="shared" si="0"/>
        <v>2</v>
      </c>
      <c r="H39" s="8">
        <v>0</v>
      </c>
      <c r="I39" s="107"/>
      <c r="J39" s="7"/>
      <c r="K39" s="103"/>
      <c r="L39" s="7"/>
      <c r="M39" s="14"/>
      <c r="N39" s="7"/>
      <c r="O39" s="7"/>
      <c r="P39" s="103"/>
      <c r="Q39" s="103"/>
      <c r="R39" s="103"/>
      <c r="S39" s="103"/>
      <c r="T39" s="74"/>
      <c r="U39" s="7"/>
      <c r="V39" s="14"/>
      <c r="W39" s="7"/>
      <c r="X39" s="14">
        <f>(INDEX('Race 16'!$E$8:$E$200,(MATCH($B39,'Race 16'!$B$8:$B$200,0)),1))*100</f>
        <v>64.649672749950255</v>
      </c>
      <c r="Y39" s="227">
        <f>(INDEX('Race 17'!$E$8:$E$200,(MATCH($B39,'Race 17'!$B$8:$B$200,0)),1))*100</f>
        <v>62.45171270737184</v>
      </c>
      <c r="Z39" s="228"/>
      <c r="AA39" s="74"/>
      <c r="AB39" s="74"/>
      <c r="AC39" s="74"/>
      <c r="AD39" s="74"/>
      <c r="AE39" s="74"/>
      <c r="AF39" s="103"/>
      <c r="AG39" s="74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101"/>
      <c r="AS39" s="7"/>
      <c r="AT39" s="101"/>
      <c r="AU39" s="7"/>
      <c r="AV39" s="101"/>
      <c r="AW39" s="7"/>
      <c r="AX39" s="184"/>
      <c r="AY39" s="207"/>
      <c r="AZ39" s="103"/>
      <c r="BA39" s="103"/>
      <c r="BB39" s="103"/>
      <c r="BC39" s="74"/>
      <c r="BD39" s="7"/>
      <c r="BE39" s="7"/>
      <c r="BF39" s="103"/>
      <c r="BG39" s="103"/>
      <c r="BH39" s="103"/>
      <c r="BI39" s="103"/>
      <c r="BJ39" s="103"/>
      <c r="BK39" s="7"/>
      <c r="BL39" s="103"/>
      <c r="BM39" s="7"/>
      <c r="BN39" s="103"/>
      <c r="BO39" s="103"/>
      <c r="BP39" s="7"/>
      <c r="BQ39" s="7"/>
      <c r="BR39" s="74"/>
      <c r="BS39" s="7"/>
      <c r="BT39" s="7"/>
      <c r="BU39" s="74"/>
      <c r="BV39" s="74"/>
      <c r="BW39" s="74"/>
      <c r="BX39" s="74"/>
      <c r="BY39" s="103"/>
      <c r="BZ39" s="74"/>
      <c r="CA39" s="7"/>
      <c r="CB39" s="74"/>
      <c r="CC39" s="103"/>
      <c r="CD39" s="74"/>
      <c r="CE39" s="74"/>
      <c r="CF39" s="74"/>
      <c r="CG39" s="103"/>
      <c r="CH39" s="103"/>
      <c r="CI39" s="103"/>
      <c r="CJ39" s="101"/>
      <c r="CK39" s="101"/>
      <c r="CL39" s="101"/>
      <c r="CM39" s="74"/>
      <c r="CN39" s="74"/>
      <c r="CO39" s="101"/>
      <c r="CP39" s="74"/>
      <c r="CQ39" s="74"/>
      <c r="CR39" s="74"/>
      <c r="CS39" s="74"/>
      <c r="CT39" s="74"/>
      <c r="CU39" s="74"/>
      <c r="CV39" s="74"/>
      <c r="CW39" s="74"/>
      <c r="CX39" s="7"/>
      <c r="CY39" s="7"/>
      <c r="CZ39" s="74"/>
      <c r="DA39" s="103"/>
      <c r="DB39" s="103"/>
      <c r="DC39" s="103"/>
      <c r="DD39" s="103"/>
      <c r="DE39" s="74"/>
      <c r="DF39" s="74"/>
      <c r="DG39" s="74"/>
      <c r="DH39" s="74"/>
      <c r="DI39" s="74"/>
      <c r="DJ39" s="103"/>
      <c r="DK39" s="74"/>
      <c r="DL39" s="74"/>
      <c r="DM39" s="103"/>
      <c r="DN39" s="103"/>
      <c r="DO39" s="103"/>
      <c r="DP39" s="74"/>
      <c r="DQ39" s="103"/>
      <c r="DR39" s="74"/>
      <c r="DS39" s="74"/>
      <c r="DT39" s="103"/>
      <c r="DU39" s="74"/>
      <c r="DV39" s="103"/>
      <c r="DW39" s="103"/>
      <c r="DX39" s="103"/>
      <c r="DY39" s="103"/>
      <c r="DZ39" s="8">
        <f t="shared" si="1"/>
        <v>63.550692728661048</v>
      </c>
      <c r="EA39" s="3" t="str">
        <f t="shared" si="2"/>
        <v>Bierma, Joshua</v>
      </c>
      <c r="EB39" s="2">
        <f t="shared" si="3"/>
        <v>1</v>
      </c>
      <c r="EC39" s="112">
        <f t="shared" si="13"/>
        <v>0</v>
      </c>
      <c r="ED39" s="29">
        <f t="shared" si="4"/>
        <v>62.525278166726736</v>
      </c>
      <c r="EE39" s="2">
        <f t="shared" si="5"/>
        <v>2</v>
      </c>
      <c r="EF39" s="46">
        <f t="shared" si="6"/>
        <v>2</v>
      </c>
      <c r="EG39" s="46">
        <f t="shared" si="7"/>
        <v>2</v>
      </c>
      <c r="EH39" s="29" t="str">
        <f t="shared" si="8"/>
        <v>AK</v>
      </c>
      <c r="EI39" s="29">
        <f>IF(COUNT(I39:Y39)&lt;5,DZ39,SUMPRODUCT(LARGE(I39:Y39,{1,2,3,4,5}))/5)</f>
        <v>63.550692728661048</v>
      </c>
      <c r="EJ39" s="29">
        <f>IF(COUNT(I39:AX39)&lt;5,DZ39,SUMPRODUCT(LARGE(I39:AX39,{1,2,3,4,5}))/5)</f>
        <v>63.550692728661048</v>
      </c>
      <c r="EK39" s="112">
        <f>IF(COUNT(I39:DY39)&lt;5,AVERAGE(I39:DY39),SUMPRODUCT(LARGE(I39:DY39,{1,2,3,4,5}))/5)</f>
        <v>63.550692728661048</v>
      </c>
      <c r="EL39" s="29">
        <f t="shared" si="10"/>
        <v>62.525278166726736</v>
      </c>
      <c r="EM39" s="116" t="str">
        <f t="shared" si="9"/>
        <v>Bierma, Joshua</v>
      </c>
      <c r="EQ39"/>
    </row>
    <row r="40" spans="1:147" x14ac:dyDescent="0.25">
      <c r="A40" s="59">
        <f t="shared" si="11"/>
        <v>37</v>
      </c>
      <c r="B40" s="32" t="s">
        <v>118</v>
      </c>
      <c r="C40" s="5" t="s">
        <v>6</v>
      </c>
      <c r="D40" s="6" t="s">
        <v>59</v>
      </c>
      <c r="E40" s="6">
        <v>50.672970719908648</v>
      </c>
      <c r="F40" s="6">
        <v>55.750882109682479</v>
      </c>
      <c r="G40" s="5">
        <f t="shared" si="0"/>
        <v>4</v>
      </c>
      <c r="H40" s="8">
        <v>50.672970719908648</v>
      </c>
      <c r="I40" s="107"/>
      <c r="J40" s="7"/>
      <c r="K40" s="74"/>
      <c r="L40" s="7"/>
      <c r="M40" s="74"/>
      <c r="N40" s="74"/>
      <c r="O40" s="7"/>
      <c r="P40" s="103"/>
      <c r="Q40" s="74"/>
      <c r="R40" s="74"/>
      <c r="S40" s="74"/>
      <c r="T40" s="7"/>
      <c r="U40" s="7"/>
      <c r="V40" s="74"/>
      <c r="W40" s="7"/>
      <c r="X40" s="74"/>
      <c r="Y40" s="227"/>
      <c r="Z40" s="228"/>
      <c r="AA40" s="74"/>
      <c r="AB40" s="74"/>
      <c r="AC40" s="74"/>
      <c r="AD40" s="103"/>
      <c r="AE40" s="7"/>
      <c r="AF40" s="103"/>
      <c r="AG40" s="103"/>
      <c r="AH40" s="7"/>
      <c r="AI40" s="7"/>
      <c r="AJ40" s="7"/>
      <c r="AK40" s="7"/>
      <c r="AL40" s="7"/>
      <c r="AM40" s="7"/>
      <c r="AN40" s="7"/>
      <c r="AO40" s="74"/>
      <c r="AP40" s="7"/>
      <c r="AQ40" s="74"/>
      <c r="AR40" s="101"/>
      <c r="AS40" s="7"/>
      <c r="AT40" s="101"/>
      <c r="AU40" s="7"/>
      <c r="AV40" s="101"/>
      <c r="AW40" s="7">
        <f>(INDEX('Race 41'!$E$8:$E$200,(MATCH($B40,'Race 41'!$B$8:$B$200,0)),1))*100</f>
        <v>52.941044365138687</v>
      </c>
      <c r="AX40" s="184">
        <f>(INDEX('Race 42'!$E$8:$E$200,(MATCH($B40,'Race 42'!$B$8:$B$200,0)),1))*100</f>
        <v>58.560719854226264</v>
      </c>
      <c r="AY40" s="207"/>
      <c r="AZ40" s="103"/>
      <c r="BA40" s="74"/>
      <c r="BB40" s="74"/>
      <c r="BC40" s="74"/>
      <c r="BD40" s="7"/>
      <c r="BE40" s="7"/>
      <c r="BF40" s="74"/>
      <c r="BG40" s="74"/>
      <c r="BH40" s="74"/>
      <c r="BI40" s="103"/>
      <c r="BJ40" s="101"/>
      <c r="BK40" s="7"/>
      <c r="BL40" s="101"/>
      <c r="BM40" s="7"/>
      <c r="BN40" s="103"/>
      <c r="BO40" s="103"/>
      <c r="BP40" s="7"/>
      <c r="BQ40" s="7"/>
      <c r="BR40" s="74"/>
      <c r="BS40" s="7"/>
      <c r="BT40" s="7"/>
      <c r="BU40" s="74"/>
      <c r="BV40" s="74"/>
      <c r="BW40" s="74"/>
      <c r="BX40" s="74"/>
      <c r="BY40" s="103"/>
      <c r="BZ40" s="7"/>
      <c r="CA40" s="7"/>
      <c r="CB40" s="74"/>
      <c r="CC40" s="103"/>
      <c r="CD40" s="74"/>
      <c r="CE40" s="7">
        <f>(INDEX('Race 75'!$E$8:$E$200,(MATCH($B40,'Race 75'!$B$8:$B$200,0)),1))*100</f>
        <v>59.399683192074605</v>
      </c>
      <c r="CF40" s="103">
        <f>(INDEX('Race 76'!$E$8:$E$200,(MATCH($B40,'Race 76'!$B$8:$B$200,0)),1))*100</f>
        <v>59.100780984854282</v>
      </c>
      <c r="CG40" s="14"/>
      <c r="CH40" s="14"/>
      <c r="CI40" s="103"/>
      <c r="CJ40" s="103"/>
      <c r="CK40" s="101"/>
      <c r="CL40" s="74"/>
      <c r="CM40" s="74"/>
      <c r="CN40" s="74"/>
      <c r="CO40" s="101"/>
      <c r="CP40" s="74"/>
      <c r="CQ40" s="74"/>
      <c r="CR40" s="74"/>
      <c r="CS40" s="74"/>
      <c r="CT40" s="101"/>
      <c r="CU40" s="74"/>
      <c r="CV40" s="74"/>
      <c r="CW40" s="74"/>
      <c r="CX40" s="7"/>
      <c r="CY40" s="7"/>
      <c r="CZ40" s="74"/>
      <c r="DA40" s="103"/>
      <c r="DB40" s="103"/>
      <c r="DC40" s="103"/>
      <c r="DD40" s="103"/>
      <c r="DE40" s="74"/>
      <c r="DF40" s="74"/>
      <c r="DG40" s="74"/>
      <c r="DH40" s="74"/>
      <c r="DI40" s="74"/>
      <c r="DJ40" s="103"/>
      <c r="DK40" s="74"/>
      <c r="DL40" s="74"/>
      <c r="DM40" s="74"/>
      <c r="DN40" s="103"/>
      <c r="DO40" s="103"/>
      <c r="DP40" s="74"/>
      <c r="DQ40" s="103"/>
      <c r="DR40" s="7"/>
      <c r="DS40" s="7"/>
      <c r="DT40" s="103"/>
      <c r="DU40" s="74"/>
      <c r="DV40" s="103"/>
      <c r="DW40" s="103"/>
      <c r="DX40" s="103"/>
      <c r="DY40" s="103"/>
      <c r="DZ40" s="8">
        <f t="shared" si="1"/>
        <v>57.500557099073461</v>
      </c>
      <c r="EA40" s="3" t="str">
        <f t="shared" si="2"/>
        <v>Black, Dale</v>
      </c>
      <c r="EB40" s="2">
        <f t="shared" si="3"/>
        <v>1</v>
      </c>
      <c r="EC40" s="112">
        <f t="shared" si="13"/>
        <v>50.672970719908648</v>
      </c>
      <c r="ED40" s="29">
        <f t="shared" si="4"/>
        <v>56.572763773193088</v>
      </c>
      <c r="EE40" s="2">
        <f t="shared" si="5"/>
        <v>0</v>
      </c>
      <c r="EF40" s="46">
        <f t="shared" si="6"/>
        <v>2</v>
      </c>
      <c r="EG40" s="46">
        <f t="shared" si="7"/>
        <v>4</v>
      </c>
      <c r="EH40" s="29" t="str">
        <f t="shared" si="8"/>
        <v>MT</v>
      </c>
      <c r="EI40" s="29">
        <f>IF(COUNT(I40:Y40)&lt;5,DZ40,SUMPRODUCT(LARGE(I40:Y40,{1,2,3,4,5}))/5)</f>
        <v>57.500557099073461</v>
      </c>
      <c r="EJ40" s="29">
        <f>IF(COUNT(I40:AX40)&lt;5,DZ40,SUMPRODUCT(LARGE(I40:AX40,{1,2,3,4,5}))/5)</f>
        <v>57.500557099073461</v>
      </c>
      <c r="EK40" s="29">
        <f>IF(COUNT(I40:DY40)&lt;5,AVERAGE(I40:DY40),SUMPRODUCT(LARGE(I40:DY40,{1,2,3,4,5}))/5)</f>
        <v>57.500557099073461</v>
      </c>
      <c r="EL40" s="29">
        <f t="shared" si="10"/>
        <v>56.572763773193088</v>
      </c>
      <c r="EM40" s="116" t="str">
        <f t="shared" si="9"/>
        <v>Black, Dale</v>
      </c>
      <c r="EQ40"/>
    </row>
    <row r="41" spans="1:147" x14ac:dyDescent="0.25">
      <c r="A41" s="59">
        <f t="shared" si="11"/>
        <v>38</v>
      </c>
      <c r="B41" s="32" t="s">
        <v>98</v>
      </c>
      <c r="C41" s="5" t="s">
        <v>6</v>
      </c>
      <c r="D41" s="5" t="s">
        <v>67</v>
      </c>
      <c r="E41" s="6">
        <v>57.073595074319748</v>
      </c>
      <c r="F41" s="6">
        <v>61.16734161191328</v>
      </c>
      <c r="G41" s="5">
        <f t="shared" si="0"/>
        <v>6</v>
      </c>
      <c r="H41" s="8">
        <v>57.073595074319748</v>
      </c>
      <c r="I41" s="107"/>
      <c r="J41" s="7"/>
      <c r="K41" s="7"/>
      <c r="L41" s="7"/>
      <c r="M41" s="14"/>
      <c r="N41" s="7"/>
      <c r="O41" s="7"/>
      <c r="P41" s="7"/>
      <c r="Q41" s="7"/>
      <c r="R41" s="14"/>
      <c r="S41" s="14"/>
      <c r="T41" s="7"/>
      <c r="U41" s="7"/>
      <c r="V41" s="7"/>
      <c r="W41" s="7"/>
      <c r="X41" s="14"/>
      <c r="Y41" s="227"/>
      <c r="Z41" s="228"/>
      <c r="AA41" s="7"/>
      <c r="AB41" s="7"/>
      <c r="AC41" s="14"/>
      <c r="AD41" s="103">
        <f>(INDEX('Race 22'!$E$8:$E$200,(MATCH($B41,'Race 22'!$B$8:$B$200,0)),1))*100</f>
        <v>66.166391949499683</v>
      </c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4"/>
      <c r="AP41" s="7"/>
      <c r="AQ41" s="74"/>
      <c r="AR41" s="7"/>
      <c r="AS41" s="7"/>
      <c r="AT41" s="70"/>
      <c r="AU41" s="7"/>
      <c r="AV41" s="70"/>
      <c r="AW41" s="7">
        <f>(INDEX('Race 41'!$E$8:$E$200,(MATCH($B41,'Race 41'!$B$8:$B$200,0)),1))*100</f>
        <v>55.727415121198618</v>
      </c>
      <c r="AX41" s="184">
        <f>(INDEX('Race 42'!$E$8:$E$200,(MATCH($B41,'Race 42'!$B$8:$B$200,0)),1))*100</f>
        <v>61.608217765041537</v>
      </c>
      <c r="AY41" s="207"/>
      <c r="AZ41" s="14"/>
      <c r="BA41" s="7"/>
      <c r="BB41" s="7"/>
      <c r="BC41" s="74"/>
      <c r="BD41" s="7"/>
      <c r="BE41" s="7"/>
      <c r="BF41" s="14"/>
      <c r="BG41" s="7"/>
      <c r="BH41" s="14"/>
      <c r="BI41" s="14"/>
      <c r="BJ41" s="70"/>
      <c r="BK41" s="7"/>
      <c r="BL41" s="70"/>
      <c r="BM41" s="7"/>
      <c r="BN41" s="14"/>
      <c r="BO41" s="14"/>
      <c r="BP41" s="7"/>
      <c r="BQ41" s="7"/>
      <c r="BR41" s="7"/>
      <c r="BS41" s="7"/>
      <c r="BT41" s="7"/>
      <c r="BU41" s="7"/>
      <c r="BV41" s="7"/>
      <c r="BW41" s="7"/>
      <c r="BX41" s="7"/>
      <c r="BY41" s="14"/>
      <c r="BZ41" s="70"/>
      <c r="CA41" s="7"/>
      <c r="CB41" s="7"/>
      <c r="CC41" s="14"/>
      <c r="CD41" s="7"/>
      <c r="CE41" s="7">
        <f>(INDEX('Race 75'!$E$8:$E$200,(MATCH($B41,'Race 75'!$B$8:$B$200,0)),1))*100</f>
        <v>64.849039666683339</v>
      </c>
      <c r="CF41" s="7">
        <f>(INDEX('Race 76'!$E$8:$E$200,(MATCH($B41,'Race 76'!$B$8:$B$200,0)),1))*100</f>
        <v>60.693249846308142</v>
      </c>
      <c r="CG41" s="14"/>
      <c r="CH41" s="14"/>
      <c r="CI41" s="14"/>
      <c r="CJ41" s="14"/>
      <c r="CK41" s="101"/>
      <c r="CL41" s="74"/>
      <c r="CM41" s="74"/>
      <c r="CN41" s="74"/>
      <c r="CO41" s="70"/>
      <c r="CP41" s="74"/>
      <c r="CQ41" s="7">
        <f>(INDEX('Race 87'!$E$8:$E$200,(MATCH($B41,'Race 87'!$B$8:$B$200,0)),1))*100</f>
        <v>55.221899762684089</v>
      </c>
      <c r="CR41" s="74"/>
      <c r="CS41" s="74"/>
      <c r="CT41" s="74"/>
      <c r="CU41" s="74"/>
      <c r="CV41" s="74"/>
      <c r="CW41" s="7"/>
      <c r="CX41" s="7"/>
      <c r="CY41" s="7"/>
      <c r="CZ41" s="74"/>
      <c r="DA41" s="14"/>
      <c r="DB41" s="14"/>
      <c r="DC41" s="14"/>
      <c r="DD41" s="14"/>
      <c r="DE41" s="74"/>
      <c r="DF41" s="74"/>
      <c r="DG41" s="74"/>
      <c r="DH41" s="74"/>
      <c r="DI41" s="74"/>
      <c r="DJ41" s="103"/>
      <c r="DK41" s="7"/>
      <c r="DL41" s="74"/>
      <c r="DM41" s="103"/>
      <c r="DN41" s="14"/>
      <c r="DO41" s="14"/>
      <c r="DP41" s="7"/>
      <c r="DQ41" s="14"/>
      <c r="DR41" s="7"/>
      <c r="DS41" s="7"/>
      <c r="DT41" s="14"/>
      <c r="DU41" s="7"/>
      <c r="DV41" s="14"/>
      <c r="DW41" s="14"/>
      <c r="DX41" s="14"/>
      <c r="DY41" s="14"/>
      <c r="DZ41" s="8">
        <f t="shared" si="1"/>
        <v>60.711035685235906</v>
      </c>
      <c r="EA41" s="3" t="str">
        <f t="shared" si="2"/>
        <v>Blanke, Shawn</v>
      </c>
      <c r="EB41" s="2">
        <f t="shared" si="3"/>
        <v>1</v>
      </c>
      <c r="EC41" s="112">
        <f t="shared" si="13"/>
        <v>57.073595074319748</v>
      </c>
      <c r="ED41" s="29">
        <f t="shared" si="4"/>
        <v>60.81155339408329</v>
      </c>
      <c r="EE41" s="2">
        <f t="shared" si="5"/>
        <v>1</v>
      </c>
      <c r="EF41" s="46">
        <f t="shared" si="6"/>
        <v>3</v>
      </c>
      <c r="EG41" s="46">
        <f t="shared" si="7"/>
        <v>6</v>
      </c>
      <c r="EH41" s="2" t="str">
        <f t="shared" si="8"/>
        <v>UT</v>
      </c>
      <c r="EI41" s="29">
        <f>IF(COUNT(I41:Y41)&lt;5,DZ41,SUMPRODUCT(LARGE(I41:Y41,{1,2,3,4,5}))/5)</f>
        <v>60.711035685235906</v>
      </c>
      <c r="EJ41" s="29">
        <f>IF(COUNT(I41:AX41)&lt;5,DZ41,SUMPRODUCT(LARGE(I41:AX41,{1,2,3,4,5}))/5)</f>
        <v>60.711035685235906</v>
      </c>
      <c r="EK41" s="29">
        <f>IF(COUNT(I41:DY41)&lt;5,AVERAGE(I41:DY41),SUMPRODUCT(LARGE(I41:DY41,{1,2,3,4,5}))/5)</f>
        <v>61.808862869746257</v>
      </c>
      <c r="EL41" s="29">
        <f t="shared" si="10"/>
        <v>60.81155339408329</v>
      </c>
      <c r="EM41" s="116" t="str">
        <f t="shared" si="9"/>
        <v>Blanke, Shawn</v>
      </c>
      <c r="EQ41"/>
    </row>
    <row r="42" spans="1:147" x14ac:dyDescent="0.25">
      <c r="A42" s="59">
        <f t="shared" si="11"/>
        <v>39</v>
      </c>
      <c r="B42" s="32" t="s">
        <v>871</v>
      </c>
      <c r="C42" s="5" t="s">
        <v>6</v>
      </c>
      <c r="D42" s="6" t="s">
        <v>62</v>
      </c>
      <c r="E42" s="6">
        <v>32.087570918742237</v>
      </c>
      <c r="F42" s="6">
        <v>32.087570918742237</v>
      </c>
      <c r="G42" s="5">
        <f t="shared" si="0"/>
        <v>0</v>
      </c>
      <c r="H42" s="8">
        <v>32.087570918742237</v>
      </c>
      <c r="I42" s="36"/>
      <c r="J42" s="7"/>
      <c r="K42" s="14"/>
      <c r="L42" s="7"/>
      <c r="M42" s="14"/>
      <c r="N42" s="7"/>
      <c r="O42" s="7"/>
      <c r="P42" s="14"/>
      <c r="Q42" s="7"/>
      <c r="R42" s="14"/>
      <c r="S42" s="7"/>
      <c r="T42" s="7"/>
      <c r="U42" s="7"/>
      <c r="V42" s="7"/>
      <c r="W42" s="7"/>
      <c r="X42" s="14"/>
      <c r="Y42" s="227"/>
      <c r="Z42" s="228"/>
      <c r="AA42" s="7"/>
      <c r="AB42" s="7"/>
      <c r="AC42" s="14"/>
      <c r="AD42" s="14"/>
      <c r="AE42" s="7"/>
      <c r="AF42" s="7"/>
      <c r="AG42" s="14"/>
      <c r="AH42" s="7"/>
      <c r="AI42" s="7"/>
      <c r="AJ42" s="7"/>
      <c r="AK42" s="7"/>
      <c r="AL42" s="7"/>
      <c r="AM42" s="7"/>
      <c r="AN42" s="7"/>
      <c r="AO42" s="74"/>
      <c r="AP42" s="7"/>
      <c r="AQ42" s="74"/>
      <c r="AR42" s="7"/>
      <c r="AS42" s="7"/>
      <c r="AT42" s="70"/>
      <c r="AU42" s="7"/>
      <c r="AV42" s="70"/>
      <c r="AW42" s="7"/>
      <c r="AX42" s="185"/>
      <c r="AY42" s="208"/>
      <c r="AZ42" s="14"/>
      <c r="BA42" s="14"/>
      <c r="BB42" s="7"/>
      <c r="BC42" s="7"/>
      <c r="BD42" s="7"/>
      <c r="BE42" s="7"/>
      <c r="BF42" s="14"/>
      <c r="BG42" s="14"/>
      <c r="BH42" s="14"/>
      <c r="BI42" s="14"/>
      <c r="BJ42" s="14"/>
      <c r="BK42" s="7"/>
      <c r="BL42" s="14"/>
      <c r="BM42" s="7"/>
      <c r="BN42" s="103"/>
      <c r="BO42" s="14"/>
      <c r="BP42" s="7"/>
      <c r="BQ42" s="7"/>
      <c r="BR42" s="7"/>
      <c r="BS42" s="7"/>
      <c r="BT42" s="7"/>
      <c r="BU42" s="7"/>
      <c r="BV42" s="7"/>
      <c r="BW42" s="7"/>
      <c r="BX42" s="7"/>
      <c r="BY42" s="14"/>
      <c r="BZ42" s="14"/>
      <c r="CA42" s="7"/>
      <c r="CB42" s="7"/>
      <c r="CC42" s="14"/>
      <c r="CD42" s="7"/>
      <c r="CE42" s="7"/>
      <c r="CF42" s="14"/>
      <c r="CG42" s="14"/>
      <c r="CH42" s="14"/>
      <c r="CI42" s="14"/>
      <c r="CJ42" s="14"/>
      <c r="CK42" s="101"/>
      <c r="CL42" s="74"/>
      <c r="CM42" s="74"/>
      <c r="CN42" s="74"/>
      <c r="CO42" s="70"/>
      <c r="CP42" s="74"/>
      <c r="CQ42" s="7"/>
      <c r="CR42" s="74"/>
      <c r="CS42" s="74"/>
      <c r="CT42" s="74"/>
      <c r="CU42" s="74"/>
      <c r="CV42" s="7"/>
      <c r="CW42" s="7"/>
      <c r="CX42" s="7"/>
      <c r="CY42" s="7"/>
      <c r="CZ42" s="7"/>
      <c r="DA42" s="14"/>
      <c r="DB42" s="7"/>
      <c r="DC42" s="14"/>
      <c r="DD42" s="14"/>
      <c r="DE42" s="74"/>
      <c r="DF42" s="74"/>
      <c r="DG42" s="74"/>
      <c r="DH42" s="7"/>
      <c r="DI42" s="74"/>
      <c r="DJ42" s="14"/>
      <c r="DK42" s="7"/>
      <c r="DL42" s="7"/>
      <c r="DM42" s="7"/>
      <c r="DN42" s="14"/>
      <c r="DO42" s="7"/>
      <c r="DP42" s="7"/>
      <c r="DQ42" s="7"/>
      <c r="DR42" s="7"/>
      <c r="DS42" s="7"/>
      <c r="DT42" s="14"/>
      <c r="DU42" s="7"/>
      <c r="DV42" s="14"/>
      <c r="DW42" s="14"/>
      <c r="DX42" s="14"/>
      <c r="DY42" s="14"/>
      <c r="DZ42" s="8">
        <f t="shared" si="1"/>
        <v>32.087570918742237</v>
      </c>
      <c r="EA42" s="3" t="str">
        <f t="shared" si="2"/>
        <v>Blomquist, Robert</v>
      </c>
      <c r="EB42" s="2">
        <f t="shared" si="3"/>
        <v>0</v>
      </c>
      <c r="EC42" s="112">
        <f t="shared" si="13"/>
        <v>32.087570918742237</v>
      </c>
      <c r="ED42" s="29">
        <f t="shared" si="4"/>
        <v>0</v>
      </c>
      <c r="EE42" s="2">
        <f t="shared" si="5"/>
        <v>0</v>
      </c>
      <c r="EF42" s="46">
        <f t="shared" si="6"/>
        <v>0</v>
      </c>
      <c r="EG42" s="46">
        <f t="shared" si="7"/>
        <v>0</v>
      </c>
      <c r="EH42" s="29" t="str">
        <f t="shared" si="8"/>
        <v>CO</v>
      </c>
      <c r="EI42" s="29">
        <f>IF(COUNT(I42:Y42)&lt;5,DZ42,SUMPRODUCT(LARGE(I42:Y42,{1,2,3,4,5}))/5)</f>
        <v>32.087570918742237</v>
      </c>
      <c r="EJ42" s="29">
        <f>IF(COUNT(I42:AX42)&lt;5,DZ42,SUMPRODUCT(LARGE(I42:AX42,{1,2,3,4,5}))/5)</f>
        <v>32.087570918742237</v>
      </c>
      <c r="EK42" s="112">
        <f>IF(EG42&lt;0,AVERAGE(I42:DY42),0)</f>
        <v>0</v>
      </c>
      <c r="EL42" s="29">
        <f t="shared" si="10"/>
        <v>0</v>
      </c>
      <c r="EM42" s="116" t="str">
        <f t="shared" si="9"/>
        <v>Blomquist, Robert</v>
      </c>
      <c r="EQ42"/>
    </row>
    <row r="43" spans="1:147" x14ac:dyDescent="0.25">
      <c r="A43" s="59">
        <f t="shared" si="11"/>
        <v>40</v>
      </c>
      <c r="B43" s="32" t="s">
        <v>429</v>
      </c>
      <c r="C43" s="5" t="s">
        <v>6</v>
      </c>
      <c r="D43" s="6" t="s">
        <v>63</v>
      </c>
      <c r="E43" s="6">
        <v>53.795488982777009</v>
      </c>
      <c r="F43" s="6">
        <v>60.167059647047935</v>
      </c>
      <c r="G43" s="5">
        <f t="shared" si="0"/>
        <v>3</v>
      </c>
      <c r="H43" s="8">
        <v>53.795488982777009</v>
      </c>
      <c r="I43" s="36"/>
      <c r="J43" s="7"/>
      <c r="K43" s="14"/>
      <c r="L43" s="7"/>
      <c r="M43" s="14"/>
      <c r="N43" s="7"/>
      <c r="O43" s="7"/>
      <c r="P43" s="14"/>
      <c r="Q43" s="7"/>
      <c r="R43" s="14"/>
      <c r="S43" s="14"/>
      <c r="T43" s="7"/>
      <c r="U43" s="7"/>
      <c r="V43" s="14"/>
      <c r="W43" s="7"/>
      <c r="X43" s="14"/>
      <c r="Y43" s="227"/>
      <c r="Z43" s="228"/>
      <c r="AA43" s="7"/>
      <c r="AB43" s="7"/>
      <c r="AC43" s="14"/>
      <c r="AD43" s="14"/>
      <c r="AE43" s="7"/>
      <c r="AF43" s="14"/>
      <c r="AG43" s="7"/>
      <c r="AH43" s="7"/>
      <c r="AI43" s="7"/>
      <c r="AJ43" s="7"/>
      <c r="AK43" s="7"/>
      <c r="AL43" s="7"/>
      <c r="AM43" s="7"/>
      <c r="AN43" s="7"/>
      <c r="AO43" s="74"/>
      <c r="AP43" s="7"/>
      <c r="AQ43" s="74"/>
      <c r="AR43" s="70"/>
      <c r="AS43" s="7"/>
      <c r="AT43" s="101">
        <f>(INDEX('Race 38'!$E$8:$E$200,(MATCH($B43,'Race 38'!$B$8:$B$200,0)),1))*100</f>
        <v>60.167059647047935</v>
      </c>
      <c r="AU43" s="7"/>
      <c r="AV43" s="101"/>
      <c r="AW43" s="7"/>
      <c r="AX43" s="183"/>
      <c r="AY43" s="107"/>
      <c r="AZ43" s="14">
        <f>(INDEX('Race 44'!$E$8:$E$200,(MATCH($B43,'Race 44'!$B$8:$B$200,0)),1))*100</f>
        <v>58.707297482855672</v>
      </c>
      <c r="BA43" s="74"/>
      <c r="BB43" s="7"/>
      <c r="BC43" s="7"/>
      <c r="BD43" s="7"/>
      <c r="BE43" s="7"/>
      <c r="BF43" s="7"/>
      <c r="BG43" s="14"/>
      <c r="BH43" s="14"/>
      <c r="BI43" s="14"/>
      <c r="BJ43" s="14"/>
      <c r="BK43" s="7"/>
      <c r="BL43" s="14"/>
      <c r="BM43" s="7"/>
      <c r="BN43" s="14"/>
      <c r="BO43" s="14"/>
      <c r="BP43" s="7"/>
      <c r="BQ43" s="7">
        <f>(INDEX('Race 61'!$E$8:$E$200,(MATCH($B43,'Race 61'!$B$8:$B$200,0)),1))*100</f>
        <v>41.98865525149504</v>
      </c>
      <c r="BR43" s="7"/>
      <c r="BS43" s="7"/>
      <c r="BT43" s="7"/>
      <c r="BU43" s="7"/>
      <c r="BV43" s="7"/>
      <c r="BW43" s="7"/>
      <c r="BX43" s="7"/>
      <c r="BY43" s="14"/>
      <c r="BZ43" s="7"/>
      <c r="CA43" s="7"/>
      <c r="CB43" s="7"/>
      <c r="CC43" s="14"/>
      <c r="CD43" s="74"/>
      <c r="CE43" s="7"/>
      <c r="CF43" s="14"/>
      <c r="CG43" s="74"/>
      <c r="CH43" s="70"/>
      <c r="CI43" s="14"/>
      <c r="CJ43" s="14"/>
      <c r="CK43" s="101"/>
      <c r="CL43" s="74"/>
      <c r="CM43" s="74"/>
      <c r="CN43" s="74"/>
      <c r="CO43" s="70"/>
      <c r="CP43" s="101"/>
      <c r="CQ43" s="74"/>
      <c r="CR43" s="74"/>
      <c r="CS43" s="74"/>
      <c r="CT43" s="74"/>
      <c r="CU43" s="74"/>
      <c r="CV43" s="74"/>
      <c r="CW43" s="7"/>
      <c r="CX43" s="7"/>
      <c r="CY43" s="7"/>
      <c r="CZ43" s="74"/>
      <c r="DA43" s="103"/>
      <c r="DB43" s="14"/>
      <c r="DC43" s="14"/>
      <c r="DD43" s="14"/>
      <c r="DE43" s="74"/>
      <c r="DF43" s="74"/>
      <c r="DG43" s="74"/>
      <c r="DH43" s="74"/>
      <c r="DI43" s="74"/>
      <c r="DJ43" s="14"/>
      <c r="DK43" s="7"/>
      <c r="DL43" s="7"/>
      <c r="DM43" s="103"/>
      <c r="DN43" s="14"/>
      <c r="DO43" s="14"/>
      <c r="DP43" s="14"/>
      <c r="DQ43" s="14"/>
      <c r="DR43" s="7"/>
      <c r="DS43" s="7"/>
      <c r="DT43" s="14"/>
      <c r="DU43" s="7"/>
      <c r="DV43" s="14"/>
      <c r="DW43" s="14"/>
      <c r="DX43" s="14"/>
      <c r="DY43" s="14"/>
      <c r="DZ43" s="8">
        <f t="shared" si="1"/>
        <v>53.621004127132885</v>
      </c>
      <c r="EA43" s="3" t="str">
        <f t="shared" si="2"/>
        <v>Bolduc, Andre</v>
      </c>
      <c r="EB43" s="2">
        <f t="shared" si="3"/>
        <v>1</v>
      </c>
      <c r="EC43" s="112">
        <f t="shared" si="13"/>
        <v>53.795488982777009</v>
      </c>
      <c r="ED43" s="29">
        <f t="shared" si="4"/>
        <v>52.755808861799373</v>
      </c>
      <c r="EE43" s="2">
        <f t="shared" si="5"/>
        <v>0</v>
      </c>
      <c r="EF43" s="46">
        <f t="shared" si="6"/>
        <v>3</v>
      </c>
      <c r="EG43" s="46">
        <f t="shared" si="7"/>
        <v>3</v>
      </c>
      <c r="EH43" s="2" t="str">
        <f t="shared" si="8"/>
        <v>VT</v>
      </c>
      <c r="EI43" s="29">
        <f>IF(COUNT(I43:Y43)&lt;5,DZ43,SUMPRODUCT(LARGE(I43:Y43,{1,2,3,4,5}))/5)</f>
        <v>53.621004127132885</v>
      </c>
      <c r="EJ43" s="29">
        <f>IF(COUNT(I43:AX43)&lt;5,DZ43,SUMPRODUCT(LARGE(I43:AX43,{1,2,3,4,5}))/5)</f>
        <v>53.621004127132885</v>
      </c>
      <c r="EK43" s="29">
        <f>IF(COUNT(I43:DY43)&lt;5,AVERAGE(I43:DY43),SUMPRODUCT(LARGE(I43:DY43,{1,2,3,4,5}))/5)</f>
        <v>53.621004127132885</v>
      </c>
      <c r="EL43" s="29">
        <f t="shared" si="10"/>
        <v>52.755808861799373</v>
      </c>
      <c r="EM43" s="116" t="str">
        <f t="shared" si="9"/>
        <v>Bolduc, Andre</v>
      </c>
      <c r="EQ43"/>
    </row>
    <row r="44" spans="1:147" x14ac:dyDescent="0.25">
      <c r="A44" s="59">
        <f t="shared" si="11"/>
        <v>41</v>
      </c>
      <c r="B44" s="32" t="s">
        <v>1001</v>
      </c>
      <c r="C44" s="106" t="s">
        <v>6</v>
      </c>
      <c r="D44" s="187" t="s">
        <v>59</v>
      </c>
      <c r="E44" s="6">
        <v>52.04987588558172</v>
      </c>
      <c r="F44" s="6">
        <v>52.04987588558172</v>
      </c>
      <c r="G44" s="5">
        <f t="shared" si="0"/>
        <v>1</v>
      </c>
      <c r="H44" s="8">
        <v>0</v>
      </c>
      <c r="I44" s="107">
        <f>(INDEX('Race 1'!$E$8:$E$200,(MATCH($B44,'Race 1'!$B$8:$B$200,0)),1))*100</f>
        <v>52.04987588558172</v>
      </c>
      <c r="J44" s="74"/>
      <c r="K44" s="103"/>
      <c r="L44" s="74"/>
      <c r="M44" s="103"/>
      <c r="N44" s="74"/>
      <c r="O44" s="74"/>
      <c r="P44" s="103"/>
      <c r="Q44" s="103"/>
      <c r="R44" s="74"/>
      <c r="S44" s="74"/>
      <c r="T44" s="74"/>
      <c r="U44" s="74"/>
      <c r="V44" s="103"/>
      <c r="W44" s="74"/>
      <c r="X44" s="103"/>
      <c r="Y44" s="229"/>
      <c r="Z44" s="230"/>
      <c r="AA44" s="74"/>
      <c r="AB44" s="74"/>
      <c r="AC44" s="74"/>
      <c r="AD44" s="103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74"/>
      <c r="AT44" s="101"/>
      <c r="AU44" s="74"/>
      <c r="AV44" s="101"/>
      <c r="AW44" s="74"/>
      <c r="AX44" s="8"/>
      <c r="AY44" s="207"/>
      <c r="AZ44" s="74"/>
      <c r="BA44" s="103"/>
      <c r="BB44" s="103"/>
      <c r="BC44" s="74"/>
      <c r="BD44" s="7"/>
      <c r="BE44" s="7"/>
      <c r="BF44" s="103"/>
      <c r="BG44" s="103"/>
      <c r="BH44" s="103"/>
      <c r="BI44" s="103"/>
      <c r="BJ44" s="74"/>
      <c r="BK44" s="103"/>
      <c r="BL44" s="103"/>
      <c r="BM44" s="74"/>
      <c r="BN44" s="103"/>
      <c r="BO44" s="103"/>
      <c r="BP44" s="7"/>
      <c r="BQ44" s="7"/>
      <c r="BR44" s="74"/>
      <c r="BS44" s="7"/>
      <c r="BT44" s="7"/>
      <c r="BU44" s="74"/>
      <c r="BV44" s="74"/>
      <c r="BW44" s="74"/>
      <c r="BX44" s="74"/>
      <c r="BY44" s="103"/>
      <c r="BZ44" s="103"/>
      <c r="CA44" s="7"/>
      <c r="CB44" s="74"/>
      <c r="CC44" s="103"/>
      <c r="CD44" s="74"/>
      <c r="CE44" s="74"/>
      <c r="CF44" s="103"/>
      <c r="CG44" s="103"/>
      <c r="CH44" s="74"/>
      <c r="CI44" s="103"/>
      <c r="CJ44" s="103"/>
      <c r="CK44" s="101"/>
      <c r="CL44" s="74"/>
      <c r="CM44" s="74"/>
      <c r="CN44" s="74"/>
      <c r="CO44" s="101"/>
      <c r="CP44" s="74"/>
      <c r="CQ44" s="74"/>
      <c r="CR44" s="74"/>
      <c r="CS44" s="74"/>
      <c r="CT44" s="74"/>
      <c r="CU44" s="74"/>
      <c r="CV44" s="74"/>
      <c r="CW44" s="74"/>
      <c r="CX44" s="7"/>
      <c r="CY44" s="7"/>
      <c r="CZ44" s="74"/>
      <c r="DA44" s="103"/>
      <c r="DB44" s="103"/>
      <c r="DC44" s="103"/>
      <c r="DD44" s="103"/>
      <c r="DE44" s="74"/>
      <c r="DF44" s="74"/>
      <c r="DG44" s="74"/>
      <c r="DH44" s="74"/>
      <c r="DI44" s="74"/>
      <c r="DJ44" s="74"/>
      <c r="DK44" s="74"/>
      <c r="DL44" s="74"/>
      <c r="DM44" s="103"/>
      <c r="DN44" s="74"/>
      <c r="DO44" s="103"/>
      <c r="DP44" s="74"/>
      <c r="DQ44" s="103"/>
      <c r="DR44" s="74"/>
      <c r="DS44" s="74"/>
      <c r="DT44" s="103"/>
      <c r="DU44" s="74"/>
      <c r="DV44" s="103"/>
      <c r="DW44" s="103"/>
      <c r="DX44" s="103"/>
      <c r="DY44" s="103"/>
      <c r="DZ44" s="8">
        <f t="shared" si="1"/>
        <v>52.04987588558172</v>
      </c>
      <c r="EA44" s="3" t="str">
        <f t="shared" si="2"/>
        <v xml:space="preserve">BONACCI, Tom </v>
      </c>
      <c r="EB44" s="2">
        <f t="shared" si="3"/>
        <v>1</v>
      </c>
      <c r="EC44" s="112">
        <f t="shared" si="13"/>
        <v>0</v>
      </c>
      <c r="ED44" s="29">
        <f t="shared" si="4"/>
        <v>51.210031371095752</v>
      </c>
      <c r="EE44" s="2">
        <f t="shared" si="5"/>
        <v>1</v>
      </c>
      <c r="EF44" s="46">
        <f t="shared" si="6"/>
        <v>1</v>
      </c>
      <c r="EG44" s="46">
        <f t="shared" si="7"/>
        <v>1</v>
      </c>
      <c r="EH44" s="2" t="str">
        <f t="shared" si="8"/>
        <v>MT</v>
      </c>
      <c r="EI44" s="29">
        <f>IF(COUNT(I44:Y44)&lt;5,DZ44,SUMPRODUCT(LARGE(I44:Y44,{1,2,3,4,5}))/5)</f>
        <v>52.04987588558172</v>
      </c>
      <c r="EJ44" s="29">
        <f>IF(COUNT(I44:AX44)&lt;5,DZ44,SUMPRODUCT(LARGE(I44:AX44,{1,2,3,4,5}))/5)</f>
        <v>52.04987588558172</v>
      </c>
      <c r="EK44" s="29">
        <f>IF(COUNT(I44:DY44)&lt;5,AVERAGE(I44:DY44),SUMPRODUCT(LARGE(I44:DY44,{1,2,3,4,5}))/5)</f>
        <v>52.04987588558172</v>
      </c>
      <c r="EL44" s="29">
        <f t="shared" si="10"/>
        <v>51.210031371095752</v>
      </c>
      <c r="EM44" s="116" t="str">
        <f t="shared" si="9"/>
        <v xml:space="preserve">BONACCI, Tom </v>
      </c>
      <c r="EQ44"/>
    </row>
    <row r="45" spans="1:147" x14ac:dyDescent="0.25">
      <c r="A45" s="59">
        <f t="shared" si="11"/>
        <v>42</v>
      </c>
      <c r="B45" s="32" t="s">
        <v>1037</v>
      </c>
      <c r="C45" s="5" t="s">
        <v>16</v>
      </c>
      <c r="D45" s="6" t="s">
        <v>67</v>
      </c>
      <c r="E45" s="6">
        <v>72.650782880097523</v>
      </c>
      <c r="F45" s="6">
        <v>72.650782880097523</v>
      </c>
      <c r="G45" s="5">
        <f t="shared" si="0"/>
        <v>5</v>
      </c>
      <c r="H45" s="8">
        <v>0</v>
      </c>
      <c r="I45" s="107"/>
      <c r="J45" s="7"/>
      <c r="K45" s="74"/>
      <c r="L45" s="7"/>
      <c r="M45" s="74"/>
      <c r="N45" s="74"/>
      <c r="O45" s="7"/>
      <c r="P45" s="74"/>
      <c r="Q45" s="7"/>
      <c r="R45" s="103"/>
      <c r="S45" s="74"/>
      <c r="T45" s="7"/>
      <c r="U45" s="7"/>
      <c r="V45" s="74"/>
      <c r="W45" s="7"/>
      <c r="X45" s="14">
        <f>(INDEX('Race 16'!$E$8:$E$200,(MATCH($B45,'Race 16'!$B$8:$B$200,0)),1))*100</f>
        <v>75.904215187132493</v>
      </c>
      <c r="Y45" s="227">
        <f>(INDEX('Race 17'!$E$8:$E$200,(MATCH($B45,'Race 17'!$B$8:$B$200,0)),1))*100</f>
        <v>69.397350573062539</v>
      </c>
      <c r="Z45" s="228"/>
      <c r="AA45" s="74"/>
      <c r="AB45" s="74"/>
      <c r="AC45" s="74"/>
      <c r="AD45" s="74"/>
      <c r="AE45" s="7"/>
      <c r="AF45" s="74"/>
      <c r="AG45" s="74"/>
      <c r="AH45" s="7"/>
      <c r="AI45" s="7"/>
      <c r="AJ45" s="7"/>
      <c r="AK45" s="7"/>
      <c r="AL45" s="7"/>
      <c r="AM45" s="7"/>
      <c r="AN45" s="7"/>
      <c r="AO45" s="74"/>
      <c r="AP45" s="7"/>
      <c r="AQ45" s="74"/>
      <c r="AR45" s="101"/>
      <c r="AS45" s="7"/>
      <c r="AT45" s="74"/>
      <c r="AU45" s="7"/>
      <c r="AV45" s="74"/>
      <c r="AW45" s="7"/>
      <c r="AX45" s="184"/>
      <c r="AY45" s="207"/>
      <c r="AZ45" s="103"/>
      <c r="BA45" s="103"/>
      <c r="BB45" s="74"/>
      <c r="BC45" s="74"/>
      <c r="BD45" s="7"/>
      <c r="BE45" s="7"/>
      <c r="BF45" s="74"/>
      <c r="BG45" s="103"/>
      <c r="BH45" s="103"/>
      <c r="BI45" s="74"/>
      <c r="BJ45" s="103"/>
      <c r="BK45" s="7"/>
      <c r="BL45" s="103"/>
      <c r="BM45" s="7"/>
      <c r="BN45" s="103"/>
      <c r="BO45" s="103"/>
      <c r="BP45" s="7"/>
      <c r="BQ45" s="7"/>
      <c r="BR45" s="74"/>
      <c r="BS45" s="7"/>
      <c r="BT45" s="7"/>
      <c r="BU45" s="74"/>
      <c r="BV45" s="74"/>
      <c r="BW45" s="74"/>
      <c r="BX45" s="74"/>
      <c r="BY45" s="103"/>
      <c r="BZ45" s="103"/>
      <c r="CA45" s="7"/>
      <c r="CB45" s="74"/>
      <c r="CC45" s="103"/>
      <c r="CD45" s="74"/>
      <c r="CE45" s="7"/>
      <c r="CF45" s="74"/>
      <c r="CG45" s="103"/>
      <c r="CH45" s="70"/>
      <c r="CI45" s="103"/>
      <c r="CJ45" s="103"/>
      <c r="CK45" s="101"/>
      <c r="CL45" s="101"/>
      <c r="CM45" s="101"/>
      <c r="CN45" s="74"/>
      <c r="CO45" s="101">
        <f>(INDEX('Race 85'!$E$8:$E$200,(MATCH($B45,'Race 85'!$B$8:$B$200,0)),1))*100</f>
        <v>78.887246650937257</v>
      </c>
      <c r="CP45" s="74"/>
      <c r="CQ45" s="74">
        <f>(INDEX('Race 87'!$E$8:$E$200,(MATCH($B45,'Race 87'!$B$8:$B$200,0)),1))*100</f>
        <v>82.653341285923247</v>
      </c>
      <c r="CR45" s="74"/>
      <c r="CS45" s="74"/>
      <c r="CT45" s="74"/>
      <c r="CU45" s="74"/>
      <c r="CV45" s="74"/>
      <c r="CW45" s="74">
        <f>(INDEX('Race 93'!$E$8:$E$200,(MATCH($B45,'Race 93'!$B$8:$B$200,0)),1))*100</f>
        <v>83.537496214240008</v>
      </c>
      <c r="CX45" s="7"/>
      <c r="CY45" s="7"/>
      <c r="CZ45" s="74"/>
      <c r="DA45" s="103"/>
      <c r="DB45" s="103"/>
      <c r="DC45" s="103"/>
      <c r="DD45" s="74"/>
      <c r="DE45" s="74"/>
      <c r="DF45" s="74"/>
      <c r="DG45" s="74"/>
      <c r="DH45" s="74"/>
      <c r="DI45" s="74"/>
      <c r="DJ45" s="74"/>
      <c r="DK45" s="74"/>
      <c r="DL45" s="74"/>
      <c r="DM45" s="103"/>
      <c r="DN45" s="74"/>
      <c r="DO45" s="103"/>
      <c r="DP45" s="74"/>
      <c r="DQ45" s="103"/>
      <c r="DR45" s="74"/>
      <c r="DS45" s="74"/>
      <c r="DT45" s="103"/>
      <c r="DU45" s="74"/>
      <c r="DV45" s="103"/>
      <c r="DW45" s="74"/>
      <c r="DX45" s="103"/>
      <c r="DY45" s="103"/>
      <c r="DZ45" s="8">
        <f t="shared" si="1"/>
        <v>78.075929982259112</v>
      </c>
      <c r="EA45" s="3" t="str">
        <f t="shared" si="2"/>
        <v>Bonacci, Vincent</v>
      </c>
      <c r="EB45" s="2">
        <f t="shared" si="3"/>
        <v>1</v>
      </c>
      <c r="EC45" s="112">
        <f t="shared" si="13"/>
        <v>0</v>
      </c>
      <c r="ED45" s="29">
        <f t="shared" si="4"/>
        <v>76.816145200963291</v>
      </c>
      <c r="EE45" s="2">
        <f t="shared" si="5"/>
        <v>2</v>
      </c>
      <c r="EF45" s="46">
        <f t="shared" si="6"/>
        <v>2</v>
      </c>
      <c r="EG45" s="46">
        <f t="shared" si="7"/>
        <v>5</v>
      </c>
      <c r="EH45" s="2" t="str">
        <f t="shared" si="8"/>
        <v>UT</v>
      </c>
      <c r="EI45" s="29">
        <f>IF(COUNT(I45:Y45)&lt;5,DZ45,SUMPRODUCT(LARGE(I45:Y45,{1,2,3,4,5}))/5)</f>
        <v>78.075929982259112</v>
      </c>
      <c r="EJ45" s="29">
        <f>IF(COUNT(I45:AX45)&lt;5,DZ45,SUMPRODUCT(LARGE(I45:AX45,{1,2,3,4,5}))/5)</f>
        <v>78.075929982259112</v>
      </c>
      <c r="EK45" s="112">
        <f>IF(COUNT(I45:DY45)&lt;5,AVERAGE(I45:DY45),SUMPRODUCT(LARGE(I45:DY45,{1,2,3,4,5}))/5)</f>
        <v>78.075929982259098</v>
      </c>
      <c r="EL45" s="29">
        <f t="shared" si="10"/>
        <v>76.816145200963291</v>
      </c>
      <c r="EM45" s="116" t="str">
        <f t="shared" si="9"/>
        <v>Bonacci, Vincent</v>
      </c>
      <c r="EQ45"/>
    </row>
    <row r="46" spans="1:147" x14ac:dyDescent="0.25">
      <c r="A46" s="59">
        <f t="shared" si="11"/>
        <v>43</v>
      </c>
      <c r="B46" s="32" t="s">
        <v>1342</v>
      </c>
      <c r="C46" s="5" t="s">
        <v>16</v>
      </c>
      <c r="D46" s="5" t="s">
        <v>87</v>
      </c>
      <c r="E46" s="6">
        <v>0</v>
      </c>
      <c r="F46" s="6">
        <v>0</v>
      </c>
      <c r="G46" s="5">
        <f t="shared" si="0"/>
        <v>2</v>
      </c>
      <c r="H46" s="8">
        <v>0</v>
      </c>
      <c r="I46" s="36"/>
      <c r="J46" s="7"/>
      <c r="K46" s="7"/>
      <c r="L46" s="7"/>
      <c r="M46" s="14"/>
      <c r="N46" s="7"/>
      <c r="O46" s="7"/>
      <c r="P46" s="14"/>
      <c r="Q46" s="14"/>
      <c r="R46" s="7"/>
      <c r="S46" s="7"/>
      <c r="T46" s="7"/>
      <c r="U46" s="7"/>
      <c r="V46" s="14"/>
      <c r="W46" s="7"/>
      <c r="X46" s="7"/>
      <c r="Y46" s="227"/>
      <c r="Z46" s="228"/>
      <c r="AA46" s="7"/>
      <c r="AB46" s="7"/>
      <c r="AC46" s="7"/>
      <c r="AD46" s="14"/>
      <c r="AE46" s="7"/>
      <c r="AF46" s="7"/>
      <c r="AG46" s="14"/>
      <c r="AH46" s="7"/>
      <c r="AI46" s="7"/>
      <c r="AJ46" s="7"/>
      <c r="AK46" s="7"/>
      <c r="AL46" s="7"/>
      <c r="AM46" s="7"/>
      <c r="AN46" s="7"/>
      <c r="AO46" s="74"/>
      <c r="AP46" s="7"/>
      <c r="AQ46" s="74"/>
      <c r="AR46" s="70"/>
      <c r="AS46" s="7"/>
      <c r="AT46" s="70"/>
      <c r="AU46" s="7"/>
      <c r="AV46" s="70"/>
      <c r="AW46" s="7"/>
      <c r="AX46" s="184"/>
      <c r="AY46" s="207"/>
      <c r="AZ46" s="7"/>
      <c r="BA46" s="14"/>
      <c r="BB46" s="7"/>
      <c r="BC46" s="7"/>
      <c r="BD46" s="7"/>
      <c r="BE46" s="7"/>
      <c r="BF46" s="14"/>
      <c r="BG46" s="14"/>
      <c r="BH46" s="14"/>
      <c r="BI46" s="14"/>
      <c r="BJ46" s="14"/>
      <c r="BK46" s="7"/>
      <c r="BL46" s="14"/>
      <c r="BM46" s="7"/>
      <c r="BN46" s="103"/>
      <c r="BO46" s="14"/>
      <c r="BP46" s="7"/>
      <c r="BQ46" s="7"/>
      <c r="BR46" s="7"/>
      <c r="BS46" s="7"/>
      <c r="BT46" s="7"/>
      <c r="BU46" s="7"/>
      <c r="BV46" s="7"/>
      <c r="BW46" s="7"/>
      <c r="BX46" s="7"/>
      <c r="BY46" s="14"/>
      <c r="BZ46" s="14"/>
      <c r="CA46" s="7"/>
      <c r="CB46" s="7"/>
      <c r="CC46" s="14"/>
      <c r="CD46" s="7"/>
      <c r="CE46" s="7"/>
      <c r="CF46" s="14"/>
      <c r="CG46" s="14"/>
      <c r="CH46" s="7"/>
      <c r="CI46" s="14"/>
      <c r="CJ46" s="14"/>
      <c r="CK46" s="101"/>
      <c r="CL46" s="74"/>
      <c r="CM46" s="7"/>
      <c r="CN46" s="74"/>
      <c r="CO46" s="70"/>
      <c r="CP46" s="101"/>
      <c r="CQ46" s="7"/>
      <c r="CR46" s="74">
        <f>(INDEX('Race 88'!$E$8:$E$200,(MATCH($B46,'Race 88'!$B$8:$B$200,0)),1))*100</f>
        <v>73.763944141838209</v>
      </c>
      <c r="CS46" s="74">
        <f>(INDEX('Race 89'!$E$8:$E$200,(MATCH($B46,'Race 89'!$B$8:$B$200,0)),1))*100</f>
        <v>74.334839373707865</v>
      </c>
      <c r="CT46" s="74"/>
      <c r="CU46" s="74"/>
      <c r="CV46" s="74"/>
      <c r="CW46" s="7"/>
      <c r="CX46" s="7"/>
      <c r="CY46" s="7"/>
      <c r="CZ46" s="7"/>
      <c r="DA46" s="14"/>
      <c r="DB46" s="14"/>
      <c r="DC46" s="14"/>
      <c r="DD46" s="14"/>
      <c r="DE46" s="74"/>
      <c r="DF46" s="74"/>
      <c r="DG46" s="74"/>
      <c r="DH46" s="74"/>
      <c r="DI46" s="74"/>
      <c r="DJ46" s="7"/>
      <c r="DK46" s="7"/>
      <c r="DL46" s="7"/>
      <c r="DM46" s="7"/>
      <c r="DN46" s="14"/>
      <c r="DO46" s="14"/>
      <c r="DP46" s="14"/>
      <c r="DQ46" s="14"/>
      <c r="DR46" s="7"/>
      <c r="DS46" s="7"/>
      <c r="DT46" s="14"/>
      <c r="DU46" s="7"/>
      <c r="DV46" s="14"/>
      <c r="DW46" s="14"/>
      <c r="DX46" s="14"/>
      <c r="DY46" s="14"/>
      <c r="DZ46" s="8">
        <f t="shared" si="1"/>
        <v>74.049391757773037</v>
      </c>
      <c r="EA46" s="3" t="str">
        <f t="shared" si="2"/>
        <v>Bordes, Etienne</v>
      </c>
      <c r="EB46" s="2">
        <f t="shared" si="3"/>
        <v>1</v>
      </c>
      <c r="EC46" s="112">
        <f t="shared" si="13"/>
        <v>0</v>
      </c>
      <c r="ED46" s="29">
        <f t="shared" si="4"/>
        <v>72.854576699894764</v>
      </c>
      <c r="EE46" s="2">
        <f t="shared" si="5"/>
        <v>0</v>
      </c>
      <c r="EF46" s="46">
        <f t="shared" si="6"/>
        <v>0</v>
      </c>
      <c r="EG46" s="46">
        <f t="shared" si="7"/>
        <v>2</v>
      </c>
      <c r="EH46" s="2" t="str">
        <f t="shared" si="8"/>
        <v>CA</v>
      </c>
      <c r="EI46" s="29">
        <f>IF(COUNT(I46:AD46)&lt;5,DZ46,SUMPRODUCT(LARGE(I46:AD46,{1,2,3,4,5}))/5)</f>
        <v>74.049391757773037</v>
      </c>
      <c r="EJ46" s="29">
        <f>IF(COUNT(I46:BE46)&lt;5,DZ46,SUMPRODUCT(LARGE(I46:BE46,{1,2,3,4,5}))/5)</f>
        <v>74.049391757773037</v>
      </c>
      <c r="EK46" s="112">
        <f>IF(COUNT(I46:DY46)&lt;5,AVERAGE(I46:DY46),SUMPRODUCT(LARGE(I46:DY46,{1,2,3,4,5}))/5)</f>
        <v>74.049391757773037</v>
      </c>
      <c r="EL46" s="29">
        <f t="shared" si="10"/>
        <v>72.854576699894764</v>
      </c>
      <c r="EM46" s="116" t="str">
        <f t="shared" si="9"/>
        <v>Bordes, Etienne</v>
      </c>
      <c r="EQ46"/>
    </row>
    <row r="47" spans="1:147" x14ac:dyDescent="0.25">
      <c r="A47" s="59">
        <f t="shared" si="11"/>
        <v>44</v>
      </c>
      <c r="B47" s="32" t="s">
        <v>790</v>
      </c>
      <c r="C47" s="5" t="s">
        <v>6</v>
      </c>
      <c r="D47" s="6" t="s">
        <v>88</v>
      </c>
      <c r="E47" s="6">
        <v>57.678604572299705</v>
      </c>
      <c r="F47" s="6">
        <v>52.831387637051272</v>
      </c>
      <c r="G47" s="5">
        <f t="shared" si="0"/>
        <v>2</v>
      </c>
      <c r="H47" s="60">
        <v>57.678604572299705</v>
      </c>
      <c r="I47" s="107"/>
      <c r="J47" s="7"/>
      <c r="K47" s="103"/>
      <c r="L47" s="7"/>
      <c r="M47" s="103"/>
      <c r="N47" s="74"/>
      <c r="O47" s="7"/>
      <c r="P47" s="103"/>
      <c r="Q47" s="74"/>
      <c r="R47" s="103"/>
      <c r="S47" s="103"/>
      <c r="T47" s="7"/>
      <c r="U47" s="7"/>
      <c r="V47" s="103"/>
      <c r="W47" s="7"/>
      <c r="X47" s="103"/>
      <c r="Y47" s="227"/>
      <c r="Z47" s="228"/>
      <c r="AA47" s="74"/>
      <c r="AB47" s="74"/>
      <c r="AC47" s="74"/>
      <c r="AD47" s="103"/>
      <c r="AE47" s="7"/>
      <c r="AF47" s="103"/>
      <c r="AG47" s="74"/>
      <c r="AH47" s="7"/>
      <c r="AI47" s="7"/>
      <c r="AJ47" s="7"/>
      <c r="AK47" s="7"/>
      <c r="AL47" s="7"/>
      <c r="AM47" s="7"/>
      <c r="AN47" s="7"/>
      <c r="AO47" s="74">
        <f>(INDEX('Race 33'!$E$8:$E$200,(MATCH($B47,'Race 33'!$B$8:$B$200,0)),1))*100</f>
        <v>52.831387637051272</v>
      </c>
      <c r="AP47" s="7"/>
      <c r="AQ47" s="74"/>
      <c r="AR47" s="101"/>
      <c r="AS47" s="7"/>
      <c r="AT47" s="70"/>
      <c r="AU47" s="7"/>
      <c r="AV47" s="70"/>
      <c r="AW47" s="7"/>
      <c r="AX47" s="184"/>
      <c r="AY47" s="207"/>
      <c r="AZ47" s="103"/>
      <c r="BA47" s="103"/>
      <c r="BB47" s="103"/>
      <c r="BC47" s="74"/>
      <c r="BD47" s="7"/>
      <c r="BE47" s="7"/>
      <c r="BF47" s="103"/>
      <c r="BG47" s="14"/>
      <c r="BH47" s="14"/>
      <c r="BI47" s="103"/>
      <c r="BJ47" s="103"/>
      <c r="BK47" s="7"/>
      <c r="BL47" s="103"/>
      <c r="BM47" s="7"/>
      <c r="BN47" s="103"/>
      <c r="BO47" s="103">
        <f>(INDEX('Race 59'!$E$8:$E$200,(MATCH($B47,'Race 59'!$B$8:$B$200,0)),1))*100</f>
        <v>55.013172669132551</v>
      </c>
      <c r="BP47" s="7"/>
      <c r="BQ47" s="7"/>
      <c r="BR47" s="74"/>
      <c r="BS47" s="7"/>
      <c r="BT47" s="7"/>
      <c r="BU47" s="74"/>
      <c r="BV47" s="74"/>
      <c r="BW47" s="74"/>
      <c r="BX47" s="74"/>
      <c r="BY47" s="103"/>
      <c r="BZ47" s="103"/>
      <c r="CA47" s="7"/>
      <c r="CB47" s="74"/>
      <c r="CC47" s="103"/>
      <c r="CD47" s="74"/>
      <c r="CE47" s="7"/>
      <c r="CF47" s="103"/>
      <c r="CG47" s="103"/>
      <c r="CH47" s="70"/>
      <c r="CI47" s="103"/>
      <c r="CJ47" s="103"/>
      <c r="CK47" s="101"/>
      <c r="CL47" s="74"/>
      <c r="CM47" s="74"/>
      <c r="CN47" s="74"/>
      <c r="CO47" s="101"/>
      <c r="CP47" s="74"/>
      <c r="CQ47" s="74"/>
      <c r="CR47" s="74"/>
      <c r="CS47" s="74"/>
      <c r="CT47" s="74"/>
      <c r="CU47" s="74"/>
      <c r="CV47" s="74"/>
      <c r="CW47" s="74"/>
      <c r="CX47" s="7"/>
      <c r="CY47" s="7"/>
      <c r="CZ47" s="74"/>
      <c r="DA47" s="103"/>
      <c r="DB47" s="103"/>
      <c r="DC47" s="103"/>
      <c r="DD47" s="103"/>
      <c r="DE47" s="74"/>
      <c r="DF47" s="74"/>
      <c r="DG47" s="74"/>
      <c r="DH47" s="74"/>
      <c r="DI47" s="74"/>
      <c r="DJ47" s="103"/>
      <c r="DK47" s="74"/>
      <c r="DL47" s="74"/>
      <c r="DM47" s="103"/>
      <c r="DN47" s="103"/>
      <c r="DO47" s="103"/>
      <c r="DP47" s="103"/>
      <c r="DQ47" s="74"/>
      <c r="DR47" s="7"/>
      <c r="DS47" s="7"/>
      <c r="DT47" s="103"/>
      <c r="DU47" s="74"/>
      <c r="DV47" s="74"/>
      <c r="DW47" s="103"/>
      <c r="DX47" s="103"/>
      <c r="DY47" s="103"/>
      <c r="DZ47" s="8">
        <f t="shared" si="1"/>
        <v>53.922280153091911</v>
      </c>
      <c r="EA47" s="22" t="str">
        <f t="shared" si="2"/>
        <v>Borgnes, Erik</v>
      </c>
      <c r="EB47" s="56">
        <f t="shared" si="3"/>
        <v>1</v>
      </c>
      <c r="EC47" s="112">
        <f t="shared" si="13"/>
        <v>57.678604572299705</v>
      </c>
      <c r="ED47" s="112">
        <f t="shared" si="4"/>
        <v>53.052223684663431</v>
      </c>
      <c r="EE47" s="56">
        <f t="shared" si="5"/>
        <v>0</v>
      </c>
      <c r="EF47" s="111">
        <f t="shared" si="6"/>
        <v>2</v>
      </c>
      <c r="EG47" s="111">
        <f t="shared" si="7"/>
        <v>2</v>
      </c>
      <c r="EH47" s="56" t="str">
        <f t="shared" si="8"/>
        <v>WI</v>
      </c>
      <c r="EI47" s="112">
        <f>IF(COUNT(I47:Y47)&lt;5,DZ47,SUMPRODUCT(LARGE(I47:Y47,{1,2,3,4,5}))/5)</f>
        <v>53.922280153091911</v>
      </c>
      <c r="EJ47" s="112">
        <f>IF(COUNT(I47:AX47)&lt;5,DZ47,SUMPRODUCT(LARGE(I47:AX47,{1,2,3,4,5}))/5)</f>
        <v>53.922280153091911</v>
      </c>
      <c r="EK47" s="29">
        <f>IF(COUNT(I47:DY47)&lt;5,AVERAGE(I47:DY47),SUMPRODUCT(LARGE(I47:DY47,{1,2,3,4,5}))/5)</f>
        <v>53.922280153091911</v>
      </c>
      <c r="EL47" s="112">
        <f t="shared" si="10"/>
        <v>53.052223684663431</v>
      </c>
      <c r="EM47" s="163" t="str">
        <f t="shared" si="9"/>
        <v>Borgnes, Erik</v>
      </c>
      <c r="EQ47"/>
    </row>
    <row r="48" spans="1:147" x14ac:dyDescent="0.25">
      <c r="A48" s="59">
        <f t="shared" si="11"/>
        <v>45</v>
      </c>
      <c r="B48" s="32" t="s">
        <v>106</v>
      </c>
      <c r="C48" s="5" t="s">
        <v>6</v>
      </c>
      <c r="D48" s="6" t="s">
        <v>62</v>
      </c>
      <c r="E48" s="6">
        <v>66.743668731500662</v>
      </c>
      <c r="F48" s="6">
        <v>68.483457061753498</v>
      </c>
      <c r="G48" s="5">
        <f t="shared" ref="G48:G111" si="14">COUNT(I48:DY48)</f>
        <v>8</v>
      </c>
      <c r="H48" s="60">
        <v>66.743668731500662</v>
      </c>
      <c r="I48" s="107"/>
      <c r="J48" s="7"/>
      <c r="K48" s="103"/>
      <c r="L48" s="7"/>
      <c r="M48" s="103"/>
      <c r="N48" s="7"/>
      <c r="O48" s="7"/>
      <c r="P48" s="103"/>
      <c r="Q48" s="14"/>
      <c r="R48" s="14"/>
      <c r="S48" s="103"/>
      <c r="T48" s="7"/>
      <c r="U48" s="7"/>
      <c r="V48" s="103"/>
      <c r="W48" s="7"/>
      <c r="X48" s="103"/>
      <c r="Y48" s="227"/>
      <c r="Z48" s="228"/>
      <c r="AA48" s="74"/>
      <c r="AB48" s="7"/>
      <c r="AC48" s="14"/>
      <c r="AD48" s="103">
        <f>(INDEX('Race 22'!$E$8:$E$200,(MATCH($B48,'Race 22'!$B$8:$B$200,0)),1))*100</f>
        <v>70.031052840003198</v>
      </c>
      <c r="AE48" s="7"/>
      <c r="AF48" s="103"/>
      <c r="AG48" s="74">
        <f>(INDEX('Race 25'!$E$8:$E$200,(MATCH($B48,'Race 25'!$B$8:$B$200,0)),1))*100</f>
        <v>67.653842940230575</v>
      </c>
      <c r="AH48" s="7"/>
      <c r="AI48" s="7"/>
      <c r="AJ48" s="7"/>
      <c r="AK48" s="7"/>
      <c r="AL48" s="74">
        <f>(INDEX('Race 30'!$E$8:$E$200,(MATCH($B48,'Race 30'!$B$8:$B$200,0)),1))*100</f>
        <v>67.765475405026748</v>
      </c>
      <c r="AM48" s="7"/>
      <c r="AN48" s="7"/>
      <c r="AO48" s="7"/>
      <c r="AP48" s="7"/>
      <c r="AQ48" s="74"/>
      <c r="AR48" s="101"/>
      <c r="AS48" s="7"/>
      <c r="AT48" s="101"/>
      <c r="AU48" s="7"/>
      <c r="AV48" s="101"/>
      <c r="AW48" s="7"/>
      <c r="AX48" s="185"/>
      <c r="AY48" s="208"/>
      <c r="AZ48" s="103"/>
      <c r="BA48" s="103"/>
      <c r="BB48" s="74"/>
      <c r="BC48" s="74"/>
      <c r="BD48" s="7"/>
      <c r="BE48" s="7"/>
      <c r="BF48" s="103"/>
      <c r="BG48" s="103"/>
      <c r="BH48" s="103"/>
      <c r="BI48" s="103"/>
      <c r="BJ48" s="103"/>
      <c r="BK48" s="7"/>
      <c r="BL48" s="103"/>
      <c r="BM48" s="7"/>
      <c r="BN48" s="103"/>
      <c r="BO48" s="103"/>
      <c r="BP48" s="7"/>
      <c r="BQ48" s="7"/>
      <c r="BR48" s="74"/>
      <c r="BS48" s="7">
        <f>(INDEX('Race 63'!$E$8:$E$200,(MATCH($B48,'Race 63'!$B$8:$B$200,0)),1))*100</f>
        <v>72.933807024000444</v>
      </c>
      <c r="BT48" s="7">
        <f>(INDEX('Race 64'!$E$8:$E$200,(MATCH($B48,'Race 64'!$B$8:$B$200,0)),1))*100</f>
        <v>69.163038888634304</v>
      </c>
      <c r="BU48" s="74"/>
      <c r="BV48" s="74"/>
      <c r="BW48" s="74"/>
      <c r="BX48" s="74"/>
      <c r="BY48" s="101"/>
      <c r="BZ48" s="103"/>
      <c r="CA48" s="7"/>
      <c r="CB48" s="74"/>
      <c r="CC48" s="103"/>
      <c r="CD48" s="101"/>
      <c r="CE48" s="7"/>
      <c r="CF48" s="103"/>
      <c r="CG48" s="101"/>
      <c r="CH48" s="70"/>
      <c r="CI48" s="103"/>
      <c r="CJ48" s="103"/>
      <c r="CK48" s="101"/>
      <c r="CL48" s="101"/>
      <c r="CM48" s="74"/>
      <c r="CN48" s="74"/>
      <c r="CO48" s="101">
        <f>(INDEX('Race 85'!$E$8:$E$200,(MATCH($B48,'Race 85'!$B$8:$B$200,0)),1))*100</f>
        <v>66.59895467688564</v>
      </c>
      <c r="CP48" s="74"/>
      <c r="CQ48" s="74">
        <f>(INDEX('Race 87'!$E$8:$E$200,(MATCH($B48,'Race 87'!$B$8:$B$200,0)),1))*100</f>
        <v>64.965399541959727</v>
      </c>
      <c r="CR48" s="74"/>
      <c r="CS48" s="74"/>
      <c r="CT48" s="74"/>
      <c r="CU48" s="74"/>
      <c r="CV48" s="74">
        <f>(INDEX('Race 92'!$E$8:$E$200,(MATCH($B48,'Race 92'!$B$8:$B$200,0)),1))*100</f>
        <v>64.017905156078086</v>
      </c>
      <c r="CW48" s="74"/>
      <c r="CX48" s="7"/>
      <c r="CY48" s="7"/>
      <c r="CZ48" s="74"/>
      <c r="DA48" s="103"/>
      <c r="DB48" s="14"/>
      <c r="DC48" s="14"/>
      <c r="DD48" s="103"/>
      <c r="DE48" s="74"/>
      <c r="DF48" s="74"/>
      <c r="DG48" s="74"/>
      <c r="DH48" s="74"/>
      <c r="DI48" s="74"/>
      <c r="DJ48" s="103"/>
      <c r="DK48" s="74"/>
      <c r="DL48" s="74"/>
      <c r="DM48" s="103"/>
      <c r="DN48" s="103"/>
      <c r="DO48" s="103"/>
      <c r="DP48" s="103"/>
      <c r="DQ48" s="103"/>
      <c r="DR48" s="7"/>
      <c r="DS48" s="7"/>
      <c r="DT48" s="103"/>
      <c r="DU48" s="74"/>
      <c r="DV48" s="103"/>
      <c r="DW48" s="103"/>
      <c r="DX48" s="103"/>
      <c r="DY48" s="103"/>
      <c r="DZ48" s="8">
        <f t="shared" ref="DZ48:DZ111" si="15">IF(EB48&gt;0,AVERAGE(I48:DY48),H48)</f>
        <v>67.891184559102328</v>
      </c>
      <c r="EA48" s="3" t="str">
        <f t="shared" ref="EA48:EA111" si="16">B48</f>
        <v>Boschen, Kyle</v>
      </c>
      <c r="EB48" s="2">
        <f t="shared" ref="EB48:EB111" si="17">IF(G48&gt;0,1,0)</f>
        <v>1</v>
      </c>
      <c r="EC48" s="112">
        <f t="shared" ref="EC48:EC65" si="18">H48</f>
        <v>66.743668731500662</v>
      </c>
      <c r="ED48" s="29">
        <f t="shared" ref="ED48:ED111" si="19">EL48</f>
        <v>68.387882152281634</v>
      </c>
      <c r="EE48" s="2">
        <f t="shared" ref="EE48:EE111" si="20">COUNT(I48:AH48)</f>
        <v>2</v>
      </c>
      <c r="EF48" s="46">
        <f t="shared" ref="EF48:EF111" si="21">COUNT(I48:BQ48)</f>
        <v>3</v>
      </c>
      <c r="EG48" s="46">
        <f t="shared" ref="EG48:EG111" si="22">COUNT(I48:DY48)</f>
        <v>8</v>
      </c>
      <c r="EH48" s="29" t="str">
        <f t="shared" ref="EH48:EH111" si="23">D48</f>
        <v>CO</v>
      </c>
      <c r="EI48" s="29">
        <f>IF(COUNT(I48:Y48)&lt;5,DZ48,SUMPRODUCT(LARGE(I48:Y48,{1,2,3,4,5}))/5)</f>
        <v>67.891184559102328</v>
      </c>
      <c r="EJ48" s="29">
        <f>IF(COUNT(I48:AX48)&lt;5,DZ48,SUMPRODUCT(LARGE(I48:AX48,{1,2,3,4,5}))/5)</f>
        <v>67.891184559102328</v>
      </c>
      <c r="EK48" s="29">
        <f>IF(COUNT(I48:DY48)&lt;5,AVERAGE(I48:DY48),SUMPRODUCT(LARGE(I48:DY48,{1,2,3,4,5}))/5)</f>
        <v>69.509443419579057</v>
      </c>
      <c r="EL48" s="29">
        <f t="shared" ref="EL48:EL111" si="24">(EK48*100)/101.64</f>
        <v>68.387882152281634</v>
      </c>
      <c r="EM48" s="116" t="str">
        <f t="shared" ref="EM48:EM111" si="25">B48</f>
        <v>Boschen, Kyle</v>
      </c>
      <c r="EQ48"/>
    </row>
    <row r="49" spans="1:147" x14ac:dyDescent="0.25">
      <c r="A49" s="59">
        <f t="shared" si="11"/>
        <v>46</v>
      </c>
      <c r="B49" s="32" t="s">
        <v>924</v>
      </c>
      <c r="C49" s="5" t="s">
        <v>6</v>
      </c>
      <c r="D49" s="6" t="s">
        <v>781</v>
      </c>
      <c r="E49" s="6">
        <v>33.693573573651193</v>
      </c>
      <c r="F49" s="6">
        <v>43.719108705951157</v>
      </c>
      <c r="G49" s="5">
        <f t="shared" si="14"/>
        <v>4</v>
      </c>
      <c r="H49" s="8">
        <v>33.693573573651193</v>
      </c>
      <c r="I49" s="36"/>
      <c r="J49" s="7"/>
      <c r="K49" s="14"/>
      <c r="L49" s="7"/>
      <c r="M49" s="14"/>
      <c r="N49" s="7"/>
      <c r="O49" s="7"/>
      <c r="P49" s="14"/>
      <c r="Q49" s="14"/>
      <c r="R49" s="14"/>
      <c r="S49" s="14"/>
      <c r="T49" s="7"/>
      <c r="U49" s="7"/>
      <c r="V49" s="14"/>
      <c r="W49" s="7"/>
      <c r="X49" s="14"/>
      <c r="Y49" s="227"/>
      <c r="Z49" s="228"/>
      <c r="AA49" s="7"/>
      <c r="AB49" s="7"/>
      <c r="AC49" s="7"/>
      <c r="AD49" s="14"/>
      <c r="AE49" s="7"/>
      <c r="AF49" s="14"/>
      <c r="AG49" s="7"/>
      <c r="AH49" s="7"/>
      <c r="AI49" s="7"/>
      <c r="AJ49" s="7"/>
      <c r="AK49" s="7"/>
      <c r="AL49" s="7"/>
      <c r="AM49" s="7"/>
      <c r="AN49" s="7"/>
      <c r="AO49" s="74"/>
      <c r="AP49" s="7"/>
      <c r="AQ49" s="74"/>
      <c r="AR49" s="70"/>
      <c r="AS49" s="7"/>
      <c r="AT49" s="70"/>
      <c r="AU49" s="7"/>
      <c r="AV49" s="70"/>
      <c r="AW49" s="7">
        <f>(INDEX('Race 41'!$E$8:$E$200,(MATCH($B49,'Race 41'!$B$8:$B$200,0)),1))*100</f>
        <v>42.403847639647367</v>
      </c>
      <c r="AX49" s="185">
        <f>(INDEX('Race 42'!$E$8:$E$200,(MATCH($B49,'Race 42'!$B$8:$B$200,0)),1))*100</f>
        <v>45.034369772254948</v>
      </c>
      <c r="AY49" s="207"/>
      <c r="AZ49" s="14"/>
      <c r="BA49" s="14"/>
      <c r="BB49" s="14"/>
      <c r="BC49" s="7"/>
      <c r="BD49" s="7"/>
      <c r="BE49" s="7"/>
      <c r="BF49" s="14"/>
      <c r="BG49" s="14"/>
      <c r="BH49" s="14"/>
      <c r="BI49" s="14"/>
      <c r="BJ49" s="14"/>
      <c r="BK49" s="7"/>
      <c r="BL49" s="14"/>
      <c r="BM49" s="7"/>
      <c r="BN49" s="74"/>
      <c r="BO49" s="14"/>
      <c r="BP49" s="7"/>
      <c r="BQ49" s="7"/>
      <c r="BR49" s="70"/>
      <c r="BS49" s="7"/>
      <c r="BT49" s="7"/>
      <c r="BU49" s="7"/>
      <c r="BV49" s="70"/>
      <c r="BW49" s="70"/>
      <c r="BX49" s="7"/>
      <c r="BY49" s="14"/>
      <c r="BZ49" s="14"/>
      <c r="CA49" s="7"/>
      <c r="CB49" s="7"/>
      <c r="CC49" s="14"/>
      <c r="CD49" s="7"/>
      <c r="CE49" s="74">
        <f>(INDEX('Race 75'!$E$8:$E$200,(MATCH($B49,'Race 75'!$B$8:$B$200,0)),1))*100</f>
        <v>46.163365368080285</v>
      </c>
      <c r="CF49" s="103">
        <f>(INDEX('Race 76'!$E$8:$E$200,(MATCH($B49,'Race 76'!$B$8:$B$200,0)),1))*100</f>
        <v>46.154895626268839</v>
      </c>
      <c r="CG49" s="7"/>
      <c r="CH49" s="7"/>
      <c r="CI49" s="7"/>
      <c r="CJ49" s="14"/>
      <c r="CK49" s="101"/>
      <c r="CL49" s="74"/>
      <c r="CM49" s="74"/>
      <c r="CN49" s="74"/>
      <c r="CO49" s="70"/>
      <c r="CP49" s="74"/>
      <c r="CQ49" s="7"/>
      <c r="CR49" s="74"/>
      <c r="CS49" s="74"/>
      <c r="CT49" s="74"/>
      <c r="CU49" s="74"/>
      <c r="CV49" s="7"/>
      <c r="CW49" s="7"/>
      <c r="CX49" s="7"/>
      <c r="CY49" s="7"/>
      <c r="CZ49" s="7"/>
      <c r="DA49" s="14"/>
      <c r="DB49" s="14"/>
      <c r="DC49" s="14"/>
      <c r="DD49" s="14"/>
      <c r="DE49" s="74"/>
      <c r="DF49" s="7"/>
      <c r="DG49" s="7"/>
      <c r="DH49" s="7"/>
      <c r="DI49" s="7"/>
      <c r="DJ49" s="7"/>
      <c r="DK49" s="7"/>
      <c r="DL49" s="7"/>
      <c r="DM49" s="14"/>
      <c r="DN49" s="14"/>
      <c r="DO49" s="14"/>
      <c r="DP49" s="14"/>
      <c r="DQ49" s="14"/>
      <c r="DR49" s="7"/>
      <c r="DS49" s="7"/>
      <c r="DT49" s="14"/>
      <c r="DU49" s="7"/>
      <c r="DV49" s="14"/>
      <c r="DW49" s="14"/>
      <c r="DX49" s="14"/>
      <c r="DY49" s="14"/>
      <c r="DZ49" s="8">
        <f t="shared" si="15"/>
        <v>44.939119601562865</v>
      </c>
      <c r="EA49" s="3" t="str">
        <f t="shared" si="16"/>
        <v>Bottom, Joshua</v>
      </c>
      <c r="EB49" s="2">
        <f t="shared" si="17"/>
        <v>1</v>
      </c>
      <c r="EC49" s="112">
        <f t="shared" si="18"/>
        <v>33.693573573651193</v>
      </c>
      <c r="ED49" s="29">
        <f t="shared" si="19"/>
        <v>44.214009840183849</v>
      </c>
      <c r="EE49" s="2">
        <f t="shared" si="20"/>
        <v>0</v>
      </c>
      <c r="EF49" s="46">
        <f t="shared" si="21"/>
        <v>2</v>
      </c>
      <c r="EG49" s="46">
        <f t="shared" si="22"/>
        <v>4</v>
      </c>
      <c r="EH49" s="29" t="str">
        <f t="shared" si="23"/>
        <v>KY</v>
      </c>
      <c r="EI49" s="29">
        <f>IF(COUNT(I49:Y49)&lt;5,DZ49,SUMPRODUCT(LARGE(I49:Y49,{1,2,3,4,5}))/5)</f>
        <v>44.939119601562865</v>
      </c>
      <c r="EJ49" s="29">
        <f>IF(COUNT(I49:AX49)&lt;5,DZ49,SUMPRODUCT(LARGE(I49:AX49,{1,2,3,4,5}))/5)</f>
        <v>44.939119601562865</v>
      </c>
      <c r="EK49" s="29">
        <f>IF(COUNT(I49:DY49)&lt;5,AVERAGE(I49:DY49),SUMPRODUCT(LARGE(I49:DY49,{1,2,3,4,5}))/5)</f>
        <v>44.939119601562865</v>
      </c>
      <c r="EL49" s="29">
        <f t="shared" si="24"/>
        <v>44.214009840183849</v>
      </c>
      <c r="EM49" s="116" t="str">
        <f t="shared" si="25"/>
        <v>Bottom, Joshua</v>
      </c>
      <c r="EQ49"/>
    </row>
    <row r="50" spans="1:147" x14ac:dyDescent="0.25">
      <c r="A50" s="59">
        <f t="shared" si="11"/>
        <v>47</v>
      </c>
      <c r="B50" s="32" t="s">
        <v>173</v>
      </c>
      <c r="C50" s="5" t="s">
        <v>6</v>
      </c>
      <c r="D50" s="6" t="s">
        <v>88</v>
      </c>
      <c r="E50" s="6">
        <v>87.864563738067233</v>
      </c>
      <c r="F50" s="6">
        <v>87.864563738067233</v>
      </c>
      <c r="G50" s="5">
        <f t="shared" si="14"/>
        <v>8</v>
      </c>
      <c r="H50" s="8">
        <v>89.585588407213393</v>
      </c>
      <c r="I50" s="107"/>
      <c r="J50" s="7"/>
      <c r="K50" s="14"/>
      <c r="L50" s="7"/>
      <c r="M50" s="14"/>
      <c r="N50" s="7"/>
      <c r="O50" s="7"/>
      <c r="P50" s="14"/>
      <c r="Q50" s="14">
        <f>(INDEX('Race 9'!$E$8:$E$200,(MATCH($B50,'Race 9'!$B$8:$B$200,0)),1))*100</f>
        <v>89.033934559372469</v>
      </c>
      <c r="R50" s="14"/>
      <c r="S50" s="14">
        <f>(INDEX('Race 11'!$E$8:$E$200,(MATCH($B50,'Race 11'!$B$8:$B$200,0)),1))*100</f>
        <v>86.927968457876119</v>
      </c>
      <c r="T50" s="7"/>
      <c r="U50" s="7"/>
      <c r="V50" s="14">
        <f>(INDEX('Race 14'!$E$8:$E$200,(MATCH($B50,'Race 14'!$B$8:$B$200,0)),1))*100</f>
        <v>87.864699268847971</v>
      </c>
      <c r="W50" s="7">
        <f>(INDEX('Race 15'!$E$8:$E$200,(MATCH($B50,'Race 15'!$B$8:$B$200,0)),1))*100</f>
        <v>87.631652666172386</v>
      </c>
      <c r="X50" s="14"/>
      <c r="Y50" s="227"/>
      <c r="Z50" s="7"/>
      <c r="AA50" s="7"/>
      <c r="AB50" s="7"/>
      <c r="AC50" s="14"/>
      <c r="AD50" s="74"/>
      <c r="AE50" s="74"/>
      <c r="AF50" s="14"/>
      <c r="AG50" s="7"/>
      <c r="AH50" s="7"/>
      <c r="AI50" s="7"/>
      <c r="AJ50" s="7"/>
      <c r="AK50" s="7"/>
      <c r="AL50" s="7"/>
      <c r="AM50" s="7"/>
      <c r="AN50" s="7"/>
      <c r="AO50" s="74"/>
      <c r="AP50" s="7"/>
      <c r="AQ50" s="74"/>
      <c r="AR50" s="7"/>
      <c r="AS50" s="7"/>
      <c r="AT50" s="70"/>
      <c r="AU50" s="7"/>
      <c r="AV50" s="70"/>
      <c r="AW50" s="7"/>
      <c r="AX50" s="185"/>
      <c r="AY50" s="208"/>
      <c r="AZ50" s="14"/>
      <c r="BA50" s="14">
        <f>(INDEX('Race 45'!$E$8:$E$200,(MATCH($B50,'Race 45'!$B$8:$B$200,0)),1))*100</f>
        <v>90.663271075654478</v>
      </c>
      <c r="BB50" s="14"/>
      <c r="BC50" s="7"/>
      <c r="BD50" s="7">
        <f>(INDEX('Race 48'!$E$8:$E$200,(MATCH($B50,'Race 48'!$B$8:$B$200,0)),1))*100</f>
        <v>84.966213271828281</v>
      </c>
      <c r="BE50" s="7"/>
      <c r="BF50" s="14"/>
      <c r="BG50" s="14"/>
      <c r="BH50" s="14"/>
      <c r="BI50" s="14"/>
      <c r="BJ50" s="103">
        <f>(INDEX('Race 54'!$E$8:$E$200,(MATCH($B50,'Race 54'!$B$8:$B$200,0)),1))*100</f>
        <v>85.884535121867174</v>
      </c>
      <c r="BK50" s="14"/>
      <c r="BL50" s="14"/>
      <c r="BM50" s="74">
        <f>(INDEX('Race 57'!$E$8:$E$200,(MATCH($B50,'Race 57'!$B$8:$B$200,0)),1))*100</f>
        <v>89.183300046116145</v>
      </c>
      <c r="BN50" s="14"/>
      <c r="BO50" s="14"/>
      <c r="BP50" s="7"/>
      <c r="BQ50" s="7"/>
      <c r="BR50" s="7"/>
      <c r="BS50" s="7"/>
      <c r="BT50" s="7"/>
      <c r="BU50" s="7"/>
      <c r="BV50" s="7"/>
      <c r="BW50" s="7"/>
      <c r="BX50" s="7"/>
      <c r="BY50" s="14"/>
      <c r="BZ50" s="14"/>
      <c r="CA50" s="7"/>
      <c r="CB50" s="7"/>
      <c r="CC50" s="14"/>
      <c r="CD50" s="7"/>
      <c r="CE50" s="7"/>
      <c r="CF50" s="7"/>
      <c r="CG50" s="14"/>
      <c r="CH50" s="7"/>
      <c r="CI50" s="14"/>
      <c r="CJ50" s="14"/>
      <c r="CK50" s="101"/>
      <c r="CL50" s="74"/>
      <c r="CM50" s="101"/>
      <c r="CN50" s="74"/>
      <c r="CO50" s="70"/>
      <c r="CP50" s="74"/>
      <c r="CQ50" s="7"/>
      <c r="CR50" s="74"/>
      <c r="CS50" s="74"/>
      <c r="CT50" s="74"/>
      <c r="CU50" s="74"/>
      <c r="CV50" s="74"/>
      <c r="CW50" s="7"/>
      <c r="CX50" s="7"/>
      <c r="CY50" s="7"/>
      <c r="CZ50" s="74"/>
      <c r="DA50" s="14"/>
      <c r="DB50" s="103"/>
      <c r="DC50" s="14"/>
      <c r="DD50" s="14"/>
      <c r="DE50" s="74"/>
      <c r="DF50" s="74"/>
      <c r="DG50" s="74"/>
      <c r="DH50" s="74"/>
      <c r="DI50" s="74"/>
      <c r="DJ50" s="7"/>
      <c r="DK50" s="7"/>
      <c r="DL50" s="7"/>
      <c r="DM50" s="103"/>
      <c r="DN50" s="14"/>
      <c r="DO50" s="103"/>
      <c r="DP50" s="14"/>
      <c r="DQ50" s="14"/>
      <c r="DR50" s="7"/>
      <c r="DS50" s="7"/>
      <c r="DT50" s="14"/>
      <c r="DU50" s="7"/>
      <c r="DV50" s="14"/>
      <c r="DW50" s="14"/>
      <c r="DX50" s="14"/>
      <c r="DY50" s="14"/>
      <c r="DZ50" s="8">
        <f t="shared" si="15"/>
        <v>87.769446808466896</v>
      </c>
      <c r="EA50" s="22" t="str">
        <f t="shared" si="16"/>
        <v>Bowler, Bill</v>
      </c>
      <c r="EB50" s="56">
        <f t="shared" si="17"/>
        <v>1</v>
      </c>
      <c r="EC50" s="112">
        <f t="shared" si="18"/>
        <v>89.585588407213393</v>
      </c>
      <c r="ED50" s="112">
        <f t="shared" si="19"/>
        <v>87.441333651350547</v>
      </c>
      <c r="EE50" s="56">
        <f t="shared" si="20"/>
        <v>4</v>
      </c>
      <c r="EF50" s="111">
        <f t="shared" si="21"/>
        <v>8</v>
      </c>
      <c r="EG50" s="111">
        <f t="shared" si="22"/>
        <v>8</v>
      </c>
      <c r="EH50" s="56" t="str">
        <f t="shared" si="23"/>
        <v>WI</v>
      </c>
      <c r="EI50" s="112">
        <f>IF(COUNT(I50:Y50)&lt;5,DZ50,SUMPRODUCT(LARGE(I50:Y50,{1,2,3,4,5}))/5)</f>
        <v>87.769446808466896</v>
      </c>
      <c r="EJ50" s="112">
        <f>IF(COUNT(I50:AX50)&lt;5,DZ50,SUMPRODUCT(LARGE(I50:AX50,{1,2,3,4,5}))/5)</f>
        <v>87.769446808466896</v>
      </c>
      <c r="EK50" s="112">
        <f>IF(COUNT(I50:DY50)&lt;5,AVERAGE(I50:DY50),SUMPRODUCT(LARGE(I50:DY50,{1,2,3,4,5}))/5)</f>
        <v>88.875371523232701</v>
      </c>
      <c r="EL50" s="112">
        <f t="shared" si="24"/>
        <v>87.441333651350547</v>
      </c>
      <c r="EM50" s="163" t="str">
        <f t="shared" si="25"/>
        <v>Bowler, Bill</v>
      </c>
      <c r="EQ50"/>
    </row>
    <row r="51" spans="1:147" x14ac:dyDescent="0.25">
      <c r="A51" s="59">
        <f t="shared" si="11"/>
        <v>48</v>
      </c>
      <c r="B51" s="32" t="s">
        <v>108</v>
      </c>
      <c r="C51" s="5" t="s">
        <v>6</v>
      </c>
      <c r="D51" s="6" t="s">
        <v>57</v>
      </c>
      <c r="E51" s="6">
        <v>59.774545485164211</v>
      </c>
      <c r="F51" s="6">
        <v>61.392615547752236</v>
      </c>
      <c r="G51" s="5">
        <f t="shared" si="14"/>
        <v>6</v>
      </c>
      <c r="H51" s="8">
        <v>59.774545485164211</v>
      </c>
      <c r="I51" s="36"/>
      <c r="J51" s="7"/>
      <c r="K51" s="7"/>
      <c r="L51" s="7"/>
      <c r="M51" s="14"/>
      <c r="N51" s="7"/>
      <c r="O51" s="7"/>
      <c r="P51" s="7"/>
      <c r="Q51" s="7"/>
      <c r="R51" s="14"/>
      <c r="S51" s="14"/>
      <c r="T51" s="7"/>
      <c r="U51" s="7"/>
      <c r="V51" s="14"/>
      <c r="W51" s="7"/>
      <c r="X51" s="14"/>
      <c r="Y51" s="227"/>
      <c r="Z51" s="228"/>
      <c r="AA51" s="7"/>
      <c r="AB51" s="7"/>
      <c r="AC51" s="14"/>
      <c r="AD51" s="7"/>
      <c r="AE51" s="7"/>
      <c r="AF51" s="14"/>
      <c r="AG51" s="7"/>
      <c r="AH51" s="7"/>
      <c r="AI51" s="7"/>
      <c r="AJ51" s="74">
        <f>(INDEX('Race 28'!$E$8:$E$200,(MATCH($B51,'Race 28'!$B$8:$B$200,0)),1))*100</f>
        <v>60.141140838304842</v>
      </c>
      <c r="AK51" s="74">
        <f>(INDEX('Race 29'!$E$8:$E$200,(MATCH($B51,'Race 29'!$B$8:$B$200,0)),1))*100</f>
        <v>59.238926030841284</v>
      </c>
      <c r="AL51" s="7"/>
      <c r="AM51" s="7"/>
      <c r="AN51" s="7"/>
      <c r="AO51" s="7"/>
      <c r="AP51" s="7"/>
      <c r="AQ51" s="74"/>
      <c r="AR51" s="101">
        <f>(INDEX('Race 36'!$E$8:$E$200,(MATCH($B51,'Race 36'!$B$8:$B$200,0)),1))*100</f>
        <v>57.600895968771049</v>
      </c>
      <c r="AS51" s="7"/>
      <c r="AT51" s="7"/>
      <c r="AU51" s="7"/>
      <c r="AV51" s="7">
        <f>(INDEX('Race 40'!$E$8:$E$200,(MATCH($B51,'Race 40'!$B$8:$B$200,0)),1))*100</f>
        <v>60.587150073248722</v>
      </c>
      <c r="AW51" s="7"/>
      <c r="AX51" s="185"/>
      <c r="AY51" s="208">
        <f>(INDEX('Race 43'!$E$8:$E$200,(MATCH($B51,'Race 43'!$B$8:$B$200,0)),1))*100</f>
        <v>70.283690297682199</v>
      </c>
      <c r="AZ51" s="70"/>
      <c r="BA51" s="14"/>
      <c r="BB51" s="14"/>
      <c r="BC51" s="7"/>
      <c r="BD51" s="7"/>
      <c r="BE51" s="7"/>
      <c r="BF51" s="14"/>
      <c r="BG51" s="14"/>
      <c r="BH51" s="14"/>
      <c r="BI51" s="14"/>
      <c r="BJ51" s="103"/>
      <c r="BK51" s="7"/>
      <c r="BL51" s="103"/>
      <c r="BM51" s="7"/>
      <c r="BN51" s="14"/>
      <c r="BO51" s="14"/>
      <c r="BP51" s="7"/>
      <c r="BQ51" s="7"/>
      <c r="BR51" s="74">
        <f>(INDEX('Race 62'!$E$8:$E$200,(MATCH($B51,'Race 62'!$B$8:$B$200,0)),1))*100</f>
        <v>66.429186945235244</v>
      </c>
      <c r="BS51" s="7"/>
      <c r="BT51" s="7"/>
      <c r="BU51" s="74"/>
      <c r="BV51" s="74"/>
      <c r="BW51" s="74"/>
      <c r="BX51" s="7"/>
      <c r="BY51" s="14"/>
      <c r="BZ51" s="14"/>
      <c r="CA51" s="7"/>
      <c r="CB51" s="7"/>
      <c r="CC51" s="103"/>
      <c r="CD51" s="7"/>
      <c r="CE51" s="7"/>
      <c r="CF51" s="7"/>
      <c r="CG51" s="14"/>
      <c r="CH51" s="7"/>
      <c r="CI51" s="14"/>
      <c r="CJ51" s="103"/>
      <c r="CK51" s="101"/>
      <c r="CL51" s="74"/>
      <c r="CM51" s="74"/>
      <c r="CN51" s="74"/>
      <c r="CO51" s="70"/>
      <c r="CP51" s="74"/>
      <c r="CQ51" s="7"/>
      <c r="CR51" s="74"/>
      <c r="CS51" s="74"/>
      <c r="CT51" s="74"/>
      <c r="CU51" s="74"/>
      <c r="CV51" s="74"/>
      <c r="CW51" s="14"/>
      <c r="CX51" s="7"/>
      <c r="CY51" s="7"/>
      <c r="CZ51" s="7"/>
      <c r="DA51" s="14"/>
      <c r="DB51" s="14"/>
      <c r="DC51" s="14"/>
      <c r="DD51" s="14"/>
      <c r="DE51" s="74"/>
      <c r="DF51" s="74"/>
      <c r="DG51" s="74"/>
      <c r="DH51" s="74"/>
      <c r="DI51" s="74"/>
      <c r="DJ51" s="103"/>
      <c r="DK51" s="7"/>
      <c r="DL51" s="7"/>
      <c r="DM51" s="14"/>
      <c r="DN51" s="14"/>
      <c r="DO51" s="14"/>
      <c r="DP51" s="7"/>
      <c r="DQ51" s="14"/>
      <c r="DR51" s="7"/>
      <c r="DS51" s="7"/>
      <c r="DT51" s="14"/>
      <c r="DU51" s="14"/>
      <c r="DV51" s="14"/>
      <c r="DW51" s="14"/>
      <c r="DX51" s="14"/>
      <c r="DY51" s="14"/>
      <c r="DZ51" s="8">
        <f t="shared" si="15"/>
        <v>62.380165025680554</v>
      </c>
      <c r="EA51" s="3" t="str">
        <f t="shared" si="16"/>
        <v>Brackett, Gary</v>
      </c>
      <c r="EB51" s="2">
        <f t="shared" si="17"/>
        <v>1</v>
      </c>
      <c r="EC51" s="112">
        <f t="shared" si="18"/>
        <v>59.774545485164211</v>
      </c>
      <c r="ED51" s="29">
        <f t="shared" si="19"/>
        <v>62.31406811989617</v>
      </c>
      <c r="EE51" s="2">
        <f t="shared" si="20"/>
        <v>0</v>
      </c>
      <c r="EF51" s="46">
        <f t="shared" si="21"/>
        <v>5</v>
      </c>
      <c r="EG51" s="46">
        <f t="shared" si="22"/>
        <v>6</v>
      </c>
      <c r="EH51" s="2" t="str">
        <f t="shared" si="23"/>
        <v>NY</v>
      </c>
      <c r="EI51" s="29">
        <f>IF(COUNT(I51:Y51)&lt;5,DZ51,SUMPRODUCT(LARGE(I51:Y51,{1,2,3,4,5}))/5)</f>
        <v>62.380165025680554</v>
      </c>
      <c r="EJ51" s="29">
        <f>IF(COUNT(I51:AX51)&lt;5,DZ51,SUMPRODUCT(LARGE(I51:AX51,{1,2,3,4,5}))/5)</f>
        <v>62.380165025680554</v>
      </c>
      <c r="EK51" s="29">
        <f>IF(COUNT(I51:DY51)&lt;5,AVERAGE(I51:DY51),SUMPRODUCT(LARGE(I51:DY51,{1,2,3,4,5}))/5)</f>
        <v>63.336018837062468</v>
      </c>
      <c r="EL51" s="29">
        <f t="shared" si="24"/>
        <v>62.31406811989617</v>
      </c>
      <c r="EM51" s="116" t="str">
        <f t="shared" si="25"/>
        <v>Brackett, Gary</v>
      </c>
      <c r="EQ51"/>
    </row>
    <row r="52" spans="1:147" x14ac:dyDescent="0.25">
      <c r="A52" s="59">
        <f t="shared" si="11"/>
        <v>49</v>
      </c>
      <c r="B52" s="32" t="s">
        <v>794</v>
      </c>
      <c r="C52" s="5" t="s">
        <v>16</v>
      </c>
      <c r="D52" s="6" t="s">
        <v>58</v>
      </c>
      <c r="E52" s="6">
        <v>70.30014324874243</v>
      </c>
      <c r="F52" s="6">
        <v>70.30014324874243</v>
      </c>
      <c r="G52" s="5">
        <f t="shared" si="14"/>
        <v>0</v>
      </c>
      <c r="H52" s="8">
        <v>70.30014324874243</v>
      </c>
      <c r="I52" s="36"/>
      <c r="J52" s="7"/>
      <c r="K52" s="14"/>
      <c r="L52" s="7"/>
      <c r="M52" s="14"/>
      <c r="N52" s="7"/>
      <c r="O52" s="7"/>
      <c r="P52" s="7"/>
      <c r="Q52" s="7"/>
      <c r="R52" s="14"/>
      <c r="S52" s="14"/>
      <c r="T52" s="7"/>
      <c r="U52" s="7"/>
      <c r="V52" s="14"/>
      <c r="W52" s="7"/>
      <c r="X52" s="14"/>
      <c r="Y52" s="227"/>
      <c r="Z52" s="228"/>
      <c r="AA52" s="7"/>
      <c r="AB52" s="7"/>
      <c r="AC52" s="7"/>
      <c r="AD52" s="14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4"/>
      <c r="AP52" s="7"/>
      <c r="AQ52" s="74"/>
      <c r="AR52" s="70"/>
      <c r="AS52" s="7"/>
      <c r="AT52" s="70"/>
      <c r="AU52" s="7"/>
      <c r="AV52" s="70"/>
      <c r="AW52" s="7"/>
      <c r="AX52" s="184"/>
      <c r="AY52" s="207"/>
      <c r="AZ52" s="14"/>
      <c r="BA52" s="7"/>
      <c r="BB52" s="14"/>
      <c r="BC52" s="7"/>
      <c r="BD52" s="7"/>
      <c r="BE52" s="7"/>
      <c r="BF52" s="14"/>
      <c r="BG52" s="14"/>
      <c r="BH52" s="14"/>
      <c r="BI52" s="14"/>
      <c r="BJ52" s="14"/>
      <c r="BK52" s="7"/>
      <c r="BL52" s="14"/>
      <c r="BM52" s="7"/>
      <c r="BN52" s="103"/>
      <c r="BO52" s="14"/>
      <c r="BP52" s="7"/>
      <c r="BQ52" s="7"/>
      <c r="BR52" s="7"/>
      <c r="BS52" s="7"/>
      <c r="BT52" s="7"/>
      <c r="BU52" s="7"/>
      <c r="BV52" s="7"/>
      <c r="BW52" s="7"/>
      <c r="BX52" s="7"/>
      <c r="BY52" s="14"/>
      <c r="BZ52" s="14"/>
      <c r="CA52" s="7"/>
      <c r="CB52" s="7"/>
      <c r="CC52" s="14"/>
      <c r="CD52" s="7"/>
      <c r="CE52" s="7"/>
      <c r="CF52" s="14"/>
      <c r="CG52" s="14"/>
      <c r="CH52" s="7"/>
      <c r="CI52" s="14"/>
      <c r="CJ52" s="14"/>
      <c r="CK52" s="101"/>
      <c r="CL52" s="74"/>
      <c r="CM52" s="74"/>
      <c r="CN52" s="74"/>
      <c r="CO52" s="70"/>
      <c r="CP52" s="74"/>
      <c r="CQ52" s="7"/>
      <c r="CR52" s="74"/>
      <c r="CS52" s="74"/>
      <c r="CT52" s="74"/>
      <c r="CU52" s="74"/>
      <c r="CV52" s="7"/>
      <c r="CW52" s="14"/>
      <c r="CX52" s="7"/>
      <c r="CY52" s="7"/>
      <c r="CZ52" s="7"/>
      <c r="DA52" s="14"/>
      <c r="DB52" s="14"/>
      <c r="DC52" s="7"/>
      <c r="DD52" s="14"/>
      <c r="DE52" s="74"/>
      <c r="DF52" s="74"/>
      <c r="DG52" s="74"/>
      <c r="DH52" s="74"/>
      <c r="DI52" s="74"/>
      <c r="DJ52" s="7"/>
      <c r="DK52" s="7"/>
      <c r="DL52" s="7"/>
      <c r="DM52" s="7"/>
      <c r="DN52" s="14"/>
      <c r="DO52" s="14"/>
      <c r="DP52" s="7"/>
      <c r="DQ52" s="14"/>
      <c r="DR52" s="7"/>
      <c r="DS52" s="7"/>
      <c r="DT52" s="14"/>
      <c r="DU52" s="14"/>
      <c r="DV52" s="14"/>
      <c r="DW52" s="14"/>
      <c r="DX52" s="14"/>
      <c r="DY52" s="14"/>
      <c r="DZ52" s="8">
        <f t="shared" si="15"/>
        <v>70.30014324874243</v>
      </c>
      <c r="EA52" s="3" t="str">
        <f t="shared" si="16"/>
        <v>BRAMMER, Noah</v>
      </c>
      <c r="EB52" s="2">
        <f t="shared" si="17"/>
        <v>0</v>
      </c>
      <c r="EC52" s="112">
        <f t="shared" si="18"/>
        <v>70.30014324874243</v>
      </c>
      <c r="ED52" s="29">
        <f t="shared" si="19"/>
        <v>0</v>
      </c>
      <c r="EE52" s="2">
        <f t="shared" si="20"/>
        <v>0</v>
      </c>
      <c r="EF52" s="46">
        <f t="shared" si="21"/>
        <v>0</v>
      </c>
      <c r="EG52" s="46">
        <f t="shared" si="22"/>
        <v>0</v>
      </c>
      <c r="EH52" s="29" t="str">
        <f t="shared" si="23"/>
        <v>MN</v>
      </c>
      <c r="EI52" s="29">
        <f>IF(COUNT(I52:Y52)&lt;5,DZ52,SUMPRODUCT(LARGE(I52:Y52,{1,2,3,4,5}))/5)</f>
        <v>70.30014324874243</v>
      </c>
      <c r="EJ52" s="29">
        <f>IF(COUNT(I52:AX52)&lt;5,DZ52,SUMPRODUCT(LARGE(I52:AX52,{1,2,3,4,5}))/5)</f>
        <v>70.30014324874243</v>
      </c>
      <c r="EK52" s="112">
        <f>IF(EG52&lt;0,AVERAGE(I52:DY52),0)</f>
        <v>0</v>
      </c>
      <c r="EL52" s="29">
        <f t="shared" si="24"/>
        <v>0</v>
      </c>
      <c r="EM52" s="116" t="str">
        <f t="shared" si="25"/>
        <v>BRAMMER, Noah</v>
      </c>
      <c r="EQ52"/>
    </row>
    <row r="53" spans="1:147" x14ac:dyDescent="0.25">
      <c r="A53" s="59">
        <f t="shared" si="11"/>
        <v>50</v>
      </c>
      <c r="B53" s="32" t="s">
        <v>868</v>
      </c>
      <c r="C53" s="5" t="s">
        <v>6</v>
      </c>
      <c r="D53" s="6" t="s">
        <v>62</v>
      </c>
      <c r="E53" s="6">
        <v>60.925562313991691</v>
      </c>
      <c r="F53" s="6">
        <v>60.925562313991691</v>
      </c>
      <c r="G53" s="5">
        <f t="shared" si="14"/>
        <v>0</v>
      </c>
      <c r="H53" s="8">
        <v>60.925562313991691</v>
      </c>
      <c r="I53" s="36"/>
      <c r="J53" s="7"/>
      <c r="K53" s="14"/>
      <c r="L53" s="7"/>
      <c r="M53" s="14"/>
      <c r="N53" s="7"/>
      <c r="O53" s="7"/>
      <c r="P53" s="7"/>
      <c r="Q53" s="14"/>
      <c r="R53" s="14"/>
      <c r="S53" s="14"/>
      <c r="T53" s="7"/>
      <c r="U53" s="7"/>
      <c r="V53" s="7"/>
      <c r="W53" s="7"/>
      <c r="X53" s="14"/>
      <c r="Y53" s="227"/>
      <c r="Z53" s="228"/>
      <c r="AA53" s="7"/>
      <c r="AB53" s="7"/>
      <c r="AC53" s="14"/>
      <c r="AD53" s="14"/>
      <c r="AE53" s="7"/>
      <c r="AF53" s="14"/>
      <c r="AG53" s="14"/>
      <c r="AH53" s="7"/>
      <c r="AI53" s="7"/>
      <c r="AJ53" s="7"/>
      <c r="AK53" s="7"/>
      <c r="AL53" s="7"/>
      <c r="AM53" s="7"/>
      <c r="AN53" s="7"/>
      <c r="AO53" s="74"/>
      <c r="AP53" s="7"/>
      <c r="AQ53" s="74"/>
      <c r="AR53" s="70"/>
      <c r="AS53" s="7"/>
      <c r="AT53" s="70"/>
      <c r="AU53" s="7"/>
      <c r="AV53" s="70"/>
      <c r="AW53" s="7"/>
      <c r="AX53" s="184"/>
      <c r="AY53" s="208"/>
      <c r="AZ53" s="14"/>
      <c r="BA53" s="7"/>
      <c r="BB53" s="14"/>
      <c r="BC53" s="7"/>
      <c r="BD53" s="7"/>
      <c r="BE53" s="7"/>
      <c r="BF53" s="14"/>
      <c r="BG53" s="14"/>
      <c r="BH53" s="14"/>
      <c r="BI53" s="14"/>
      <c r="BJ53" s="14"/>
      <c r="BK53" s="7"/>
      <c r="BL53" s="14"/>
      <c r="BM53" s="7"/>
      <c r="BN53" s="103"/>
      <c r="BO53" s="14"/>
      <c r="BP53" s="7"/>
      <c r="BQ53" s="7"/>
      <c r="BR53" s="7"/>
      <c r="BS53" s="7"/>
      <c r="BT53" s="7"/>
      <c r="BU53" s="7"/>
      <c r="BV53" s="7"/>
      <c r="BW53" s="7"/>
      <c r="BX53" s="7"/>
      <c r="BY53" s="70"/>
      <c r="BZ53" s="14"/>
      <c r="CA53" s="7"/>
      <c r="CB53" s="7"/>
      <c r="CC53" s="14"/>
      <c r="CD53" s="7"/>
      <c r="CE53" s="7"/>
      <c r="CF53" s="14"/>
      <c r="CG53" s="70"/>
      <c r="CH53" s="7"/>
      <c r="CI53" s="14"/>
      <c r="CJ53" s="14"/>
      <c r="CK53" s="101"/>
      <c r="CL53" s="74"/>
      <c r="CM53" s="74"/>
      <c r="CN53" s="74"/>
      <c r="CO53" s="70"/>
      <c r="CP53" s="74"/>
      <c r="CQ53" s="7"/>
      <c r="CR53" s="74"/>
      <c r="CS53" s="74"/>
      <c r="CT53" s="74"/>
      <c r="CU53" s="74"/>
      <c r="CV53" s="7"/>
      <c r="CW53" s="14"/>
      <c r="CX53" s="7"/>
      <c r="CY53" s="7"/>
      <c r="CZ53" s="7"/>
      <c r="DA53" s="14"/>
      <c r="DB53" s="7"/>
      <c r="DC53" s="7"/>
      <c r="DD53" s="14"/>
      <c r="DE53" s="74"/>
      <c r="DF53" s="74"/>
      <c r="DG53" s="74"/>
      <c r="DH53" s="7"/>
      <c r="DI53" s="74"/>
      <c r="DJ53" s="14"/>
      <c r="DK53" s="7"/>
      <c r="DL53" s="7"/>
      <c r="DM53" s="14"/>
      <c r="DN53" s="14"/>
      <c r="DO53" s="14"/>
      <c r="DP53" s="7"/>
      <c r="DQ53" s="14"/>
      <c r="DR53" s="7"/>
      <c r="DS53" s="7"/>
      <c r="DT53" s="14"/>
      <c r="DU53" s="14"/>
      <c r="DV53" s="14"/>
      <c r="DW53" s="14"/>
      <c r="DX53" s="14"/>
      <c r="DY53" s="14"/>
      <c r="DZ53" s="8">
        <f t="shared" si="15"/>
        <v>60.925562313991691</v>
      </c>
      <c r="EA53" s="3" t="str">
        <f t="shared" si="16"/>
        <v>Brewer, Patrick</v>
      </c>
      <c r="EB53" s="2">
        <f t="shared" si="17"/>
        <v>0</v>
      </c>
      <c r="EC53" s="112">
        <f t="shared" si="18"/>
        <v>60.925562313991691</v>
      </c>
      <c r="ED53" s="29">
        <f t="shared" si="19"/>
        <v>0</v>
      </c>
      <c r="EE53" s="2">
        <f t="shared" si="20"/>
        <v>0</v>
      </c>
      <c r="EF53" s="46">
        <f t="shared" si="21"/>
        <v>0</v>
      </c>
      <c r="EG53" s="46">
        <f t="shared" si="22"/>
        <v>0</v>
      </c>
      <c r="EH53" s="29" t="str">
        <f t="shared" si="23"/>
        <v>CO</v>
      </c>
      <c r="EI53" s="29">
        <f>IF(COUNT(I53:Y53)&lt;5,DZ53,SUMPRODUCT(LARGE(I53:Y53,{1,2,3,4,5}))/5)</f>
        <v>60.925562313991691</v>
      </c>
      <c r="EJ53" s="29">
        <f>IF(COUNT(I53:AX53)&lt;5,DZ53,SUMPRODUCT(LARGE(I53:AX53,{1,2,3,4,5}))/5)</f>
        <v>60.925562313991691</v>
      </c>
      <c r="EK53" s="112">
        <f>IF(EG53&lt;0,AVERAGE(I53:DY53),0)</f>
        <v>0</v>
      </c>
      <c r="EL53" s="29">
        <f t="shared" si="24"/>
        <v>0</v>
      </c>
      <c r="EM53" s="116" t="str">
        <f t="shared" si="25"/>
        <v>Brewer, Patrick</v>
      </c>
      <c r="EQ53"/>
    </row>
    <row r="54" spans="1:147" x14ac:dyDescent="0.25">
      <c r="A54" s="59">
        <f t="shared" si="11"/>
        <v>51</v>
      </c>
      <c r="B54" s="32" t="s">
        <v>726</v>
      </c>
      <c r="C54" s="5" t="s">
        <v>6</v>
      </c>
      <c r="D54" s="6" t="s">
        <v>63</v>
      </c>
      <c r="E54" s="6">
        <v>52.275240292798891</v>
      </c>
      <c r="F54" s="6">
        <v>60.110931808965049</v>
      </c>
      <c r="G54" s="5">
        <f t="shared" si="14"/>
        <v>5</v>
      </c>
      <c r="H54" s="8">
        <v>52.275240292798891</v>
      </c>
      <c r="I54" s="36"/>
      <c r="J54" s="7"/>
      <c r="K54" s="14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14"/>
      <c r="Y54" s="227"/>
      <c r="Z54" s="228"/>
      <c r="AA54" s="7"/>
      <c r="AB54" s="7"/>
      <c r="AC54" s="14"/>
      <c r="AD54" s="7"/>
      <c r="AE54" s="7"/>
      <c r="AF54" s="14"/>
      <c r="AG54" s="7"/>
      <c r="AH54" s="7"/>
      <c r="AI54" s="7"/>
      <c r="AJ54" s="7"/>
      <c r="AK54" s="7"/>
      <c r="AL54" s="7"/>
      <c r="AM54" s="7"/>
      <c r="AN54" s="7"/>
      <c r="AO54" s="74"/>
      <c r="AP54" s="7"/>
      <c r="AQ54" s="74"/>
      <c r="AR54" s="70"/>
      <c r="AS54" s="7"/>
      <c r="AT54" s="74">
        <f>(INDEX('Race 38'!$E$8:$E$200,(MATCH($B54,'Race 38'!$B$8:$B$200,0)),1))*100</f>
        <v>60.770995001096097</v>
      </c>
      <c r="AU54" s="74">
        <f>(INDEX('Race 39'!$E$8:$E$200,(MATCH($B54,'Race 39'!$B$8:$B$200,0)),1))*100</f>
        <v>59.450868616833993</v>
      </c>
      <c r="AV54" s="74"/>
      <c r="AW54" s="74"/>
      <c r="AX54" s="184"/>
      <c r="AY54" s="207"/>
      <c r="AZ54" s="7">
        <f>(INDEX('Race 44'!$E$8:$E$200,(MATCH($B54,'Race 44'!$B$8:$B$200,0)),1))*100</f>
        <v>58.383345504102948</v>
      </c>
      <c r="BA54" s="14"/>
      <c r="BB54" s="14">
        <f>(INDEX('Race 46'!$E$8:$E$200,(MATCH($B54,'Race 46'!$B$8:$B$200,0)),1))*100</f>
        <v>64.180448857919785</v>
      </c>
      <c r="BC54" s="7"/>
      <c r="BD54" s="7"/>
      <c r="BE54" s="7"/>
      <c r="BF54" s="14"/>
      <c r="BG54" s="14"/>
      <c r="BH54" s="14"/>
      <c r="BI54" s="14"/>
      <c r="BJ54" s="70"/>
      <c r="BK54" s="7"/>
      <c r="BL54" s="70"/>
      <c r="BM54" s="7"/>
      <c r="BN54" s="103"/>
      <c r="BO54" s="14"/>
      <c r="BP54" s="7"/>
      <c r="BQ54" s="7">
        <f>(INDEX('Race 61'!$E$8:$E$200,(MATCH($B54,'Race 61'!$B$8:$B$200,0)),1))*100</f>
        <v>46.767644011099151</v>
      </c>
      <c r="BR54" s="7"/>
      <c r="BS54" s="7"/>
      <c r="BT54" s="7"/>
      <c r="BU54" s="7"/>
      <c r="BV54" s="7"/>
      <c r="BW54" s="7"/>
      <c r="BX54" s="7"/>
      <c r="BY54" s="14"/>
      <c r="BZ54" s="14"/>
      <c r="CA54" s="7"/>
      <c r="CB54" s="7"/>
      <c r="CC54" s="14"/>
      <c r="CD54" s="74"/>
      <c r="CE54" s="7"/>
      <c r="CF54" s="74"/>
      <c r="CG54" s="74"/>
      <c r="CH54" s="7"/>
      <c r="CI54" s="70"/>
      <c r="CJ54" s="14"/>
      <c r="CK54" s="101"/>
      <c r="CL54" s="74"/>
      <c r="CM54" s="74"/>
      <c r="CN54" s="74"/>
      <c r="CO54" s="70"/>
      <c r="CP54" s="74"/>
      <c r="CQ54" s="70"/>
      <c r="CR54" s="74"/>
      <c r="CS54" s="74"/>
      <c r="CT54" s="74"/>
      <c r="CU54" s="74"/>
      <c r="CV54" s="7"/>
      <c r="CW54" s="7"/>
      <c r="CX54" s="7"/>
      <c r="CY54" s="7"/>
      <c r="CZ54" s="7"/>
      <c r="DA54" s="14"/>
      <c r="DB54" s="14"/>
      <c r="DC54" s="14"/>
      <c r="DD54" s="103"/>
      <c r="DE54" s="74"/>
      <c r="DF54" s="74"/>
      <c r="DG54" s="74"/>
      <c r="DH54" s="7"/>
      <c r="DI54" s="74"/>
      <c r="DJ54" s="14"/>
      <c r="DK54" s="7"/>
      <c r="DL54" s="7"/>
      <c r="DM54" s="7"/>
      <c r="DN54" s="14"/>
      <c r="DO54" s="7"/>
      <c r="DP54" s="7"/>
      <c r="DQ54" s="14"/>
      <c r="DR54" s="7"/>
      <c r="DS54" s="7"/>
      <c r="DT54" s="14"/>
      <c r="DU54" s="7"/>
      <c r="DV54" s="14"/>
      <c r="DW54" s="14"/>
      <c r="DX54" s="7"/>
      <c r="DY54" s="14"/>
      <c r="DZ54" s="8">
        <f t="shared" si="15"/>
        <v>57.910660398210396</v>
      </c>
      <c r="EA54" s="3" t="str">
        <f t="shared" si="16"/>
        <v>Brillhart, Aaron</v>
      </c>
      <c r="EB54" s="2">
        <f t="shared" si="17"/>
        <v>1</v>
      </c>
      <c r="EC54" s="112">
        <f t="shared" si="18"/>
        <v>52.275240292798891</v>
      </c>
      <c r="ED54" s="29">
        <f t="shared" si="19"/>
        <v>56.97624989985281</v>
      </c>
      <c r="EE54" s="2">
        <f t="shared" si="20"/>
        <v>0</v>
      </c>
      <c r="EF54" s="46">
        <f t="shared" si="21"/>
        <v>5</v>
      </c>
      <c r="EG54" s="46">
        <f t="shared" si="22"/>
        <v>5</v>
      </c>
      <c r="EH54" s="2" t="str">
        <f t="shared" si="23"/>
        <v>VT</v>
      </c>
      <c r="EI54" s="29">
        <f>IF(COUNT(I54:Y54)&lt;5,DZ54,SUMPRODUCT(LARGE(I54:Y54,{1,2,3,4,5}))/5)</f>
        <v>57.910660398210396</v>
      </c>
      <c r="EJ54" s="29">
        <f>IF(COUNT(I54:AX54)&lt;5,DZ54,SUMPRODUCT(LARGE(I54:AX54,{1,2,3,4,5}))/5)</f>
        <v>57.910660398210396</v>
      </c>
      <c r="EK54" s="29">
        <f>IF(COUNT(I54:DY54)&lt;5,AVERAGE(I54:DY54),SUMPRODUCT(LARGE(I54:DY54,{1,2,3,4,5}))/5)</f>
        <v>57.910660398210396</v>
      </c>
      <c r="EL54" s="29">
        <f t="shared" si="24"/>
        <v>56.97624989985281</v>
      </c>
      <c r="EM54" s="116" t="str">
        <f t="shared" si="25"/>
        <v>Brillhart, Aaron</v>
      </c>
      <c r="EQ54"/>
    </row>
    <row r="55" spans="1:147" x14ac:dyDescent="0.25">
      <c r="A55" s="59">
        <f t="shared" si="11"/>
        <v>52</v>
      </c>
      <c r="B55" s="32" t="s">
        <v>791</v>
      </c>
      <c r="C55" s="5" t="s">
        <v>6</v>
      </c>
      <c r="D55" s="6" t="s">
        <v>88</v>
      </c>
      <c r="E55" s="6">
        <v>48.261767136117484</v>
      </c>
      <c r="F55" s="6">
        <v>45.159446971124666</v>
      </c>
      <c r="G55" s="5">
        <f t="shared" si="14"/>
        <v>3</v>
      </c>
      <c r="H55" s="60">
        <v>48.261767136117484</v>
      </c>
      <c r="I55" s="36"/>
      <c r="J55" s="7"/>
      <c r="K55" s="14"/>
      <c r="L55" s="7"/>
      <c r="M55" s="7"/>
      <c r="N55" s="7"/>
      <c r="O55" s="7"/>
      <c r="P55" s="7"/>
      <c r="Q55" s="14"/>
      <c r="R55" s="14"/>
      <c r="S55" s="14"/>
      <c r="T55" s="7"/>
      <c r="U55" s="7"/>
      <c r="V55" s="7"/>
      <c r="W55" s="7"/>
      <c r="X55" s="7"/>
      <c r="Y55" s="227"/>
      <c r="Z55" s="228"/>
      <c r="AA55" s="7"/>
      <c r="AB55" s="7"/>
      <c r="AC55" s="103">
        <f>(INDEX('Race 21'!$E$8:$E$200,(MATCH($B55,'Race 21'!$B$8:$B$200,0)),1))*100</f>
        <v>45.153004844047103</v>
      </c>
      <c r="AD55" s="14"/>
      <c r="AE55" s="7"/>
      <c r="AF55" s="14"/>
      <c r="AG55" s="7"/>
      <c r="AH55" s="7"/>
      <c r="AI55" s="7"/>
      <c r="AJ55" s="7"/>
      <c r="AK55" s="7"/>
      <c r="AL55" s="7"/>
      <c r="AM55" s="7"/>
      <c r="AN55" s="7"/>
      <c r="AO55" s="74">
        <f>(INDEX('Race 33'!$E$8:$E$200,(MATCH($B55,'Race 33'!$B$8:$B$200,0)),1))*100</f>
        <v>45.165889098202229</v>
      </c>
      <c r="AP55" s="7"/>
      <c r="AQ55" s="74"/>
      <c r="AR55" s="70"/>
      <c r="AS55" s="7"/>
      <c r="AT55" s="70"/>
      <c r="AU55" s="7"/>
      <c r="AV55" s="70"/>
      <c r="AW55" s="7"/>
      <c r="AX55" s="184"/>
      <c r="AY55" s="207"/>
      <c r="AZ55" s="14"/>
      <c r="BA55" s="7"/>
      <c r="BB55" s="7"/>
      <c r="BC55" s="7"/>
      <c r="BD55" s="7"/>
      <c r="BE55" s="7"/>
      <c r="BF55" s="14"/>
      <c r="BG55" s="14"/>
      <c r="BH55" s="14"/>
      <c r="BI55" s="7"/>
      <c r="BJ55" s="7"/>
      <c r="BK55" s="7"/>
      <c r="BL55" s="70"/>
      <c r="BM55" s="7"/>
      <c r="BN55" s="103"/>
      <c r="BO55" s="14"/>
      <c r="BP55" s="7"/>
      <c r="BQ55" s="7"/>
      <c r="BR55" s="7"/>
      <c r="BS55" s="7"/>
      <c r="BT55" s="7"/>
      <c r="BU55" s="7"/>
      <c r="BV55" s="7"/>
      <c r="BW55" s="7"/>
      <c r="BX55" s="7"/>
      <c r="BY55" s="14"/>
      <c r="BZ55" s="103"/>
      <c r="CA55" s="7"/>
      <c r="CB55" s="7"/>
      <c r="CC55" s="14"/>
      <c r="CD55" s="7">
        <f>(INDEX('Race 74'!$E$8:$E$200,(MATCH($B55,'Race 74'!$B$8:$B$200,0)),1))*100</f>
        <v>51.371064014052891</v>
      </c>
      <c r="CE55" s="7"/>
      <c r="CF55" s="14"/>
      <c r="CG55" s="14"/>
      <c r="CH55" s="7"/>
      <c r="CI55" s="14"/>
      <c r="CJ55" s="14"/>
      <c r="CK55" s="101"/>
      <c r="CL55" s="74"/>
      <c r="CM55" s="74"/>
      <c r="CN55" s="74"/>
      <c r="CO55" s="70"/>
      <c r="CP55" s="74"/>
      <c r="CQ55" s="7"/>
      <c r="CR55" s="101"/>
      <c r="CS55" s="101"/>
      <c r="CT55" s="74"/>
      <c r="CU55" s="74"/>
      <c r="CV55" s="7"/>
      <c r="CW55" s="14"/>
      <c r="CX55" s="7"/>
      <c r="CY55" s="7"/>
      <c r="CZ55" s="7"/>
      <c r="DA55" s="14"/>
      <c r="DB55" s="14"/>
      <c r="DC55" s="14"/>
      <c r="DD55" s="14"/>
      <c r="DE55" s="74"/>
      <c r="DF55" s="74"/>
      <c r="DG55" s="74"/>
      <c r="DH55" s="74"/>
      <c r="DI55" s="74"/>
      <c r="DJ55" s="14"/>
      <c r="DK55" s="7"/>
      <c r="DL55" s="7"/>
      <c r="DM55" s="14"/>
      <c r="DN55" s="14"/>
      <c r="DO55" s="14"/>
      <c r="DP55" s="14"/>
      <c r="DQ55" s="14"/>
      <c r="DR55" s="7"/>
      <c r="DS55" s="7"/>
      <c r="DT55" s="14"/>
      <c r="DU55" s="14"/>
      <c r="DV55" s="14"/>
      <c r="DW55" s="14"/>
      <c r="DX55" s="14"/>
      <c r="DY55" s="14"/>
      <c r="DZ55" s="8">
        <f t="shared" si="15"/>
        <v>47.229985985434077</v>
      </c>
      <c r="EA55" s="3" t="str">
        <f t="shared" si="16"/>
        <v>Brooks, Nathaniel</v>
      </c>
      <c r="EB55" s="2">
        <f t="shared" si="17"/>
        <v>1</v>
      </c>
      <c r="EC55" s="112">
        <f t="shared" si="18"/>
        <v>48.261767136117484</v>
      </c>
      <c r="ED55" s="29">
        <f t="shared" si="19"/>
        <v>45.74063611078352</v>
      </c>
      <c r="EE55" s="2">
        <f t="shared" si="20"/>
        <v>1</v>
      </c>
      <c r="EF55" s="46">
        <f t="shared" si="21"/>
        <v>2</v>
      </c>
      <c r="EG55" s="46">
        <f t="shared" si="22"/>
        <v>3</v>
      </c>
      <c r="EH55" s="29" t="str">
        <f t="shared" si="23"/>
        <v>WI</v>
      </c>
      <c r="EI55" s="29">
        <f>IF(COUNT(I55:Y55)&lt;5,DZ55,SUMPRODUCT(LARGE(I55:Y55,{1,2,3,4,5}))/5)</f>
        <v>47.229985985434077</v>
      </c>
      <c r="EJ55" s="29">
        <f>IF(COUNT(I55:AX55)&lt;5,DZ55,SUMPRODUCT(LARGE(I55:AX55,{1,2,3,4,5}))/5)</f>
        <v>47.229985985434077</v>
      </c>
      <c r="EK55" s="29">
        <f>(EJ55*100)/101.59</f>
        <v>46.490782543000371</v>
      </c>
      <c r="EL55" s="29">
        <f t="shared" si="24"/>
        <v>45.74063611078352</v>
      </c>
      <c r="EM55" s="116" t="str">
        <f t="shared" si="25"/>
        <v>Brooks, Nathaniel</v>
      </c>
      <c r="EQ55"/>
    </row>
    <row r="56" spans="1:147" x14ac:dyDescent="0.25">
      <c r="A56" s="59">
        <f t="shared" si="11"/>
        <v>53</v>
      </c>
      <c r="B56" s="186" t="s">
        <v>953</v>
      </c>
      <c r="C56" s="106" t="s">
        <v>6</v>
      </c>
      <c r="D56" s="187" t="s">
        <v>69</v>
      </c>
      <c r="E56" s="187">
        <v>37.326309434737666</v>
      </c>
      <c r="F56" s="187">
        <v>37.326309434737666</v>
      </c>
      <c r="G56" s="106">
        <f t="shared" si="14"/>
        <v>0</v>
      </c>
      <c r="H56" s="183">
        <v>37.326309434737666</v>
      </c>
      <c r="I56" s="107"/>
      <c r="J56" s="74"/>
      <c r="K56" s="103"/>
      <c r="L56" s="74"/>
      <c r="M56" s="103"/>
      <c r="N56" s="74"/>
      <c r="O56" s="74"/>
      <c r="P56" s="74"/>
      <c r="Q56" s="74"/>
      <c r="R56" s="103"/>
      <c r="S56" s="74"/>
      <c r="T56" s="74"/>
      <c r="U56" s="74"/>
      <c r="V56" s="74"/>
      <c r="W56" s="74"/>
      <c r="X56" s="103"/>
      <c r="Y56" s="229"/>
      <c r="Z56" s="230"/>
      <c r="AA56" s="74"/>
      <c r="AB56" s="74"/>
      <c r="AC56" s="74"/>
      <c r="AD56" s="103"/>
      <c r="AE56" s="74"/>
      <c r="AF56" s="74"/>
      <c r="AG56" s="103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101"/>
      <c r="AS56" s="74"/>
      <c r="AT56" s="101"/>
      <c r="AU56" s="74"/>
      <c r="AV56" s="101"/>
      <c r="AW56" s="74"/>
      <c r="AX56" s="184"/>
      <c r="AY56" s="207"/>
      <c r="AZ56" s="103"/>
      <c r="BA56" s="103"/>
      <c r="BB56" s="74"/>
      <c r="BC56" s="101"/>
      <c r="BD56" s="7"/>
      <c r="BE56" s="7"/>
      <c r="BF56" s="103"/>
      <c r="BG56" s="103"/>
      <c r="BH56" s="101"/>
      <c r="BI56" s="103"/>
      <c r="BJ56" s="103"/>
      <c r="BK56" s="74"/>
      <c r="BL56" s="103"/>
      <c r="BM56" s="74"/>
      <c r="BN56" s="103"/>
      <c r="BO56" s="103"/>
      <c r="BP56" s="7"/>
      <c r="BQ56" s="7"/>
      <c r="BR56" s="74"/>
      <c r="BS56" s="7"/>
      <c r="BT56" s="7"/>
      <c r="BU56" s="74"/>
      <c r="BV56" s="74"/>
      <c r="BW56" s="74"/>
      <c r="BX56" s="74"/>
      <c r="BY56" s="101"/>
      <c r="BZ56" s="103"/>
      <c r="CA56" s="7"/>
      <c r="CB56" s="74"/>
      <c r="CC56" s="103"/>
      <c r="CD56" s="74"/>
      <c r="CE56" s="74"/>
      <c r="CF56" s="103"/>
      <c r="CG56" s="101"/>
      <c r="CH56" s="74"/>
      <c r="CI56" s="103"/>
      <c r="CJ56" s="103"/>
      <c r="CK56" s="101"/>
      <c r="CL56" s="74"/>
      <c r="CM56" s="74"/>
      <c r="CN56" s="74"/>
      <c r="CO56" s="101"/>
      <c r="CP56" s="74"/>
      <c r="CQ56" s="74"/>
      <c r="CR56" s="74"/>
      <c r="CS56" s="74"/>
      <c r="CT56" s="74"/>
      <c r="CU56" s="74"/>
      <c r="CV56" s="74"/>
      <c r="CW56" s="103"/>
      <c r="CX56" s="7"/>
      <c r="CY56" s="7"/>
      <c r="CZ56" s="74"/>
      <c r="DA56" s="103"/>
      <c r="DB56" s="103"/>
      <c r="DC56" s="103"/>
      <c r="DD56" s="74"/>
      <c r="DE56" s="74"/>
      <c r="DF56" s="74"/>
      <c r="DG56" s="74"/>
      <c r="DH56" s="74"/>
      <c r="DI56" s="74"/>
      <c r="DJ56" s="103"/>
      <c r="DK56" s="74"/>
      <c r="DL56" s="74"/>
      <c r="DM56" s="103"/>
      <c r="DN56" s="103"/>
      <c r="DO56" s="103"/>
      <c r="DP56" s="103"/>
      <c r="DQ56" s="103"/>
      <c r="DR56" s="7"/>
      <c r="DS56" s="7"/>
      <c r="DT56" s="14"/>
      <c r="DU56" s="14"/>
      <c r="DV56" s="103"/>
      <c r="DW56" s="103"/>
      <c r="DX56" s="103"/>
      <c r="DY56" s="103"/>
      <c r="DZ56" s="8">
        <f t="shared" si="15"/>
        <v>37.326309434737666</v>
      </c>
      <c r="EA56" s="3" t="str">
        <f t="shared" si="16"/>
        <v>BROUSSARD, Eric</v>
      </c>
      <c r="EB56" s="2">
        <f t="shared" si="17"/>
        <v>0</v>
      </c>
      <c r="EC56" s="112">
        <f t="shared" si="18"/>
        <v>37.326309434737666</v>
      </c>
      <c r="ED56" s="29">
        <f t="shared" si="19"/>
        <v>0</v>
      </c>
      <c r="EE56" s="2">
        <f t="shared" si="20"/>
        <v>0</v>
      </c>
      <c r="EF56" s="46">
        <f t="shared" si="21"/>
        <v>0</v>
      </c>
      <c r="EG56" s="46">
        <f t="shared" si="22"/>
        <v>0</v>
      </c>
      <c r="EH56" s="29" t="str">
        <f t="shared" si="23"/>
        <v>WA</v>
      </c>
      <c r="EI56" s="29">
        <f>IF(COUNT(I56:Y56)&lt;5,DZ56,SUMPRODUCT(LARGE(I56:Y56,{1,2,3,4,5}))/5)</f>
        <v>37.326309434737666</v>
      </c>
      <c r="EJ56" s="29">
        <f>IF(COUNT(I56:AX56)&lt;5,DZ56,SUMPRODUCT(LARGE(I56:AX56,{1,2,3,4,5}))/5)</f>
        <v>37.326309434737666</v>
      </c>
      <c r="EK56" s="112">
        <f>IF(EG56&lt;0,AVERAGE(I56:DY56),0)</f>
        <v>0</v>
      </c>
      <c r="EL56" s="29">
        <f t="shared" si="24"/>
        <v>0</v>
      </c>
      <c r="EM56" s="116" t="str">
        <f t="shared" si="25"/>
        <v>BROUSSARD, Eric</v>
      </c>
      <c r="EQ56"/>
    </row>
    <row r="57" spans="1:147" x14ac:dyDescent="0.25">
      <c r="A57" s="59">
        <f t="shared" si="11"/>
        <v>54</v>
      </c>
      <c r="B57" s="32" t="s">
        <v>491</v>
      </c>
      <c r="C57" s="5" t="s">
        <v>6</v>
      </c>
      <c r="D57" s="6" t="s">
        <v>62</v>
      </c>
      <c r="E57" s="6">
        <v>60.524290845204135</v>
      </c>
      <c r="F57" s="6">
        <v>60.524290845204135</v>
      </c>
      <c r="G57" s="5">
        <f t="shared" si="14"/>
        <v>5</v>
      </c>
      <c r="H57" s="8">
        <v>60.524290845204135</v>
      </c>
      <c r="I57" s="107"/>
      <c r="J57" s="7"/>
      <c r="K57" s="103"/>
      <c r="L57" s="7"/>
      <c r="M57" s="103"/>
      <c r="N57" s="7"/>
      <c r="O57" s="7"/>
      <c r="P57" s="74"/>
      <c r="Q57" s="14"/>
      <c r="R57" s="103"/>
      <c r="S57" s="103"/>
      <c r="T57" s="7"/>
      <c r="U57" s="7"/>
      <c r="V57" s="103"/>
      <c r="W57" s="7"/>
      <c r="X57" s="103"/>
      <c r="Y57" s="227"/>
      <c r="Z57" s="228"/>
      <c r="AA57" s="74"/>
      <c r="AB57" s="74"/>
      <c r="AC57" s="14"/>
      <c r="AD57" s="103"/>
      <c r="AE57" s="7"/>
      <c r="AF57" s="103"/>
      <c r="AG57" s="74"/>
      <c r="AH57" s="7"/>
      <c r="AI57" s="7"/>
      <c r="AJ57" s="7"/>
      <c r="AK57" s="7"/>
      <c r="AL57" s="7"/>
      <c r="AM57" s="7"/>
      <c r="AN57" s="7"/>
      <c r="AO57" s="74"/>
      <c r="AP57" s="7"/>
      <c r="AQ57" s="74"/>
      <c r="AR57" s="101"/>
      <c r="AS57" s="7"/>
      <c r="AT57" s="101"/>
      <c r="AU57" s="7"/>
      <c r="AV57" s="101"/>
      <c r="AW57" s="7"/>
      <c r="AX57" s="184"/>
      <c r="AY57" s="207"/>
      <c r="AZ57" s="103"/>
      <c r="BA57" s="103"/>
      <c r="BB57" s="74"/>
      <c r="BC57" s="101"/>
      <c r="BD57" s="7"/>
      <c r="BE57" s="7"/>
      <c r="BF57" s="103"/>
      <c r="BG57" s="103"/>
      <c r="BH57" s="103"/>
      <c r="BI57" s="103"/>
      <c r="BJ57" s="103"/>
      <c r="BK57" s="7"/>
      <c r="BL57" s="103"/>
      <c r="BM57" s="7"/>
      <c r="BN57" s="103"/>
      <c r="BO57" s="103"/>
      <c r="BP57" s="7"/>
      <c r="BQ57" s="7"/>
      <c r="BR57" s="74"/>
      <c r="BS57" s="7"/>
      <c r="BT57" s="7"/>
      <c r="BU57" s="74"/>
      <c r="BV57" s="74"/>
      <c r="BW57" s="74"/>
      <c r="BX57" s="74"/>
      <c r="BY57" s="103"/>
      <c r="BZ57" s="103"/>
      <c r="CA57" s="7"/>
      <c r="CB57" s="74"/>
      <c r="CC57" s="103"/>
      <c r="CD57" s="74"/>
      <c r="CE57" s="7"/>
      <c r="CF57" s="103"/>
      <c r="CG57" s="103"/>
      <c r="CH57" s="70"/>
      <c r="CI57" s="103"/>
      <c r="CJ57" s="103"/>
      <c r="CK57" s="101"/>
      <c r="CL57" s="74"/>
      <c r="CM57" s="74"/>
      <c r="CN57" s="74"/>
      <c r="CO57" s="101">
        <f>(INDEX('Race 85'!$E$8:$E$200,(MATCH($B57,'Race 85'!$B$8:$B$200,0)),1))*100</f>
        <v>57.117289749703481</v>
      </c>
      <c r="CP57" s="74"/>
      <c r="CQ57" s="101">
        <f>(INDEX('Race 87'!$E$8:$E$200,(MATCH($B57,'Race 87'!$B$8:$B$200,0)),1))*100</f>
        <v>56.139826244356264</v>
      </c>
      <c r="CR57" s="74"/>
      <c r="CS57" s="74"/>
      <c r="CT57" s="74"/>
      <c r="CU57" s="74"/>
      <c r="CV57" s="74">
        <f>(INDEX('Race 92'!$E$8:$E$200,(MATCH($B57,'Race 92'!$B$8:$B$200,0)),1))*100</f>
        <v>57.068062196119399</v>
      </c>
      <c r="CW57" s="103"/>
      <c r="CX57" s="7">
        <f>(INDEX('Race 94'!$E$8:$E$200,(MATCH($B57,'Race 94'!$B$8:$B$200,0)),1))*100</f>
        <v>68.387128680006796</v>
      </c>
      <c r="CY57" s="7">
        <f>(INDEX('Race 95'!$E$8:$E$200,(MATCH($B57,'Race 95'!$B$8:$B$200,0)),1))*100</f>
        <v>66.483378751074966</v>
      </c>
      <c r="CZ57" s="74"/>
      <c r="DA57" s="103"/>
      <c r="DB57" s="103"/>
      <c r="DC57" s="103"/>
      <c r="DD57" s="103"/>
      <c r="DE57" s="74"/>
      <c r="DF57" s="74"/>
      <c r="DG57" s="74"/>
      <c r="DH57" s="74"/>
      <c r="DI57" s="74"/>
      <c r="DJ57" s="103"/>
      <c r="DK57" s="74"/>
      <c r="DL57" s="74"/>
      <c r="DM57" s="103"/>
      <c r="DN57" s="103"/>
      <c r="DO57" s="103"/>
      <c r="DP57" s="7"/>
      <c r="DQ57" s="74"/>
      <c r="DR57" s="7"/>
      <c r="DS57" s="7"/>
      <c r="DT57" s="103"/>
      <c r="DU57" s="103"/>
      <c r="DV57" s="74"/>
      <c r="DW57" s="103"/>
      <c r="DX57" s="103"/>
      <c r="DY57" s="103"/>
      <c r="DZ57" s="8">
        <f t="shared" si="15"/>
        <v>61.039137124252179</v>
      </c>
      <c r="EA57" s="3" t="str">
        <f t="shared" si="16"/>
        <v>Brower, Patrick</v>
      </c>
      <c r="EB57" s="2">
        <f t="shared" si="17"/>
        <v>1</v>
      </c>
      <c r="EC57" s="112">
        <f t="shared" si="18"/>
        <v>60.524290845204135</v>
      </c>
      <c r="ED57" s="29">
        <f t="shared" si="19"/>
        <v>60.054247465812843</v>
      </c>
      <c r="EE57" s="2">
        <f t="shared" si="20"/>
        <v>0</v>
      </c>
      <c r="EF57" s="46">
        <f t="shared" si="21"/>
        <v>0</v>
      </c>
      <c r="EG57" s="46">
        <f t="shared" si="22"/>
        <v>5</v>
      </c>
      <c r="EH57" s="29" t="str">
        <f t="shared" si="23"/>
        <v>CO</v>
      </c>
      <c r="EI57" s="29">
        <f>IF(COUNT(I57:Y57)&lt;5,DZ57,SUMPRODUCT(LARGE(I57:Y57,{1,2,3,4,5}))/5)</f>
        <v>61.039137124252179</v>
      </c>
      <c r="EJ57" s="29">
        <f>IF(COUNT(I57:AX57)&lt;5,DZ57,SUMPRODUCT(LARGE(I57:AX57,{1,2,3,4,5}))/5)</f>
        <v>61.039137124252179</v>
      </c>
      <c r="EK57" s="29">
        <f>IF(COUNT(I57:DY57)&lt;5,AVERAGE(I57:DY57),SUMPRODUCT(LARGE(I57:DY57,{1,2,3,4,5}))/5)</f>
        <v>61.039137124252179</v>
      </c>
      <c r="EL57" s="29">
        <f t="shared" si="24"/>
        <v>60.054247465812843</v>
      </c>
      <c r="EM57" s="116" t="str">
        <f t="shared" si="25"/>
        <v>Brower, Patrick</v>
      </c>
      <c r="EQ57"/>
    </row>
    <row r="58" spans="1:147" x14ac:dyDescent="0.25">
      <c r="A58" s="59">
        <f t="shared" si="11"/>
        <v>55</v>
      </c>
      <c r="B58" s="32" t="s">
        <v>1038</v>
      </c>
      <c r="C58" s="5" t="s">
        <v>16</v>
      </c>
      <c r="D58" s="6" t="s">
        <v>66</v>
      </c>
      <c r="E58" s="6">
        <v>71.913638347741283</v>
      </c>
      <c r="F58" s="6">
        <v>71.913638347741283</v>
      </c>
      <c r="G58" s="5">
        <f t="shared" si="14"/>
        <v>3</v>
      </c>
      <c r="H58" s="8">
        <v>0</v>
      </c>
      <c r="I58" s="36"/>
      <c r="J58" s="7"/>
      <c r="K58" s="14"/>
      <c r="L58" s="7"/>
      <c r="M58" s="103"/>
      <c r="N58" s="74"/>
      <c r="O58" s="7"/>
      <c r="P58" s="103"/>
      <c r="Q58" s="14"/>
      <c r="R58" s="103"/>
      <c r="S58" s="103"/>
      <c r="T58" s="7"/>
      <c r="U58" s="7"/>
      <c r="V58" s="103"/>
      <c r="W58" s="74"/>
      <c r="X58" s="14">
        <f>(INDEX('Race 16'!$E$8:$E$200,(MATCH($B58,'Race 16'!$B$8:$B$200,0)),1))*100</f>
        <v>74.721676294246308</v>
      </c>
      <c r="Y58" s="227">
        <f>(INDEX('Race 17'!$E$8:$E$200,(MATCH($B58,'Race 17'!$B$8:$B$200,0)),1))*100</f>
        <v>69.105600401236273</v>
      </c>
      <c r="Z58" s="230"/>
      <c r="AA58" s="74"/>
      <c r="AB58" s="74"/>
      <c r="AC58" s="74"/>
      <c r="AD58" s="103"/>
      <c r="AE58" s="7"/>
      <c r="AF58" s="103"/>
      <c r="AG58" s="74"/>
      <c r="AH58" s="7"/>
      <c r="AI58" s="7"/>
      <c r="AJ58" s="7"/>
      <c r="AK58" s="7"/>
      <c r="AL58" s="7"/>
      <c r="AM58" s="7"/>
      <c r="AN58" s="7"/>
      <c r="AO58" s="74"/>
      <c r="AP58" s="7"/>
      <c r="AQ58" s="74"/>
      <c r="AR58" s="74"/>
      <c r="AS58" s="7"/>
      <c r="AT58" s="101"/>
      <c r="AU58" s="7"/>
      <c r="AV58" s="101"/>
      <c r="AW58" s="7"/>
      <c r="AX58" s="184"/>
      <c r="AY58" s="207"/>
      <c r="AZ58" s="103"/>
      <c r="BA58" s="74"/>
      <c r="BB58" s="74"/>
      <c r="BC58" s="74"/>
      <c r="BD58" s="7"/>
      <c r="BE58" s="7"/>
      <c r="BF58" s="74"/>
      <c r="BG58" s="103"/>
      <c r="BH58" s="103"/>
      <c r="BI58" s="74"/>
      <c r="BJ58" s="101"/>
      <c r="BK58" s="74"/>
      <c r="BL58" s="101"/>
      <c r="BM58" s="74"/>
      <c r="BN58" s="103"/>
      <c r="BO58" s="103"/>
      <c r="BP58" s="7"/>
      <c r="BQ58" s="7"/>
      <c r="BR58" s="74"/>
      <c r="BS58" s="7">
        <f>(INDEX('Race 63'!$E$8:$E$200,(MATCH($B58,'Race 63'!$B$8:$B$200,0)),1))*100</f>
        <v>65.827858584779847</v>
      </c>
      <c r="BT58" s="7"/>
      <c r="BU58" s="74"/>
      <c r="BV58" s="74"/>
      <c r="BW58" s="74"/>
      <c r="BX58" s="74"/>
      <c r="BY58" s="103"/>
      <c r="BZ58" s="103"/>
      <c r="CA58" s="7"/>
      <c r="CB58" s="74"/>
      <c r="CC58" s="103"/>
      <c r="CD58" s="74"/>
      <c r="CE58" s="7"/>
      <c r="CF58" s="74"/>
      <c r="CG58" s="74"/>
      <c r="CH58" s="7"/>
      <c r="CI58" s="101"/>
      <c r="CJ58" s="103"/>
      <c r="CK58" s="101"/>
      <c r="CL58" s="74"/>
      <c r="CM58" s="74"/>
      <c r="CN58" s="74"/>
      <c r="CO58" s="101"/>
      <c r="CP58" s="74"/>
      <c r="CQ58" s="74"/>
      <c r="CR58" s="74"/>
      <c r="CS58" s="74"/>
      <c r="CT58" s="74"/>
      <c r="CU58" s="74"/>
      <c r="CV58" s="74"/>
      <c r="CW58" s="103"/>
      <c r="CX58" s="7"/>
      <c r="CY58" s="7"/>
      <c r="CZ58" s="74"/>
      <c r="DA58" s="103"/>
      <c r="DB58" s="103"/>
      <c r="DC58" s="103"/>
      <c r="DD58" s="103"/>
      <c r="DE58" s="74"/>
      <c r="DF58" s="74"/>
      <c r="DG58" s="74"/>
      <c r="DH58" s="74"/>
      <c r="DI58" s="74"/>
      <c r="DJ58" s="74"/>
      <c r="DK58" s="74"/>
      <c r="DL58" s="74"/>
      <c r="DM58" s="74"/>
      <c r="DN58" s="103"/>
      <c r="DO58" s="103"/>
      <c r="DP58" s="103"/>
      <c r="DQ58" s="103"/>
      <c r="DR58" s="74"/>
      <c r="DS58" s="74"/>
      <c r="DT58" s="103"/>
      <c r="DU58" s="103"/>
      <c r="DV58" s="103"/>
      <c r="DW58" s="103"/>
      <c r="DX58" s="103"/>
      <c r="DY58" s="103"/>
      <c r="DZ58" s="8">
        <f t="shared" si="15"/>
        <v>69.8850450934208</v>
      </c>
      <c r="EA58" s="3" t="str">
        <f t="shared" si="16"/>
        <v>Brower, Sebastian</v>
      </c>
      <c r="EB58" s="2">
        <f t="shared" si="17"/>
        <v>1</v>
      </c>
      <c r="EC58" s="112">
        <f t="shared" si="18"/>
        <v>0</v>
      </c>
      <c r="ED58" s="29">
        <f t="shared" si="19"/>
        <v>68.757423350473047</v>
      </c>
      <c r="EE58" s="2">
        <f t="shared" si="20"/>
        <v>2</v>
      </c>
      <c r="EF58" s="46">
        <f t="shared" si="21"/>
        <v>2</v>
      </c>
      <c r="EG58" s="46">
        <f t="shared" si="22"/>
        <v>3</v>
      </c>
      <c r="EH58" s="29" t="str">
        <f t="shared" si="23"/>
        <v>WY</v>
      </c>
      <c r="EI58" s="29">
        <f>IF(COUNT(I58:Y58)&lt;5,DZ58,SUMPRODUCT(LARGE(I58:Y58,{1,2,3,4,5}))/5)</f>
        <v>69.8850450934208</v>
      </c>
      <c r="EJ58" s="29">
        <f>IF(COUNT(I58:AX58)&lt;5,DZ58,SUMPRODUCT(LARGE(I58:AX58,{1,2,3,4,5}))/5)</f>
        <v>69.8850450934208</v>
      </c>
      <c r="EK58" s="112">
        <f>IF(COUNT(I58:DY58)&lt;5,AVERAGE(I58:DY58),SUMPRODUCT(LARGE(I58:DY58,{1,2,3,4,5}))/5)</f>
        <v>69.8850450934208</v>
      </c>
      <c r="EL58" s="29">
        <f t="shared" si="24"/>
        <v>68.757423350473047</v>
      </c>
      <c r="EM58" s="116" t="str">
        <f t="shared" si="25"/>
        <v>Brower, Sebastian</v>
      </c>
      <c r="EQ58"/>
    </row>
    <row r="59" spans="1:147" x14ac:dyDescent="0.25">
      <c r="A59" s="59">
        <f t="shared" si="11"/>
        <v>56</v>
      </c>
      <c r="B59" s="32" t="s">
        <v>782</v>
      </c>
      <c r="C59" s="5" t="s">
        <v>6</v>
      </c>
      <c r="D59" s="6" t="s">
        <v>62</v>
      </c>
      <c r="E59" s="6">
        <v>41.547446699333868</v>
      </c>
      <c r="F59" s="6">
        <v>57.502510991962005</v>
      </c>
      <c r="G59" s="5">
        <f t="shared" si="14"/>
        <v>1</v>
      </c>
      <c r="H59" s="8">
        <v>41.547446699333868</v>
      </c>
      <c r="I59" s="36"/>
      <c r="J59" s="7"/>
      <c r="K59" s="14"/>
      <c r="L59" s="7"/>
      <c r="M59" s="14"/>
      <c r="N59" s="7"/>
      <c r="O59" s="7"/>
      <c r="P59" s="14"/>
      <c r="Q59" s="14"/>
      <c r="R59" s="14"/>
      <c r="S59" s="14"/>
      <c r="T59" s="7"/>
      <c r="U59" s="7"/>
      <c r="V59" s="7"/>
      <c r="W59" s="7"/>
      <c r="X59" s="14"/>
      <c r="Y59" s="227"/>
      <c r="Z59" s="228"/>
      <c r="AA59" s="7"/>
      <c r="AB59" s="7"/>
      <c r="AC59" s="14"/>
      <c r="AD59" s="14"/>
      <c r="AE59" s="7"/>
      <c r="AF59" s="14"/>
      <c r="AG59" s="7"/>
      <c r="AH59" s="7"/>
      <c r="AI59" s="7"/>
      <c r="AJ59" s="7"/>
      <c r="AK59" s="7"/>
      <c r="AL59" s="74">
        <f>(INDEX('Race 30'!$E$8:$E$200,(MATCH($B59,'Race 30'!$B$8:$B$200,0)),1))*100</f>
        <v>57.502510991962005</v>
      </c>
      <c r="AM59" s="7"/>
      <c r="AN59" s="7"/>
      <c r="AO59" s="74"/>
      <c r="AP59" s="7"/>
      <c r="AQ59" s="74"/>
      <c r="AR59" s="70"/>
      <c r="AS59" s="7"/>
      <c r="AT59" s="70"/>
      <c r="AU59" s="7"/>
      <c r="AV59" s="70"/>
      <c r="AW59" s="7"/>
      <c r="AX59" s="185"/>
      <c r="AY59" s="107"/>
      <c r="AZ59" s="14"/>
      <c r="BA59" s="14"/>
      <c r="BB59" s="7"/>
      <c r="BC59" s="70"/>
      <c r="BD59" s="7"/>
      <c r="BE59" s="7"/>
      <c r="BF59" s="14"/>
      <c r="BG59" s="14"/>
      <c r="BH59" s="14"/>
      <c r="BI59" s="14"/>
      <c r="BJ59" s="14"/>
      <c r="BK59" s="7"/>
      <c r="BL59" s="14"/>
      <c r="BM59" s="7"/>
      <c r="BN59" s="103"/>
      <c r="BO59" s="14"/>
      <c r="BP59" s="7"/>
      <c r="BQ59" s="7"/>
      <c r="BR59" s="7"/>
      <c r="BS59" s="7"/>
      <c r="BT59" s="7"/>
      <c r="BU59" s="7"/>
      <c r="BV59" s="7"/>
      <c r="BW59" s="7"/>
      <c r="BX59" s="7"/>
      <c r="BY59" s="14"/>
      <c r="BZ59" s="14"/>
      <c r="CA59" s="7"/>
      <c r="CB59" s="7"/>
      <c r="CC59" s="7"/>
      <c r="CD59" s="7"/>
      <c r="CE59" s="7"/>
      <c r="CF59" s="7"/>
      <c r="CG59" s="14"/>
      <c r="CH59" s="70"/>
      <c r="CI59" s="14"/>
      <c r="CJ59" s="14"/>
      <c r="CK59" s="101"/>
      <c r="CL59" s="74"/>
      <c r="CM59" s="74"/>
      <c r="CN59" s="74"/>
      <c r="CO59" s="70"/>
      <c r="CP59" s="74"/>
      <c r="CQ59" s="7"/>
      <c r="CR59" s="74"/>
      <c r="CS59" s="74"/>
      <c r="CT59" s="74"/>
      <c r="CU59" s="74"/>
      <c r="CV59" s="7"/>
      <c r="CW59" s="14"/>
      <c r="CX59" s="7"/>
      <c r="CY59" s="7"/>
      <c r="CZ59" s="7"/>
      <c r="DA59" s="14"/>
      <c r="DB59" s="14"/>
      <c r="DC59" s="14"/>
      <c r="DD59" s="14"/>
      <c r="DE59" s="74"/>
      <c r="DF59" s="74"/>
      <c r="DG59" s="74"/>
      <c r="DH59" s="7"/>
      <c r="DI59" s="7"/>
      <c r="DJ59" s="7"/>
      <c r="DK59" s="7"/>
      <c r="DL59" s="7"/>
      <c r="DM59" s="7"/>
      <c r="DN59" s="14"/>
      <c r="DO59" s="14"/>
      <c r="DP59" s="14"/>
      <c r="DQ59" s="7"/>
      <c r="DR59" s="7"/>
      <c r="DS59" s="7"/>
      <c r="DT59" s="14"/>
      <c r="DU59" s="7"/>
      <c r="DV59" s="7"/>
      <c r="DW59" s="14"/>
      <c r="DX59" s="14"/>
      <c r="DY59" s="14"/>
      <c r="DZ59" s="8">
        <f t="shared" si="15"/>
        <v>57.502510991962005</v>
      </c>
      <c r="EA59" s="3" t="str">
        <f t="shared" si="16"/>
        <v>Brown, Craig</v>
      </c>
      <c r="EB59" s="2">
        <f t="shared" si="17"/>
        <v>1</v>
      </c>
      <c r="EC59" s="112">
        <f t="shared" si="18"/>
        <v>41.547446699333868</v>
      </c>
      <c r="ED59" s="29">
        <f t="shared" si="19"/>
        <v>56.574686139277851</v>
      </c>
      <c r="EE59" s="2">
        <f t="shared" si="20"/>
        <v>0</v>
      </c>
      <c r="EF59" s="46">
        <f t="shared" si="21"/>
        <v>1</v>
      </c>
      <c r="EG59" s="46">
        <f t="shared" si="22"/>
        <v>1</v>
      </c>
      <c r="EH59" s="2" t="str">
        <f t="shared" si="23"/>
        <v>CO</v>
      </c>
      <c r="EI59" s="29">
        <f>IF(COUNT(I59:Y59)&lt;5,DZ59,SUMPRODUCT(LARGE(I59:Y59,{1,2,3,4,5}))/5)</f>
        <v>57.502510991962005</v>
      </c>
      <c r="EJ59" s="29">
        <f>IF(COUNT(I59:AX59)&lt;5,DZ59,SUMPRODUCT(LARGE(I59:AX59,{1,2,3,4,5}))/5)</f>
        <v>57.502510991962005</v>
      </c>
      <c r="EK59" s="29">
        <f>IF(COUNT(I59:DY59)&lt;5,AVERAGE(I59:DY59),SUMPRODUCT(LARGE(I59:DY59,{1,2,3,4,5}))/5)</f>
        <v>57.502510991962005</v>
      </c>
      <c r="EL59" s="29">
        <f t="shared" si="24"/>
        <v>56.574686139277851</v>
      </c>
      <c r="EM59" s="116" t="str">
        <f t="shared" si="25"/>
        <v>Brown, Craig</v>
      </c>
      <c r="EQ59"/>
    </row>
    <row r="60" spans="1:147" x14ac:dyDescent="0.25">
      <c r="A60" s="59">
        <f t="shared" si="11"/>
        <v>57</v>
      </c>
      <c r="B60" s="32" t="s">
        <v>838</v>
      </c>
      <c r="C60" s="5" t="s">
        <v>6</v>
      </c>
      <c r="D60" s="6" t="s">
        <v>62</v>
      </c>
      <c r="E60" s="6">
        <v>90.444732452419089</v>
      </c>
      <c r="F60" s="6">
        <v>90.493939450526881</v>
      </c>
      <c r="G60" s="5">
        <f t="shared" si="14"/>
        <v>8</v>
      </c>
      <c r="H60" s="8">
        <v>90.307748533563512</v>
      </c>
      <c r="I60" s="36"/>
      <c r="J60" s="7"/>
      <c r="K60" s="14"/>
      <c r="L60" s="7"/>
      <c r="M60" s="7"/>
      <c r="N60" s="7"/>
      <c r="O60" s="7"/>
      <c r="P60" s="7"/>
      <c r="Q60" s="14">
        <f>(INDEX('Race 9'!$E$8:$E$200,(MATCH($B60,'Race 9'!$B$8:$B$200,0)),1))*100</f>
        <v>90.749412865131092</v>
      </c>
      <c r="R60" s="7"/>
      <c r="S60" s="7">
        <f>(INDEX('Race 11'!$E$8:$E$200,(MATCH($B60,'Race 11'!$B$8:$B$200,0)),1))*100</f>
        <v>92.056236903863805</v>
      </c>
      <c r="T60" s="7"/>
      <c r="U60" s="7"/>
      <c r="V60" s="7">
        <f>(INDEX('Race 14'!$E$8:$E$200,(MATCH($B60,'Race 14'!$B$8:$B$200,0)),1))*100</f>
        <v>88.52854758826237</v>
      </c>
      <c r="W60" s="7"/>
      <c r="X60" s="7"/>
      <c r="Y60" s="227"/>
      <c r="Z60" s="228"/>
      <c r="AA60" s="7"/>
      <c r="AB60" s="7"/>
      <c r="AC60" s="7"/>
      <c r="AD60" s="14"/>
      <c r="AE60" s="7"/>
      <c r="AF60" s="14"/>
      <c r="AG60" s="7"/>
      <c r="AH60" s="7"/>
      <c r="AI60" s="7"/>
      <c r="AJ60" s="7"/>
      <c r="AK60" s="7"/>
      <c r="AL60" s="7"/>
      <c r="AM60" s="7"/>
      <c r="AN60" s="7"/>
      <c r="AO60" s="74"/>
      <c r="AP60" s="74">
        <f>(INDEX('Race 34'!$E$8:$E$200,(MATCH($B60,'Race 34'!$B$8:$B$200,0)),1))*100</f>
        <v>88.966092090149189</v>
      </c>
      <c r="AQ60" s="74">
        <f>(INDEX('Race 35'!$E$8:$E$200,(MATCH($B60,'Race 35'!$B$8:$B$200,0)),1))*100</f>
        <v>92.169407805227948</v>
      </c>
      <c r="AR60" s="70"/>
      <c r="AS60" s="7"/>
      <c r="AT60" s="70"/>
      <c r="AU60" s="7"/>
      <c r="AV60" s="70"/>
      <c r="AW60" s="7"/>
      <c r="AX60" s="185"/>
      <c r="AY60" s="208"/>
      <c r="AZ60" s="14"/>
      <c r="BA60" s="14"/>
      <c r="BB60" s="7"/>
      <c r="BC60" s="70"/>
      <c r="BD60" s="7"/>
      <c r="BE60" s="7"/>
      <c r="BF60" s="14"/>
      <c r="BG60" s="14"/>
      <c r="BH60" s="14"/>
      <c r="BI60" s="14"/>
      <c r="BJ60" s="70"/>
      <c r="BK60" s="7"/>
      <c r="BL60" s="14"/>
      <c r="BM60" s="7"/>
      <c r="BN60" s="103"/>
      <c r="BO60" s="14"/>
      <c r="BP60" s="7"/>
      <c r="BQ60" s="7"/>
      <c r="BR60" s="7"/>
      <c r="BS60" s="7"/>
      <c r="BT60" s="7"/>
      <c r="BU60" s="7"/>
      <c r="BV60" s="7"/>
      <c r="BW60" s="7"/>
      <c r="BX60" s="7"/>
      <c r="BY60" s="14"/>
      <c r="BZ60" s="14"/>
      <c r="CA60" s="7"/>
      <c r="CB60" s="7"/>
      <c r="CC60" s="7"/>
      <c r="CD60" s="7"/>
      <c r="CE60" s="74"/>
      <c r="CF60" s="74"/>
      <c r="CG60" s="7"/>
      <c r="CH60" s="7"/>
      <c r="CI60" s="14"/>
      <c r="CJ60" s="7"/>
      <c r="CK60" s="101"/>
      <c r="CL60" s="74"/>
      <c r="CM60" s="74"/>
      <c r="CN60" s="74">
        <f>(INDEX('Race 84'!$E$8:$E$200,(MATCH($B60,'Race 84'!$B$8:$B$200,0)),1))*100</f>
        <v>88.081265089492845</v>
      </c>
      <c r="CO60" s="70"/>
      <c r="CP60" s="74">
        <f>(INDEX('Race 86'!$E$8:$E$200,(MATCH($B60,'Race 86'!$B$8:$B$200,0)),1))*100</f>
        <v>96.779922840463712</v>
      </c>
      <c r="CQ60" s="7"/>
      <c r="CR60" s="74"/>
      <c r="CS60" s="7"/>
      <c r="CT60" s="74"/>
      <c r="CU60" s="74"/>
      <c r="CV60" s="7">
        <f>(INDEX('Race 92'!$E$8:$E$200,(MATCH($B60,'Race 92'!$B$8:$B$200,0)),1))*100</f>
        <v>90.744605329389771</v>
      </c>
      <c r="CW60" s="14"/>
      <c r="CX60" s="7"/>
      <c r="CY60" s="7"/>
      <c r="CZ60" s="7"/>
      <c r="DA60" s="14"/>
      <c r="DB60" s="14"/>
      <c r="DC60" s="14"/>
      <c r="DD60" s="14"/>
      <c r="DE60" s="74"/>
      <c r="DF60" s="7"/>
      <c r="DG60" s="7"/>
      <c r="DH60" s="7"/>
      <c r="DI60" s="7"/>
      <c r="DJ60" s="14"/>
      <c r="DK60" s="7"/>
      <c r="DL60" s="7"/>
      <c r="DM60" s="103"/>
      <c r="DN60" s="14"/>
      <c r="DO60" s="103"/>
      <c r="DP60" s="14"/>
      <c r="DQ60" s="14"/>
      <c r="DR60" s="7"/>
      <c r="DS60" s="7"/>
      <c r="DT60" s="14"/>
      <c r="DU60" s="14"/>
      <c r="DV60" s="14"/>
      <c r="DW60" s="14"/>
      <c r="DX60" s="14"/>
      <c r="DY60" s="14"/>
      <c r="DZ60" s="8">
        <f t="shared" si="15"/>
        <v>91.009436313997583</v>
      </c>
      <c r="EA60" s="3" t="str">
        <f t="shared" si="16"/>
        <v>Brown, Jake</v>
      </c>
      <c r="EB60" s="2">
        <f t="shared" si="17"/>
        <v>1</v>
      </c>
      <c r="EC60" s="112">
        <f t="shared" si="18"/>
        <v>90.307748533563512</v>
      </c>
      <c r="ED60" s="29">
        <f t="shared" si="19"/>
        <v>91.007395856764319</v>
      </c>
      <c r="EE60" s="2">
        <f t="shared" si="20"/>
        <v>3</v>
      </c>
      <c r="EF60" s="46">
        <f t="shared" si="21"/>
        <v>5</v>
      </c>
      <c r="EG60" s="46">
        <f t="shared" si="22"/>
        <v>8</v>
      </c>
      <c r="EH60" s="29" t="str">
        <f t="shared" si="23"/>
        <v>CO</v>
      </c>
      <c r="EI60" s="29">
        <f>IF(COUNT(I60:Y60)&lt;5,DZ60,SUMPRODUCT(LARGE(I60:Y60,{1,2,3,4,5}))/5)</f>
        <v>91.009436313997583</v>
      </c>
      <c r="EJ60" s="29">
        <f>IF(COUNT(I60:AX60)&lt;5,DZ60,SUMPRODUCT(LARGE(I60:AX60,{1,2,3,4,5}))/5)</f>
        <v>90.493939450526881</v>
      </c>
      <c r="EK60" s="29">
        <f>IF(COUNT(I60:DY60)&lt;5,AVERAGE(I60:DY60),SUMPRODUCT(LARGE(I60:DY60,{1,2,3,4,5}))/5)</f>
        <v>92.499917148815257</v>
      </c>
      <c r="EL60" s="29">
        <f t="shared" si="24"/>
        <v>91.007395856764319</v>
      </c>
      <c r="EM60" s="116" t="str">
        <f t="shared" si="25"/>
        <v>Brown, Jake</v>
      </c>
      <c r="EQ60"/>
    </row>
    <row r="61" spans="1:147" x14ac:dyDescent="0.25">
      <c r="A61" s="59">
        <f t="shared" si="11"/>
        <v>58</v>
      </c>
      <c r="B61" s="186" t="s">
        <v>964</v>
      </c>
      <c r="C61" s="106" t="s">
        <v>6</v>
      </c>
      <c r="D61" s="187" t="s">
        <v>69</v>
      </c>
      <c r="E61" s="6">
        <v>43.852882186675011</v>
      </c>
      <c r="F61" s="6">
        <v>43.852882186675011</v>
      </c>
      <c r="G61" s="5">
        <f t="shared" si="14"/>
        <v>1</v>
      </c>
      <c r="H61" s="8">
        <v>43.852882186675011</v>
      </c>
      <c r="I61" s="107"/>
      <c r="J61" s="74"/>
      <c r="K61" s="74"/>
      <c r="L61" s="74"/>
      <c r="M61" s="103"/>
      <c r="N61" s="74"/>
      <c r="O61" s="74"/>
      <c r="P61" s="103"/>
      <c r="Q61" s="74"/>
      <c r="R61" s="103"/>
      <c r="S61" s="74"/>
      <c r="T61" s="74"/>
      <c r="U61" s="74"/>
      <c r="V61" s="103"/>
      <c r="W61" s="74"/>
      <c r="X61" s="74"/>
      <c r="Y61" s="229"/>
      <c r="Z61" s="230"/>
      <c r="AA61" s="74"/>
      <c r="AB61" s="74"/>
      <c r="AC61" s="103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101"/>
      <c r="AS61" s="74"/>
      <c r="AT61" s="101"/>
      <c r="AU61" s="74"/>
      <c r="AV61" s="101"/>
      <c r="AW61" s="74"/>
      <c r="AX61" s="185"/>
      <c r="AY61" s="208"/>
      <c r="AZ61" s="103"/>
      <c r="BA61" s="103"/>
      <c r="BB61" s="103"/>
      <c r="BC61" s="101"/>
      <c r="BD61" s="7"/>
      <c r="BE61" s="7"/>
      <c r="BF61" s="103"/>
      <c r="BG61" s="101"/>
      <c r="BH61" s="103"/>
      <c r="BI61" s="101"/>
      <c r="BJ61" s="103"/>
      <c r="BK61" s="101"/>
      <c r="BL61" s="103"/>
      <c r="BM61" s="101"/>
      <c r="BN61" s="101"/>
      <c r="BO61" s="103"/>
      <c r="BP61" s="7"/>
      <c r="BQ61" s="7"/>
      <c r="BR61" s="74"/>
      <c r="BS61" s="7"/>
      <c r="BT61" s="7"/>
      <c r="BU61" s="74"/>
      <c r="BV61" s="74"/>
      <c r="BW61" s="74"/>
      <c r="BX61" s="74"/>
      <c r="BY61" s="74"/>
      <c r="BZ61" s="103"/>
      <c r="CA61" s="7"/>
      <c r="CB61" s="74"/>
      <c r="CC61" s="103"/>
      <c r="CD61" s="74"/>
      <c r="CE61" s="74"/>
      <c r="CF61" s="74"/>
      <c r="CG61" s="103"/>
      <c r="CH61" s="74"/>
      <c r="CI61" s="103"/>
      <c r="CJ61" s="103"/>
      <c r="CK61" s="101">
        <f>(INDEX('Race 81'!$E$8:$E$200,(MATCH($B61,'Race 81'!$B$8:$B$200,0)),1))*100</f>
        <v>52.976155502802015</v>
      </c>
      <c r="CL61" s="101"/>
      <c r="CM61" s="74"/>
      <c r="CN61" s="101"/>
      <c r="CO61" s="101"/>
      <c r="CP61" s="74"/>
      <c r="CQ61" s="74"/>
      <c r="CR61" s="101"/>
      <c r="CS61" s="74"/>
      <c r="CT61" s="74"/>
      <c r="CU61" s="74"/>
      <c r="CV61" s="74"/>
      <c r="CW61" s="103"/>
      <c r="CX61" s="7"/>
      <c r="CY61" s="7"/>
      <c r="CZ61" s="74"/>
      <c r="DA61" s="103"/>
      <c r="DB61" s="103"/>
      <c r="DC61" s="74"/>
      <c r="DD61" s="103"/>
      <c r="DE61" s="74"/>
      <c r="DF61" s="74"/>
      <c r="DG61" s="74"/>
      <c r="DH61" s="74"/>
      <c r="DI61" s="74"/>
      <c r="DJ61" s="74"/>
      <c r="DK61" s="74"/>
      <c r="DL61" s="74"/>
      <c r="DM61" s="103"/>
      <c r="DN61" s="103"/>
      <c r="DO61" s="103"/>
      <c r="DP61" s="74"/>
      <c r="DQ61" s="103"/>
      <c r="DR61" s="74"/>
      <c r="DS61" s="74"/>
      <c r="DT61" s="103"/>
      <c r="DU61" s="103"/>
      <c r="DV61" s="74"/>
      <c r="DW61" s="103"/>
      <c r="DX61" s="103"/>
      <c r="DY61" s="103"/>
      <c r="DZ61" s="8">
        <f t="shared" si="15"/>
        <v>52.976155502802015</v>
      </c>
      <c r="EA61" s="3" t="str">
        <f t="shared" si="16"/>
        <v>BRUESKE, Chris</v>
      </c>
      <c r="EB61" s="2">
        <f t="shared" si="17"/>
        <v>1</v>
      </c>
      <c r="EC61" s="112">
        <f t="shared" si="18"/>
        <v>43.852882186675011</v>
      </c>
      <c r="ED61" s="29">
        <f t="shared" si="19"/>
        <v>52.121365114917367</v>
      </c>
      <c r="EE61" s="2">
        <f t="shared" si="20"/>
        <v>0</v>
      </c>
      <c r="EF61" s="46">
        <f t="shared" si="21"/>
        <v>0</v>
      </c>
      <c r="EG61" s="46">
        <f t="shared" si="22"/>
        <v>1</v>
      </c>
      <c r="EH61" s="29" t="str">
        <f t="shared" si="23"/>
        <v>WA</v>
      </c>
      <c r="EI61" s="29">
        <f>IF(COUNT(I61:Y61)&lt;5,DZ61,SUMPRODUCT(LARGE(I61:Y61,{1,2,3,4,5}))/5)</f>
        <v>52.976155502802015</v>
      </c>
      <c r="EJ61" s="29">
        <f>IF(COUNT(I61:AX61)&lt;5,DZ61,SUMPRODUCT(LARGE(I61:AX61,{1,2,3,4,5}))/5)</f>
        <v>52.976155502802015</v>
      </c>
      <c r="EK61" s="29">
        <f>IF(COUNT(I61:DY61)&lt;5,AVERAGE(I61:DY61),SUMPRODUCT(LARGE(I61:DY61,{1,2,3,4,5}))/5)</f>
        <v>52.976155502802015</v>
      </c>
      <c r="EL61" s="29">
        <f t="shared" si="24"/>
        <v>52.121365114917367</v>
      </c>
      <c r="EM61" s="116" t="str">
        <f t="shared" si="25"/>
        <v>BRUESKE, Chris</v>
      </c>
      <c r="EQ61"/>
    </row>
    <row r="62" spans="1:147" x14ac:dyDescent="0.25">
      <c r="A62" s="59">
        <f t="shared" si="11"/>
        <v>59</v>
      </c>
      <c r="B62" s="32" t="s">
        <v>1264</v>
      </c>
      <c r="C62" s="5" t="s">
        <v>6</v>
      </c>
      <c r="D62" s="6" t="s">
        <v>57</v>
      </c>
      <c r="E62" s="6">
        <v>0</v>
      </c>
      <c r="F62" s="6">
        <v>0</v>
      </c>
      <c r="G62" s="5">
        <f t="shared" si="14"/>
        <v>2</v>
      </c>
      <c r="H62" s="60">
        <v>0</v>
      </c>
      <c r="I62" s="36"/>
      <c r="J62" s="7"/>
      <c r="K62" s="14"/>
      <c r="L62" s="7"/>
      <c r="M62" s="14"/>
      <c r="N62" s="7"/>
      <c r="O62" s="7"/>
      <c r="P62" s="14"/>
      <c r="Q62" s="14"/>
      <c r="R62" s="14"/>
      <c r="S62" s="14"/>
      <c r="T62" s="7"/>
      <c r="U62" s="7"/>
      <c r="V62" s="14"/>
      <c r="W62" s="7"/>
      <c r="X62" s="14"/>
      <c r="Y62" s="227"/>
      <c r="Z62" s="228"/>
      <c r="AA62" s="7"/>
      <c r="AB62" s="7"/>
      <c r="AC62" s="7"/>
      <c r="AD62" s="7"/>
      <c r="AE62" s="7"/>
      <c r="AF62" s="14"/>
      <c r="AG62" s="7"/>
      <c r="AH62" s="7"/>
      <c r="AI62" s="7"/>
      <c r="AJ62" s="7"/>
      <c r="AK62" s="7"/>
      <c r="AL62" s="7"/>
      <c r="AM62" s="7"/>
      <c r="AN62" s="7"/>
      <c r="AO62" s="74"/>
      <c r="AP62" s="7"/>
      <c r="AQ62" s="74"/>
      <c r="AR62" s="7"/>
      <c r="AS62" s="7"/>
      <c r="AT62" s="70"/>
      <c r="AU62" s="7"/>
      <c r="AV62" s="70"/>
      <c r="AW62" s="7"/>
      <c r="AX62" s="184"/>
      <c r="AY62" s="207"/>
      <c r="AZ62" s="14"/>
      <c r="BA62" s="14"/>
      <c r="BB62" s="14"/>
      <c r="BC62" s="70"/>
      <c r="BD62" s="7"/>
      <c r="BE62" s="7"/>
      <c r="BF62" s="7"/>
      <c r="BG62" s="14"/>
      <c r="BH62" s="14"/>
      <c r="BI62" s="14"/>
      <c r="BJ62" s="74"/>
      <c r="BK62" s="7"/>
      <c r="BL62" s="74"/>
      <c r="BM62" s="7"/>
      <c r="BN62" s="14"/>
      <c r="BO62" s="14"/>
      <c r="BP62" s="7"/>
      <c r="BQ62" s="7"/>
      <c r="BR62" s="7"/>
      <c r="BS62" s="7"/>
      <c r="BT62" s="7"/>
      <c r="BU62" s="7"/>
      <c r="BV62" s="7"/>
      <c r="BW62" s="7"/>
      <c r="BX62" s="7"/>
      <c r="BY62" s="14"/>
      <c r="BZ62" s="14"/>
      <c r="CA62" s="7"/>
      <c r="CB62" s="7"/>
      <c r="CC62" s="14"/>
      <c r="CD62" s="7"/>
      <c r="CE62" s="7">
        <f>(INDEX('Race 75'!$E$8:$E$200,(MATCH($B62,'Race 75'!$B$8:$B$200,0)),1))*100</f>
        <v>30.825957395661529</v>
      </c>
      <c r="CF62" s="7">
        <f>(INDEX('Race 76'!$E$8:$E$200,(MATCH($B62,'Race 76'!$B$8:$B$200,0)),1))*100</f>
        <v>30.796594135378434</v>
      </c>
      <c r="CG62" s="14"/>
      <c r="CH62" s="70"/>
      <c r="CI62" s="14"/>
      <c r="CJ62" s="14"/>
      <c r="CK62" s="101"/>
      <c r="CL62" s="74"/>
      <c r="CM62" s="74"/>
      <c r="CN62" s="74"/>
      <c r="CO62" s="70"/>
      <c r="CP62" s="74"/>
      <c r="CQ62" s="7"/>
      <c r="CR62" s="74"/>
      <c r="CS62" s="74"/>
      <c r="CT62" s="74"/>
      <c r="CU62" s="74"/>
      <c r="CV62" s="74"/>
      <c r="CW62" s="14"/>
      <c r="CX62" s="7"/>
      <c r="CY62" s="7"/>
      <c r="CZ62" s="7"/>
      <c r="DA62" s="14"/>
      <c r="DB62" s="14"/>
      <c r="DC62" s="14"/>
      <c r="DD62" s="14"/>
      <c r="DE62" s="74"/>
      <c r="DF62" s="74"/>
      <c r="DG62" s="74"/>
      <c r="DH62" s="74"/>
      <c r="DI62" s="74"/>
      <c r="DJ62" s="14"/>
      <c r="DK62" s="7"/>
      <c r="DL62" s="7"/>
      <c r="DM62" s="14"/>
      <c r="DN62" s="14"/>
      <c r="DO62" s="14"/>
      <c r="DP62" s="7"/>
      <c r="DQ62" s="14"/>
      <c r="DR62" s="7"/>
      <c r="DS62" s="7"/>
      <c r="DT62" s="14"/>
      <c r="DU62" s="14"/>
      <c r="DV62" s="14"/>
      <c r="DW62" s="14"/>
      <c r="DX62" s="7"/>
      <c r="DY62" s="14"/>
      <c r="DZ62" s="8">
        <f t="shared" si="15"/>
        <v>30.81127576551998</v>
      </c>
      <c r="EA62" s="3" t="str">
        <f t="shared" si="16"/>
        <v>BRUNICK, KEVIN</v>
      </c>
      <c r="EB62" s="2">
        <f t="shared" si="17"/>
        <v>1</v>
      </c>
      <c r="EC62" s="112">
        <f t="shared" si="18"/>
        <v>0</v>
      </c>
      <c r="ED62" s="29">
        <f t="shared" si="19"/>
        <v>30.314124129791402</v>
      </c>
      <c r="EE62" s="2">
        <f t="shared" si="20"/>
        <v>0</v>
      </c>
      <c r="EF62" s="46">
        <f t="shared" si="21"/>
        <v>0</v>
      </c>
      <c r="EG62" s="46">
        <f t="shared" si="22"/>
        <v>2</v>
      </c>
      <c r="EH62" s="2" t="str">
        <f t="shared" si="23"/>
        <v>NY</v>
      </c>
      <c r="EI62" s="29">
        <f>IF(COUNT(I62:AD62)&lt;5,DZ62,SUMPRODUCT(LARGE(I62:AD62,{1,2,3,4,5}))/5)</f>
        <v>30.81127576551998</v>
      </c>
      <c r="EJ62" s="29">
        <f>IF(COUNT(I62:BE62)&lt;5,DZ62,SUMPRODUCT(LARGE(I62:BE62,{1,2,3,4,5}))/5)</f>
        <v>30.81127576551998</v>
      </c>
      <c r="EK62" s="112">
        <f>IF(COUNT(I62:DY62)&lt;5,AVERAGE(I62:DY62),SUMPRODUCT(LARGE(I62:DY62,{1,2,3,4,5}))/5)</f>
        <v>30.81127576551998</v>
      </c>
      <c r="EL62" s="29">
        <f t="shared" si="24"/>
        <v>30.314124129791402</v>
      </c>
      <c r="EM62" s="116" t="str">
        <f t="shared" si="25"/>
        <v>BRUNICK, KEVIN</v>
      </c>
      <c r="EQ62"/>
    </row>
    <row r="63" spans="1:147" x14ac:dyDescent="0.25">
      <c r="A63" s="59">
        <f t="shared" si="11"/>
        <v>60</v>
      </c>
      <c r="B63" s="32" t="s">
        <v>1055</v>
      </c>
      <c r="C63" s="5" t="s">
        <v>6</v>
      </c>
      <c r="D63" s="6" t="s">
        <v>67</v>
      </c>
      <c r="E63" s="6">
        <v>0</v>
      </c>
      <c r="F63" s="6">
        <v>66.06235864701496</v>
      </c>
      <c r="G63" s="5">
        <f t="shared" si="14"/>
        <v>4</v>
      </c>
      <c r="H63" s="8">
        <v>0</v>
      </c>
      <c r="I63" s="36"/>
      <c r="J63" s="7"/>
      <c r="K63" s="7"/>
      <c r="L63" s="7"/>
      <c r="M63" s="14"/>
      <c r="N63" s="7"/>
      <c r="O63" s="7"/>
      <c r="P63" s="14"/>
      <c r="Q63" s="14"/>
      <c r="R63" s="14"/>
      <c r="S63" s="14"/>
      <c r="T63" s="7"/>
      <c r="U63" s="7"/>
      <c r="V63" s="14"/>
      <c r="W63" s="7"/>
      <c r="X63" s="7"/>
      <c r="Y63" s="227"/>
      <c r="Z63" s="228"/>
      <c r="AA63" s="7"/>
      <c r="AB63" s="7"/>
      <c r="AC63" s="14"/>
      <c r="AD63" s="103">
        <f>(INDEX('Race 22'!$E$8:$E$200,(MATCH($B63,'Race 22'!$B$8:$B$200,0)),1))*100</f>
        <v>52.79863553095813</v>
      </c>
      <c r="AE63" s="7"/>
      <c r="AF63" s="14"/>
      <c r="AG63" s="7"/>
      <c r="AH63" s="7"/>
      <c r="AI63" s="7"/>
      <c r="AJ63" s="7"/>
      <c r="AK63" s="7"/>
      <c r="AL63" s="7"/>
      <c r="AM63" s="7"/>
      <c r="AN63" s="7"/>
      <c r="AO63" s="74"/>
      <c r="AP63" s="7"/>
      <c r="AQ63" s="74"/>
      <c r="AR63" s="70"/>
      <c r="AS63" s="7"/>
      <c r="AT63" s="70"/>
      <c r="AU63" s="7"/>
      <c r="AV63" s="70"/>
      <c r="AW63" s="7">
        <f>(INDEX('Race 41'!$E$8:$E$200,(MATCH($B63,'Race 41'!$B$8:$B$200,0)),1))*100</f>
        <v>67.3795110101765</v>
      </c>
      <c r="AX63" s="184">
        <f>(INDEX('Race 42'!$E$8:$E$200,(MATCH($B63,'Race 42'!$B$8:$B$200,0)),1))*100</f>
        <v>78.008929399910272</v>
      </c>
      <c r="AY63" s="207"/>
      <c r="AZ63" s="14"/>
      <c r="BA63" s="14"/>
      <c r="BB63" s="14"/>
      <c r="BC63" s="70"/>
      <c r="BD63" s="7"/>
      <c r="BE63" s="7"/>
      <c r="BF63" s="70"/>
      <c r="BG63" s="70"/>
      <c r="BH63" s="14"/>
      <c r="BI63" s="14"/>
      <c r="BJ63" s="14"/>
      <c r="BK63" s="7"/>
      <c r="BL63" s="14"/>
      <c r="BM63" s="7"/>
      <c r="BN63" s="103"/>
      <c r="BO63" s="14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14"/>
      <c r="CD63" s="7"/>
      <c r="CE63" s="74"/>
      <c r="CF63" s="103">
        <f>(INDEX('Race 76'!$E$8:$E$200,(MATCH($B63,'Race 76'!$B$8:$B$200,0)),1))*100</f>
        <v>60.032550054436363</v>
      </c>
      <c r="CG63" s="14"/>
      <c r="CH63" s="70"/>
      <c r="CI63" s="14"/>
      <c r="CJ63" s="14"/>
      <c r="CK63" s="101"/>
      <c r="CL63" s="74"/>
      <c r="CM63" s="74"/>
      <c r="CN63" s="74"/>
      <c r="CO63" s="70"/>
      <c r="CP63" s="74"/>
      <c r="CQ63" s="7"/>
      <c r="CR63" s="74"/>
      <c r="CS63" s="74"/>
      <c r="CT63" s="74"/>
      <c r="CU63" s="74"/>
      <c r="CV63" s="7"/>
      <c r="CW63" s="14"/>
      <c r="CX63" s="7"/>
      <c r="CY63" s="7"/>
      <c r="CZ63" s="7"/>
      <c r="DA63" s="14"/>
      <c r="DB63" s="14"/>
      <c r="DC63" s="14"/>
      <c r="DD63" s="14"/>
      <c r="DE63" s="74"/>
      <c r="DF63" s="7"/>
      <c r="DG63" s="7"/>
      <c r="DH63" s="7"/>
      <c r="DI63" s="7"/>
      <c r="DJ63" s="14"/>
      <c r="DK63" s="7"/>
      <c r="DL63" s="7"/>
      <c r="DM63" s="14"/>
      <c r="DN63" s="14"/>
      <c r="DO63" s="14"/>
      <c r="DP63" s="14"/>
      <c r="DQ63" s="14"/>
      <c r="DR63" s="7"/>
      <c r="DS63" s="7"/>
      <c r="DT63" s="7"/>
      <c r="DU63" s="7"/>
      <c r="DV63" s="14"/>
      <c r="DW63" s="14"/>
      <c r="DX63" s="14"/>
      <c r="DY63" s="14"/>
      <c r="DZ63" s="8">
        <f t="shared" si="15"/>
        <v>64.554906498870309</v>
      </c>
      <c r="EA63" s="3" t="str">
        <f t="shared" si="16"/>
        <v>Buchanan, Kayle</v>
      </c>
      <c r="EB63" s="2">
        <f t="shared" si="17"/>
        <v>1</v>
      </c>
      <c r="EC63" s="112">
        <f t="shared" si="18"/>
        <v>0</v>
      </c>
      <c r="ED63" s="29">
        <f t="shared" si="19"/>
        <v>63.513288566381654</v>
      </c>
      <c r="EE63" s="2">
        <f t="shared" si="20"/>
        <v>1</v>
      </c>
      <c r="EF63" s="46">
        <f t="shared" si="21"/>
        <v>3</v>
      </c>
      <c r="EG63" s="46">
        <f t="shared" si="22"/>
        <v>4</v>
      </c>
      <c r="EH63" s="2" t="str">
        <f t="shared" si="23"/>
        <v>UT</v>
      </c>
      <c r="EI63" s="29">
        <f>IF(COUNT(I63:AD63)&lt;5,DZ63,SUMPRODUCT(LARGE(I63:AD63,{1,2,3,4,5}))/5)</f>
        <v>64.554906498870309</v>
      </c>
      <c r="EJ63" s="29">
        <f>IF(COUNT(I63:AX63)&lt;5,DZ63,SUMPRODUCT(LARGE(I63:AX63,{1,2,3,4,5}))/5)</f>
        <v>64.554906498870309</v>
      </c>
      <c r="EK63" s="112">
        <f>IF(COUNT(I63:DY63)&lt;5,AVERAGE(I63:DY63),SUMPRODUCT(LARGE(I63:DY63,{1,2,3,4,5}))/5)</f>
        <v>64.554906498870309</v>
      </c>
      <c r="EL63" s="29">
        <f t="shared" si="24"/>
        <v>63.513288566381654</v>
      </c>
      <c r="EM63" s="116" t="str">
        <f t="shared" si="25"/>
        <v>Buchanan, Kayle</v>
      </c>
      <c r="EQ63"/>
    </row>
    <row r="64" spans="1:147" x14ac:dyDescent="0.25">
      <c r="A64" s="59">
        <f t="shared" si="11"/>
        <v>61</v>
      </c>
      <c r="B64" s="32" t="s">
        <v>863</v>
      </c>
      <c r="C64" s="5" t="s">
        <v>6</v>
      </c>
      <c r="D64" s="6" t="s">
        <v>62</v>
      </c>
      <c r="E64" s="6">
        <v>37.334250691874701</v>
      </c>
      <c r="F64" s="6">
        <v>44.330678633518588</v>
      </c>
      <c r="G64" s="5">
        <f t="shared" si="14"/>
        <v>6</v>
      </c>
      <c r="H64" s="8">
        <v>37.334250691874701</v>
      </c>
      <c r="I64" s="36"/>
      <c r="J64" s="7"/>
      <c r="K64" s="14"/>
      <c r="L64" s="7"/>
      <c r="M64" s="14"/>
      <c r="N64" s="7"/>
      <c r="O64" s="7"/>
      <c r="P64" s="14"/>
      <c r="Q64" s="14"/>
      <c r="R64" s="7"/>
      <c r="S64" s="14"/>
      <c r="T64" s="7"/>
      <c r="U64" s="7"/>
      <c r="V64" s="14"/>
      <c r="W64" s="7"/>
      <c r="X64" s="14"/>
      <c r="Y64" s="227"/>
      <c r="Z64" s="228"/>
      <c r="AA64" s="7"/>
      <c r="AB64" s="7"/>
      <c r="AC64" s="14"/>
      <c r="AD64" s="14"/>
      <c r="AE64" s="7"/>
      <c r="AF64" s="14"/>
      <c r="AG64" s="74">
        <f>(INDEX('Race 25'!$E$8:$E$200,(MATCH($B64,'Race 25'!$B$8:$B$200,0)),1))*100</f>
        <v>44.526993018495496</v>
      </c>
      <c r="AH64" s="7"/>
      <c r="AI64" s="7"/>
      <c r="AJ64" s="7"/>
      <c r="AK64" s="7"/>
      <c r="AL64" s="74">
        <f>(INDEX('Race 30'!$E$8:$E$200,(MATCH($B64,'Race 30'!$B$8:$B$200,0)),1))*100</f>
        <v>44.134364248541672</v>
      </c>
      <c r="AM64" s="7"/>
      <c r="AN64" s="7"/>
      <c r="AO64" s="74"/>
      <c r="AP64" s="7"/>
      <c r="AQ64" s="74"/>
      <c r="AR64" s="70"/>
      <c r="AS64" s="7"/>
      <c r="AT64" s="70"/>
      <c r="AU64" s="7"/>
      <c r="AV64" s="70"/>
      <c r="AW64" s="7"/>
      <c r="AX64" s="206"/>
      <c r="AY64" s="207"/>
      <c r="AZ64" s="14"/>
      <c r="BA64" s="14"/>
      <c r="BB64" s="14"/>
      <c r="BC64" s="70"/>
      <c r="BD64" s="7"/>
      <c r="BE64" s="7"/>
      <c r="BF64" s="14"/>
      <c r="BG64" s="14"/>
      <c r="BH64" s="14"/>
      <c r="BI64" s="70"/>
      <c r="BJ64" s="14"/>
      <c r="BK64" s="70"/>
      <c r="BL64" s="14"/>
      <c r="BM64" s="7"/>
      <c r="BN64" s="101"/>
      <c r="BO64" s="14"/>
      <c r="BP64" s="7"/>
      <c r="BQ64" s="7"/>
      <c r="BR64" s="7"/>
      <c r="BS64" s="7">
        <f>(INDEX('Race 63'!$E$8:$E$200,(MATCH($B64,'Race 63'!$B$8:$B$200,0)),1))*100</f>
        <v>53.401247937847749</v>
      </c>
      <c r="BT64" s="7">
        <f>(INDEX('Race 64'!$E$8:$E$200,(MATCH($B64,'Race 64'!$B$8:$B$200,0)),1))*100</f>
        <v>52.614126943334014</v>
      </c>
      <c r="BU64" s="7"/>
      <c r="BV64" s="7"/>
      <c r="BW64" s="7"/>
      <c r="BX64" s="7"/>
      <c r="BY64" s="7"/>
      <c r="BZ64" s="7"/>
      <c r="CA64" s="7"/>
      <c r="CB64" s="7"/>
      <c r="CC64" s="14"/>
      <c r="CD64" s="7"/>
      <c r="CE64" s="7">
        <f>(INDEX('Race 75'!$E$8:$E$200,(MATCH($B64,'Race 75'!$B$8:$B$200,0)),1))*100</f>
        <v>54.348931687119752</v>
      </c>
      <c r="CF64" s="14">
        <f>(INDEX('Race 76'!$E$8:$E$200,(MATCH($B64,'Race 76'!$B$8:$B$200,0)),1))*100</f>
        <v>52.642104458533865</v>
      </c>
      <c r="CG64" s="7"/>
      <c r="CH64" s="7"/>
      <c r="CI64" s="7"/>
      <c r="CJ64" s="7"/>
      <c r="CK64" s="74"/>
      <c r="CL64" s="74"/>
      <c r="CM64" s="74"/>
      <c r="CN64" s="74"/>
      <c r="CO64" s="70"/>
      <c r="CP64" s="74"/>
      <c r="CQ64" s="70"/>
      <c r="CR64" s="74"/>
      <c r="CS64" s="74"/>
      <c r="CT64" s="74"/>
      <c r="CU64" s="74"/>
      <c r="CV64" s="7"/>
      <c r="CW64" s="14"/>
      <c r="CX64" s="7"/>
      <c r="CY64" s="7"/>
      <c r="CZ64" s="7"/>
      <c r="DA64" s="14"/>
      <c r="DB64" s="14"/>
      <c r="DC64" s="14"/>
      <c r="DD64" s="14"/>
      <c r="DE64" s="74"/>
      <c r="DF64" s="74"/>
      <c r="DG64" s="74"/>
      <c r="DH64" s="7"/>
      <c r="DI64" s="74"/>
      <c r="DJ64" s="14"/>
      <c r="DK64" s="7"/>
      <c r="DL64" s="7"/>
      <c r="DM64" s="14"/>
      <c r="DN64" s="14"/>
      <c r="DO64" s="14"/>
      <c r="DP64" s="14"/>
      <c r="DQ64" s="14"/>
      <c r="DR64" s="7"/>
      <c r="DS64" s="7"/>
      <c r="DT64" s="14"/>
      <c r="DU64" s="14"/>
      <c r="DV64" s="7"/>
      <c r="DW64" s="14"/>
      <c r="DX64" s="14"/>
      <c r="DY64" s="14"/>
      <c r="DZ64" s="8">
        <f t="shared" si="15"/>
        <v>50.277961382312093</v>
      </c>
      <c r="EA64" s="3" t="str">
        <f t="shared" si="16"/>
        <v>BULLOCK, Bailey</v>
      </c>
      <c r="EB64" s="2">
        <f t="shared" si="17"/>
        <v>1</v>
      </c>
      <c r="EC64" s="112">
        <f t="shared" si="18"/>
        <v>37.334250691874701</v>
      </c>
      <c r="ED64" s="29">
        <f t="shared" si="19"/>
        <v>50.675600953429921</v>
      </c>
      <c r="EE64" s="2">
        <f t="shared" si="20"/>
        <v>1</v>
      </c>
      <c r="EF64" s="46">
        <f t="shared" si="21"/>
        <v>2</v>
      </c>
      <c r="EG64" s="46">
        <f t="shared" si="22"/>
        <v>6</v>
      </c>
      <c r="EH64" s="29" t="str">
        <f t="shared" si="23"/>
        <v>CO</v>
      </c>
      <c r="EI64" s="29">
        <f>IF(COUNT(I64:Y64)&lt;5,DZ64,SUMPRODUCT(LARGE(I64:Y64,{1,2,3,4,5}))/5)</f>
        <v>50.277961382312093</v>
      </c>
      <c r="EJ64" s="29">
        <f>IF(COUNT(I64:AX64)&lt;5,DZ64,SUMPRODUCT(LARGE(I64:AX64,{1,2,3,4,5}))/5)</f>
        <v>50.277961382312093</v>
      </c>
      <c r="EK64" s="29">
        <f>IF(COUNT(I64:DY64)&lt;5,AVERAGE(I64:DY64),SUMPRODUCT(LARGE(I64:DY64,{1,2,3,4,5}))/5)</f>
        <v>51.506680809066175</v>
      </c>
      <c r="EL64" s="29">
        <f t="shared" si="24"/>
        <v>50.675600953429921</v>
      </c>
      <c r="EM64" s="116" t="str">
        <f t="shared" si="25"/>
        <v>BULLOCK, Bailey</v>
      </c>
      <c r="EQ64"/>
    </row>
    <row r="65" spans="1:147" x14ac:dyDescent="0.25">
      <c r="A65" s="59">
        <f t="shared" si="11"/>
        <v>62</v>
      </c>
      <c r="B65" s="32" t="s">
        <v>1155</v>
      </c>
      <c r="C65" s="5" t="s">
        <v>6</v>
      </c>
      <c r="D65" s="6" t="s">
        <v>62</v>
      </c>
      <c r="E65" s="6">
        <v>0</v>
      </c>
      <c r="F65" s="6">
        <v>47.922623726312565</v>
      </c>
      <c r="G65" s="5">
        <f t="shared" si="14"/>
        <v>2</v>
      </c>
      <c r="H65" s="8">
        <v>0</v>
      </c>
      <c r="I65" s="36"/>
      <c r="J65" s="7"/>
      <c r="K65" s="14"/>
      <c r="L65" s="7"/>
      <c r="M65" s="14"/>
      <c r="N65" s="7"/>
      <c r="O65" s="7"/>
      <c r="P65" s="14"/>
      <c r="Q65" s="14"/>
      <c r="R65" s="14"/>
      <c r="S65" s="14"/>
      <c r="T65" s="7"/>
      <c r="U65" s="7"/>
      <c r="V65" s="14"/>
      <c r="W65" s="7"/>
      <c r="X65" s="14"/>
      <c r="Y65" s="227"/>
      <c r="Z65" s="228"/>
      <c r="AA65" s="7"/>
      <c r="AB65" s="7"/>
      <c r="AC65" s="7"/>
      <c r="AD65" s="7"/>
      <c r="AE65" s="7"/>
      <c r="AF65" s="14"/>
      <c r="AG65" s="7"/>
      <c r="AH65" s="7"/>
      <c r="AI65" s="7"/>
      <c r="AJ65" s="7"/>
      <c r="AK65" s="7"/>
      <c r="AL65" s="7"/>
      <c r="AM65" s="7"/>
      <c r="AN65" s="7"/>
      <c r="AO65" s="74"/>
      <c r="AP65" s="7"/>
      <c r="AQ65" s="74"/>
      <c r="AR65" s="70"/>
      <c r="AS65" s="7"/>
      <c r="AT65" s="70"/>
      <c r="AU65" s="7"/>
      <c r="AV65" s="70"/>
      <c r="AW65" s="7">
        <f>(INDEX('Race 41'!$E$8:$E$200,(MATCH($B65,'Race 41'!$B$8:$B$200,0)),1))*100</f>
        <v>46.369172871672347</v>
      </c>
      <c r="AX65" s="185">
        <f>(INDEX('Race 42'!$E$8:$E$200,(MATCH($B65,'Race 42'!$B$8:$B$200,0)),1))*100</f>
        <v>49.476074580952783</v>
      </c>
      <c r="AY65" s="208"/>
      <c r="AZ65" s="14"/>
      <c r="BA65" s="14"/>
      <c r="BB65" s="14"/>
      <c r="BC65" s="7"/>
      <c r="BD65" s="7"/>
      <c r="BE65" s="7"/>
      <c r="BF65" s="14"/>
      <c r="BG65" s="14"/>
      <c r="BH65" s="14"/>
      <c r="BI65" s="14"/>
      <c r="BJ65" s="14"/>
      <c r="BK65" s="7"/>
      <c r="BL65" s="14"/>
      <c r="BM65" s="7"/>
      <c r="BN65" s="103"/>
      <c r="BO65" s="14"/>
      <c r="BP65" s="7"/>
      <c r="BQ65" s="7"/>
      <c r="BR65" s="7"/>
      <c r="BS65" s="7"/>
      <c r="BT65" s="7"/>
      <c r="BU65" s="7"/>
      <c r="BV65" s="7"/>
      <c r="BW65" s="7"/>
      <c r="BX65" s="7"/>
      <c r="BY65" s="14"/>
      <c r="BZ65" s="74"/>
      <c r="CA65" s="7"/>
      <c r="CB65" s="7"/>
      <c r="CC65" s="14"/>
      <c r="CD65" s="7"/>
      <c r="CE65" s="7"/>
      <c r="CF65" s="14"/>
      <c r="CG65" s="7"/>
      <c r="CH65" s="70"/>
      <c r="CI65" s="7"/>
      <c r="CJ65" s="7"/>
      <c r="CK65" s="101"/>
      <c r="CL65" s="74"/>
      <c r="CM65" s="74"/>
      <c r="CN65" s="74"/>
      <c r="CO65" s="70"/>
      <c r="CP65" s="74"/>
      <c r="CQ65" s="7"/>
      <c r="CR65" s="74"/>
      <c r="CS65" s="74"/>
      <c r="CT65" s="74"/>
      <c r="CU65" s="74"/>
      <c r="CV65" s="7"/>
      <c r="CW65" s="14"/>
      <c r="CX65" s="7"/>
      <c r="CY65" s="7"/>
      <c r="CZ65" s="7"/>
      <c r="DA65" s="14"/>
      <c r="DB65" s="14"/>
      <c r="DC65" s="14"/>
      <c r="DD65" s="14"/>
      <c r="DE65" s="74"/>
      <c r="DF65" s="74"/>
      <c r="DG65" s="74"/>
      <c r="DH65" s="74"/>
      <c r="DI65" s="74"/>
      <c r="DJ65" s="7"/>
      <c r="DK65" s="7"/>
      <c r="DL65" s="7"/>
      <c r="DM65" s="14"/>
      <c r="DN65" s="14"/>
      <c r="DO65" s="14"/>
      <c r="DP65" s="14"/>
      <c r="DQ65" s="14"/>
      <c r="DR65" s="7"/>
      <c r="DS65" s="7"/>
      <c r="DT65" s="14"/>
      <c r="DU65" s="7"/>
      <c r="DV65" s="14"/>
      <c r="DW65" s="14"/>
      <c r="DX65" s="14"/>
      <c r="DY65" s="7"/>
      <c r="DZ65" s="8">
        <f t="shared" si="15"/>
        <v>47.922623726312565</v>
      </c>
      <c r="EA65" s="3" t="str">
        <f t="shared" si="16"/>
        <v>Bullock,Bailey</v>
      </c>
      <c r="EB65" s="2">
        <f t="shared" si="17"/>
        <v>1</v>
      </c>
      <c r="EC65" s="112">
        <f t="shared" si="18"/>
        <v>0</v>
      </c>
      <c r="ED65" s="29">
        <f t="shared" si="19"/>
        <v>47.149373992830149</v>
      </c>
      <c r="EE65" s="2">
        <f t="shared" si="20"/>
        <v>0</v>
      </c>
      <c r="EF65" s="46">
        <f t="shared" si="21"/>
        <v>2</v>
      </c>
      <c r="EG65" s="46">
        <f t="shared" si="22"/>
        <v>2</v>
      </c>
      <c r="EH65" s="2" t="str">
        <f t="shared" si="23"/>
        <v>CO</v>
      </c>
      <c r="EI65" s="29">
        <f>IF(COUNT(I65:AD65)&lt;5,DZ65,SUMPRODUCT(LARGE(I65:AD65,{1,2,3,4,5}))/5)</f>
        <v>47.922623726312565</v>
      </c>
      <c r="EJ65" s="29">
        <f>IF(COUNT(I65:AX65)&lt;5,DZ65,SUMPRODUCT(LARGE(I65:AX65,{1,2,3,4,5}))/5)</f>
        <v>47.922623726312565</v>
      </c>
      <c r="EK65" s="112">
        <f>IF(COUNT(I65:DY65)&lt;5,AVERAGE(I65:DY65),SUMPRODUCT(LARGE(I65:DY65,{1,2,3,4,5}))/5)</f>
        <v>47.922623726312565</v>
      </c>
      <c r="EL65" s="29">
        <f t="shared" si="24"/>
        <v>47.149373992830149</v>
      </c>
      <c r="EM65" s="116" t="str">
        <f t="shared" si="25"/>
        <v>Bullock,Bailey</v>
      </c>
      <c r="EQ65"/>
    </row>
    <row r="66" spans="1:147" x14ac:dyDescent="0.25">
      <c r="A66" s="59">
        <f t="shared" si="11"/>
        <v>63</v>
      </c>
      <c r="B66" s="4" t="s">
        <v>7</v>
      </c>
      <c r="C66" s="5" t="s">
        <v>6</v>
      </c>
      <c r="D66" s="5" t="s">
        <v>57</v>
      </c>
      <c r="E66" s="6">
        <v>97.656939962494079</v>
      </c>
      <c r="F66" s="6">
        <v>99.815882011789284</v>
      </c>
      <c r="G66" s="5">
        <f t="shared" si="14"/>
        <v>19</v>
      </c>
      <c r="H66" s="8">
        <v>95.350976065584277</v>
      </c>
      <c r="I66" s="107"/>
      <c r="J66" s="7">
        <f>(INDEX('Race 2'!$E$8:$E$200,(MATCH($B66,'Race 2'!$B$8:$B$200,0)),1))*100</f>
        <v>98.431292085354826</v>
      </c>
      <c r="K66" s="14">
        <f>(INDEX('Race 3'!$E$8:$E$200,(MATCH($B66,'Race 3'!$B$8:$B$200,0)),1))*100</f>
        <v>96.873173013319132</v>
      </c>
      <c r="L66" s="7">
        <f>(INDEX('Race 4'!$E$8:$E$200,(MATCH($B66,'Race 4'!$B$8:$B$200,0)),1))*100</f>
        <v>94.522431247331426</v>
      </c>
      <c r="M66" s="14">
        <f>(INDEX('Race 5'!$E$8:$E$200,(MATCH($B66,'Race 5'!$B$8:$B$200,0)),1))*100</f>
        <v>96.834410669717769</v>
      </c>
      <c r="N66" s="7"/>
      <c r="O66" s="7"/>
      <c r="P66" s="14">
        <f>(INDEX('Race 8'!$E$8:$E$200,(MATCH($B66,'Race 8'!$B$8:$B$200,0)),1))*100</f>
        <v>99.113156691904251</v>
      </c>
      <c r="Q66" s="14"/>
      <c r="R66" s="14"/>
      <c r="S66" s="14"/>
      <c r="T66" s="7"/>
      <c r="U66" s="7">
        <f>(INDEX('Race 13'!$E$8:$E$200,(MATCH($B66,'Race 13'!$B$8:$B$200,0)),1))*100</f>
        <v>97.032667352174414</v>
      </c>
      <c r="V66" s="14"/>
      <c r="W66" s="7"/>
      <c r="X66" s="14"/>
      <c r="Y66" s="227"/>
      <c r="Z66" s="228">
        <f>(INDEX('Race 18'!$E$8:$E$200,(MATCH($B66,'Race 18'!$B$8:$B$200,0)),1))*100</f>
        <v>103.88458794075216</v>
      </c>
      <c r="AA66" s="74"/>
      <c r="AB66" s="74"/>
      <c r="AC66" s="74"/>
      <c r="AD66" s="74"/>
      <c r="AE66" s="7"/>
      <c r="AF66" s="103">
        <f>(INDEX('Race 23'!$E$8:$E$200,(MATCH($B66,'Race 23'!$B$8:$B$200,0)),1))*100</f>
        <v>98.211807117671341</v>
      </c>
      <c r="AG66" s="7"/>
      <c r="AH66" s="74">
        <f>(INDEX('Race 26'!$E$8:$E$200,(MATCH($B66,'Race 26'!$B$8:$B$200,0)),1))*100</f>
        <v>97.91214632903214</v>
      </c>
      <c r="AI66" s="74">
        <f>(INDEX('Race 27'!$E$8:$E$200,(MATCH($B66,'Race 27'!$B$8:$B$200,0)),1))*100</f>
        <v>99.438566223263805</v>
      </c>
      <c r="AJ66" s="7"/>
      <c r="AK66" s="7"/>
      <c r="AL66" s="7"/>
      <c r="AM66" s="7"/>
      <c r="AN66" s="7"/>
      <c r="AO66" s="7"/>
      <c r="AP66" s="7"/>
      <c r="AQ66" s="7"/>
      <c r="AR66" s="101"/>
      <c r="AS66" s="7"/>
      <c r="AT66" s="101"/>
      <c r="AU66" s="7"/>
      <c r="AV66" s="101"/>
      <c r="AW66" s="7"/>
      <c r="AX66" s="233"/>
      <c r="AY66" s="208"/>
      <c r="AZ66" s="7"/>
      <c r="BA66" s="103"/>
      <c r="BB66" s="103"/>
      <c r="BC66" s="74">
        <f>(INDEX('Race 47'!$E$8:$E$200,(MATCH($B66,'Race 47'!$B$8:$B$200,0)),1))*100</f>
        <v>98.810621228146928</v>
      </c>
      <c r="BD66" s="7"/>
      <c r="BE66" s="7"/>
      <c r="BF66" s="103">
        <f>(INDEX('Race 50'!$E$8:$E$200,(MATCH($B66,'Race 50'!$B$8:$B$200,0)),1))*100</f>
        <v>103.5595637007136</v>
      </c>
      <c r="BG66" s="14"/>
      <c r="BH66" s="103"/>
      <c r="BI66" s="103">
        <f>(INDEX('Race 53'!$E$8:$E$200,(MATCH($B66,'Race 53'!$B$8:$B$200,0)),1))*100</f>
        <v>100.30377829160967</v>
      </c>
      <c r="BJ66" s="103"/>
      <c r="BK66" s="7"/>
      <c r="BL66" s="103"/>
      <c r="BM66" s="7"/>
      <c r="BN66" s="14"/>
      <c r="BO66" s="103"/>
      <c r="BP66" s="7"/>
      <c r="BQ66" s="7"/>
      <c r="BR66" s="7"/>
      <c r="BS66" s="7"/>
      <c r="BT66" s="7"/>
      <c r="BU66" s="7"/>
      <c r="BV66" s="74"/>
      <c r="BW66" s="74"/>
      <c r="BX66" s="74"/>
      <c r="BY66" s="74"/>
      <c r="BZ66" s="74"/>
      <c r="CA66" s="7"/>
      <c r="CB66" s="74"/>
      <c r="CC66" s="103"/>
      <c r="CD66" s="74"/>
      <c r="CE66" s="7"/>
      <c r="CF66" s="7"/>
      <c r="CG66" s="7">
        <f>(INDEX('Race 77'!$E$8:$E$200,(MATCH($B66,'Race 77'!$B$8:$B$200,0)),1))*100</f>
        <v>96.893592489177564</v>
      </c>
      <c r="CH66" s="7"/>
      <c r="CI66" s="14">
        <f>(INDEX('Race 79'!$E$8:$E$200,(MATCH($B66,'Race 79'!$B$8:$B$200,0)),1))*100</f>
        <v>96.65510929693329</v>
      </c>
      <c r="CJ66" s="14">
        <f>(INDEX('Race 80'!$E$8:$E$200,(MATCH($B66,'Race 80'!$B$8:$B$200,0)),1))*100</f>
        <v>94.782053359957658</v>
      </c>
      <c r="CK66" s="101"/>
      <c r="CL66" s="74"/>
      <c r="CM66" s="74"/>
      <c r="CN66" s="7">
        <f>(INDEX('Race 84'!$E$8:$E$200,(MATCH($B66,'Race 84'!$B$8:$B$200,0)),1))*100</f>
        <v>100.07776659840412</v>
      </c>
      <c r="CO66" s="101"/>
      <c r="CP66" s="74">
        <f>(INDEX('Race 86'!$E$8:$E$200,(MATCH($B66,'Race 86'!$B$8:$B$200,0)),1))*100</f>
        <v>99.932771784456591</v>
      </c>
      <c r="CQ66" s="7"/>
      <c r="CR66" s="74"/>
      <c r="CS66" s="74"/>
      <c r="CT66" s="74"/>
      <c r="CU66" s="74"/>
      <c r="CV66" s="74">
        <f>(INDEX('Race 92'!$E$8:$E$200,(MATCH($B66,'Race 92'!$B$8:$B$200,0)),1))*100</f>
        <v>99.535190236258259</v>
      </c>
      <c r="CW66" s="103"/>
      <c r="CX66" s="7"/>
      <c r="CY66" s="7"/>
      <c r="CZ66" s="74"/>
      <c r="DA66" s="103"/>
      <c r="DB66" s="103"/>
      <c r="DC66" s="103"/>
      <c r="DD66" s="103"/>
      <c r="DE66" s="74"/>
      <c r="DF66" s="74"/>
      <c r="DG66" s="74"/>
      <c r="DH66" s="74"/>
      <c r="DI66" s="74"/>
      <c r="DJ66" s="74"/>
      <c r="DK66" s="74"/>
      <c r="DL66" s="7"/>
      <c r="DM66" s="103"/>
      <c r="DN66" s="103"/>
      <c r="DO66" s="103"/>
      <c r="DP66" s="103"/>
      <c r="DQ66" s="103"/>
      <c r="DR66" s="7"/>
      <c r="DS66" s="7"/>
      <c r="DT66" s="103"/>
      <c r="DU66" s="74"/>
      <c r="DV66" s="103"/>
      <c r="DW66" s="103"/>
      <c r="DX66" s="103"/>
      <c r="DY66" s="74"/>
      <c r="DZ66" s="8">
        <f t="shared" si="15"/>
        <v>98.568667666114692</v>
      </c>
      <c r="EA66" s="3" t="str">
        <f t="shared" si="16"/>
        <v>Burke, Tim</v>
      </c>
      <c r="EB66" s="2">
        <f t="shared" si="17"/>
        <v>1</v>
      </c>
      <c r="EC66" s="112">
        <f>H66</f>
        <v>95.350976065584277</v>
      </c>
      <c r="ED66" s="29">
        <f t="shared" si="19"/>
        <v>99.913118519467943</v>
      </c>
      <c r="EE66" s="2">
        <f t="shared" si="20"/>
        <v>9</v>
      </c>
      <c r="EF66" s="46">
        <f t="shared" si="21"/>
        <v>13</v>
      </c>
      <c r="EG66" s="46">
        <f t="shared" si="22"/>
        <v>19</v>
      </c>
      <c r="EH66" s="2" t="str">
        <f t="shared" si="23"/>
        <v>NY</v>
      </c>
      <c r="EI66" s="29">
        <f>IF(COUNT(I66:Y66)&lt;5,DZ66,SUMPRODUCT(LARGE(I66:Y66,{1,2,3,4,5}))/5)</f>
        <v>97.656939962494079</v>
      </c>
      <c r="EJ66" s="29">
        <f>IF(COUNT(I66:AX66)&lt;5,DZ66,SUMPRODUCT(LARGE(I66:AX66,{1,2,3,4,5}))/5)</f>
        <v>99.815882011789284</v>
      </c>
      <c r="EK66" s="29">
        <f>IF(COUNT(I66:DY66)&lt;5,AVERAGE(I66:DY66),SUMPRODUCT(LARGE(I66:DY66,{1,2,3,4,5}))/5)</f>
        <v>101.55169366318722</v>
      </c>
      <c r="EL66" s="29">
        <f t="shared" si="24"/>
        <v>99.913118519467943</v>
      </c>
      <c r="EM66" s="116" t="str">
        <f t="shared" si="25"/>
        <v>Burke, Tim</v>
      </c>
      <c r="EQ66"/>
    </row>
    <row r="67" spans="1:147" x14ac:dyDescent="0.25">
      <c r="A67" s="59">
        <f t="shared" si="11"/>
        <v>64</v>
      </c>
      <c r="B67" s="32" t="s">
        <v>839</v>
      </c>
      <c r="C67" s="5" t="s">
        <v>16</v>
      </c>
      <c r="D67" s="6" t="s">
        <v>87</v>
      </c>
      <c r="E67" s="6">
        <v>66.795927850866093</v>
      </c>
      <c r="F67" s="6">
        <v>66.795927850866093</v>
      </c>
      <c r="G67" s="5">
        <f t="shared" si="14"/>
        <v>7</v>
      </c>
      <c r="H67" s="8">
        <v>66.795927850866093</v>
      </c>
      <c r="I67" s="36"/>
      <c r="J67" s="7"/>
      <c r="K67" s="7"/>
      <c r="L67" s="7"/>
      <c r="M67" s="7"/>
      <c r="N67" s="7"/>
      <c r="O67" s="7"/>
      <c r="P67" s="14"/>
      <c r="Q67" s="7"/>
      <c r="R67" s="14"/>
      <c r="S67" s="7"/>
      <c r="T67" s="7"/>
      <c r="U67" s="7"/>
      <c r="V67" s="7"/>
      <c r="W67" s="7"/>
      <c r="X67" s="14">
        <f>(INDEX('Race 16'!$E$8:$E$200,(MATCH($B67,'Race 16'!$B$8:$B$200,0)),1))*100</f>
        <v>79.357974719949283</v>
      </c>
      <c r="Y67" s="227">
        <f>(INDEX('Race 17'!$E$8:$E$200,(MATCH($B67,'Race 17'!$B$8:$B$200,0)),1))*100</f>
        <v>75.299873758683333</v>
      </c>
      <c r="Z67" s="228"/>
      <c r="AA67" s="7"/>
      <c r="AB67" s="7"/>
      <c r="AC67" s="7"/>
      <c r="AD67" s="14"/>
      <c r="AE67" s="7"/>
      <c r="AF67" s="14"/>
      <c r="AG67" s="7"/>
      <c r="AH67" s="7"/>
      <c r="AI67" s="7"/>
      <c r="AJ67" s="7"/>
      <c r="AK67" s="7"/>
      <c r="AL67" s="7"/>
      <c r="AM67" s="7"/>
      <c r="AN67" s="7"/>
      <c r="AO67" s="74"/>
      <c r="AP67" s="7"/>
      <c r="AQ67" s="74"/>
      <c r="AR67" s="70"/>
      <c r="AS67" s="7"/>
      <c r="AT67" s="70"/>
      <c r="AU67" s="7"/>
      <c r="AV67" s="70"/>
      <c r="AW67" s="7"/>
      <c r="AX67" s="184"/>
      <c r="AY67" s="207"/>
      <c r="AZ67" s="14"/>
      <c r="BA67" s="14"/>
      <c r="BB67" s="14"/>
      <c r="BC67" s="7"/>
      <c r="BD67" s="7"/>
      <c r="BE67" s="7"/>
      <c r="BF67" s="14"/>
      <c r="BG67" s="14"/>
      <c r="BH67" s="14"/>
      <c r="BI67" s="14"/>
      <c r="BJ67" s="14"/>
      <c r="BK67" s="7"/>
      <c r="BL67" s="7"/>
      <c r="BM67" s="7"/>
      <c r="BN67" s="103"/>
      <c r="BO67" s="14"/>
      <c r="BP67" s="7"/>
      <c r="BQ67" s="7"/>
      <c r="BR67" s="7"/>
      <c r="BS67" s="7"/>
      <c r="BT67" s="7"/>
      <c r="BU67" s="7"/>
      <c r="BV67" s="7"/>
      <c r="BW67" s="7"/>
      <c r="BX67" s="7"/>
      <c r="BY67" s="14"/>
      <c r="BZ67" s="14"/>
      <c r="CA67" s="7"/>
      <c r="CB67" s="7"/>
      <c r="CC67" s="14"/>
      <c r="CD67" s="7"/>
      <c r="CE67" s="74"/>
      <c r="CF67" s="103"/>
      <c r="CG67" s="14"/>
      <c r="CH67" s="7"/>
      <c r="CI67" s="14"/>
      <c r="CJ67" s="14"/>
      <c r="CK67" s="101"/>
      <c r="CL67" s="74"/>
      <c r="CM67" s="74"/>
      <c r="CN67" s="74"/>
      <c r="CO67" s="70">
        <f>(INDEX('Race 85'!$E$8:$E$200,(MATCH($B67,'Race 85'!$B$8:$B$200,0)),1))*100</f>
        <v>84.828067542825366</v>
      </c>
      <c r="CP67" s="74"/>
      <c r="CQ67" s="7">
        <f>(INDEX('Race 87'!$E$8:$E$200,(MATCH($B67,'Race 87'!$B$8:$B$200,0)),1))*100</f>
        <v>85.834155635178945</v>
      </c>
      <c r="CR67" s="74">
        <f>(INDEX('Race 88'!$E$8:$E$200,(MATCH($B67,'Race 88'!$B$8:$B$200,0)),1))*100</f>
        <v>81.996137608255182</v>
      </c>
      <c r="CS67" s="74">
        <f>(INDEX('Race 89'!$E$8:$E$200,(MATCH($B67,'Race 89'!$B$8:$B$200,0)),1))*100</f>
        <v>84.089500313940249</v>
      </c>
      <c r="CT67" s="74"/>
      <c r="CU67" s="74"/>
      <c r="CV67" s="7"/>
      <c r="CW67" s="14">
        <f>(INDEX('Race 93'!$E$8:$E$200,(MATCH($B67,'Race 93'!$B$8:$B$200,0)),1))*100</f>
        <v>86.943818453694377</v>
      </c>
      <c r="CX67" s="7"/>
      <c r="CY67" s="7"/>
      <c r="CZ67" s="7"/>
      <c r="DA67" s="14"/>
      <c r="DB67" s="7"/>
      <c r="DC67" s="14"/>
      <c r="DD67" s="7"/>
      <c r="DE67" s="74"/>
      <c r="DF67" s="7"/>
      <c r="DG67" s="7"/>
      <c r="DH67" s="7"/>
      <c r="DI67" s="7"/>
      <c r="DJ67" s="14"/>
      <c r="DK67" s="7"/>
      <c r="DL67" s="7"/>
      <c r="DM67" s="7"/>
      <c r="DN67" s="14"/>
      <c r="DO67" s="7"/>
      <c r="DP67" s="14"/>
      <c r="DQ67" s="14"/>
      <c r="DR67" s="7"/>
      <c r="DS67" s="7"/>
      <c r="DT67" s="14"/>
      <c r="DU67" s="14"/>
      <c r="DV67" s="14"/>
      <c r="DW67" s="14"/>
      <c r="DX67" s="14"/>
      <c r="DY67" s="14"/>
      <c r="DZ67" s="8">
        <f t="shared" si="15"/>
        <v>82.621361147503805</v>
      </c>
      <c r="EA67" s="3" t="str">
        <f t="shared" si="16"/>
        <v>Burkhart, Nikolas</v>
      </c>
      <c r="EB67" s="2">
        <f t="shared" si="17"/>
        <v>1</v>
      </c>
      <c r="EC67" s="112">
        <f>H67</f>
        <v>66.795927850866093</v>
      </c>
      <c r="ED67" s="29">
        <f t="shared" si="19"/>
        <v>83.371050679632845</v>
      </c>
      <c r="EE67" s="2">
        <f t="shared" si="20"/>
        <v>2</v>
      </c>
      <c r="EF67" s="46">
        <f t="shared" si="21"/>
        <v>2</v>
      </c>
      <c r="EG67" s="46">
        <f t="shared" si="22"/>
        <v>7</v>
      </c>
      <c r="EH67" s="29" t="str">
        <f t="shared" si="23"/>
        <v>CA</v>
      </c>
      <c r="EI67" s="29">
        <f>IF(COUNT(I67:Y67)&lt;5,DZ67,SUMPRODUCT(LARGE(I67:Y67,{1,2,3,4,5}))/5)</f>
        <v>82.621361147503805</v>
      </c>
      <c r="EJ67" s="29">
        <f>IF(COUNT(I67:AX67)&lt;5,DZ67,SUMPRODUCT(LARGE(I67:AX67,{1,2,3,4,5}))/5)</f>
        <v>82.621361147503805</v>
      </c>
      <c r="EK67" s="29">
        <f>IF(COUNT(I67:DY67)&lt;5,AVERAGE(I67:DY67),SUMPRODUCT(LARGE(I67:DY67,{1,2,3,4,5}))/5)</f>
        <v>84.738335910778829</v>
      </c>
      <c r="EL67" s="29">
        <f t="shared" si="24"/>
        <v>83.371050679632845</v>
      </c>
      <c r="EM67" s="116" t="str">
        <f t="shared" si="25"/>
        <v>Burkhart, Nikolas</v>
      </c>
      <c r="EQ67"/>
    </row>
    <row r="68" spans="1:147" x14ac:dyDescent="0.25">
      <c r="A68" s="59">
        <f t="shared" si="11"/>
        <v>65</v>
      </c>
      <c r="B68" s="32" t="s">
        <v>887</v>
      </c>
      <c r="C68" s="5" t="s">
        <v>6</v>
      </c>
      <c r="D68" s="6" t="s">
        <v>159</v>
      </c>
      <c r="E68" s="6">
        <v>43.084608238540156</v>
      </c>
      <c r="F68" s="6">
        <v>42.027640937961806</v>
      </c>
      <c r="G68" s="5">
        <f t="shared" si="14"/>
        <v>3</v>
      </c>
      <c r="H68" s="8">
        <v>43.084608238540156</v>
      </c>
      <c r="I68" s="36"/>
      <c r="J68" s="7"/>
      <c r="K68" s="14"/>
      <c r="L68" s="7"/>
      <c r="M68" s="14"/>
      <c r="N68" s="7"/>
      <c r="O68" s="7"/>
      <c r="P68" s="14"/>
      <c r="Q68" s="14"/>
      <c r="R68" s="14"/>
      <c r="S68" s="14"/>
      <c r="T68" s="7"/>
      <c r="U68" s="7"/>
      <c r="V68" s="14"/>
      <c r="W68" s="7"/>
      <c r="X68" s="14"/>
      <c r="Y68" s="227"/>
      <c r="Z68" s="228"/>
      <c r="AA68" s="7"/>
      <c r="AB68" s="7"/>
      <c r="AC68" s="7"/>
      <c r="AD68" s="7"/>
      <c r="AE68" s="7"/>
      <c r="AF68" s="14"/>
      <c r="AG68" s="7"/>
      <c r="AH68" s="7"/>
      <c r="AI68" s="7"/>
      <c r="AJ68" s="7"/>
      <c r="AK68" s="7"/>
      <c r="AL68" s="7"/>
      <c r="AM68" s="7"/>
      <c r="AN68" s="7"/>
      <c r="AO68" s="74"/>
      <c r="AP68" s="7"/>
      <c r="AQ68" s="74"/>
      <c r="AR68" s="70"/>
      <c r="AS68" s="7"/>
      <c r="AT68" s="7"/>
      <c r="AU68" s="7"/>
      <c r="AV68" s="7"/>
      <c r="AW68" s="7">
        <f>(INDEX('Race 41'!$E$8:$E$200,(MATCH($B68,'Race 41'!$B$8:$B$200,0)),1))*100</f>
        <v>38.423786633361232</v>
      </c>
      <c r="AX68" s="184">
        <f>(INDEX('Race 42'!$E$8:$E$200,(MATCH($B68,'Race 42'!$B$8:$B$200,0)),1))*100</f>
        <v>45.631495242562373</v>
      </c>
      <c r="AY68" s="207"/>
      <c r="AZ68" s="7"/>
      <c r="BA68" s="14"/>
      <c r="BB68" s="14"/>
      <c r="BC68" s="7"/>
      <c r="BD68" s="7"/>
      <c r="BE68" s="7"/>
      <c r="BF68" s="14"/>
      <c r="BG68" s="14"/>
      <c r="BH68" s="14"/>
      <c r="BI68" s="14"/>
      <c r="BJ68" s="14"/>
      <c r="BK68" s="7"/>
      <c r="BL68" s="14"/>
      <c r="BM68" s="7"/>
      <c r="BN68" s="74"/>
      <c r="BO68" s="14"/>
      <c r="BP68" s="7"/>
      <c r="BQ68" s="7"/>
      <c r="BR68" s="7"/>
      <c r="BS68" s="7"/>
      <c r="BT68" s="7"/>
      <c r="BU68" s="7"/>
      <c r="BV68" s="7"/>
      <c r="BW68" s="7"/>
      <c r="BX68" s="7"/>
      <c r="BY68" s="14"/>
      <c r="BZ68" s="14"/>
      <c r="CA68" s="7"/>
      <c r="CB68" s="7"/>
      <c r="CC68" s="14"/>
      <c r="CD68" s="7"/>
      <c r="CE68" s="7">
        <f>(INDEX('Race 75'!$E$8:$E$200,(MATCH($B68,'Race 75'!$B$8:$B$200,0)),1))*100</f>
        <v>42.254523239054933</v>
      </c>
      <c r="CF68" s="14"/>
      <c r="CG68" s="14"/>
      <c r="CH68" s="7"/>
      <c r="CI68" s="70"/>
      <c r="CJ68" s="70"/>
      <c r="CK68" s="101"/>
      <c r="CL68" s="74"/>
      <c r="CM68" s="74"/>
      <c r="CN68" s="74"/>
      <c r="CO68" s="70"/>
      <c r="CP68" s="74"/>
      <c r="CQ68" s="7"/>
      <c r="CR68" s="74"/>
      <c r="CS68" s="74"/>
      <c r="CT68" s="74"/>
      <c r="CU68" s="74"/>
      <c r="CV68" s="7"/>
      <c r="CW68" s="14"/>
      <c r="CX68" s="7"/>
      <c r="CY68" s="7"/>
      <c r="CZ68" s="7"/>
      <c r="DA68" s="14"/>
      <c r="DB68" s="14"/>
      <c r="DC68" s="14"/>
      <c r="DD68" s="14"/>
      <c r="DE68" s="74"/>
      <c r="DF68" s="74"/>
      <c r="DG68" s="74"/>
      <c r="DH68" s="7"/>
      <c r="DI68" s="74"/>
      <c r="DJ68" s="14"/>
      <c r="DK68" s="7"/>
      <c r="DL68" s="7"/>
      <c r="DM68" s="14"/>
      <c r="DN68" s="14"/>
      <c r="DO68" s="14"/>
      <c r="DP68" s="7"/>
      <c r="DQ68" s="14"/>
      <c r="DR68" s="7"/>
      <c r="DS68" s="7"/>
      <c r="DT68" s="14"/>
      <c r="DU68" s="14"/>
      <c r="DV68" s="14"/>
      <c r="DW68" s="14"/>
      <c r="DX68" s="14"/>
      <c r="DY68" s="14"/>
      <c r="DZ68" s="8">
        <f t="shared" si="15"/>
        <v>42.103268371659517</v>
      </c>
      <c r="EA68" s="3" t="str">
        <f t="shared" si="16"/>
        <v>Burmeister, Erik</v>
      </c>
      <c r="EB68" s="2">
        <f t="shared" si="17"/>
        <v>1</v>
      </c>
      <c r="EC68" s="112">
        <f>H68</f>
        <v>43.084608238540156</v>
      </c>
      <c r="ED68" s="29">
        <f t="shared" si="19"/>
        <v>41.423916146851155</v>
      </c>
      <c r="EE68" s="2">
        <f t="shared" si="20"/>
        <v>0</v>
      </c>
      <c r="EF68" s="46">
        <f t="shared" si="21"/>
        <v>2</v>
      </c>
      <c r="EG68" s="46">
        <f t="shared" si="22"/>
        <v>3</v>
      </c>
      <c r="EH68" s="29" t="str">
        <f t="shared" si="23"/>
        <v>RI</v>
      </c>
      <c r="EI68" s="29">
        <f>IF(COUNT(I68:Y68)&lt;5,DZ68,SUMPRODUCT(LARGE(I68:Y68,{1,2,3,4,5}))/5)</f>
        <v>42.103268371659517</v>
      </c>
      <c r="EJ68" s="29">
        <f>IF(COUNT(I68:AX68)&lt;5,DZ68,SUMPRODUCT(LARGE(I68:AX68,{1,2,3,4,5}))/5)</f>
        <v>42.103268371659517</v>
      </c>
      <c r="EK68" s="29">
        <f>IF(COUNT(I68:DY68)&lt;5,AVERAGE(I68:DY68),SUMPRODUCT(LARGE(I68:DY68,{1,2,3,4,5}))/5)</f>
        <v>42.103268371659517</v>
      </c>
      <c r="EL68" s="29">
        <f t="shared" si="24"/>
        <v>41.423916146851155</v>
      </c>
      <c r="EM68" s="116" t="str">
        <f t="shared" si="25"/>
        <v>Burmeister, Erik</v>
      </c>
      <c r="EQ68"/>
    </row>
    <row r="69" spans="1:147" x14ac:dyDescent="0.25">
      <c r="A69" s="59">
        <f t="shared" si="11"/>
        <v>66</v>
      </c>
      <c r="B69" s="32" t="s">
        <v>823</v>
      </c>
      <c r="C69" s="5" t="s">
        <v>6</v>
      </c>
      <c r="D69" s="6" t="s">
        <v>88</v>
      </c>
      <c r="E69" s="6">
        <v>38.798781792303437</v>
      </c>
      <c r="F69" s="6">
        <v>38.798781792303437</v>
      </c>
      <c r="G69" s="5">
        <f t="shared" si="14"/>
        <v>0</v>
      </c>
      <c r="H69" s="8">
        <v>38.798781792303437</v>
      </c>
      <c r="I69" s="36"/>
      <c r="J69" s="7"/>
      <c r="K69" s="14"/>
      <c r="L69" s="7"/>
      <c r="M69" s="7"/>
      <c r="N69" s="7"/>
      <c r="O69" s="7"/>
      <c r="P69" s="7"/>
      <c r="Q69" s="7"/>
      <c r="R69" s="7"/>
      <c r="S69" s="14"/>
      <c r="T69" s="7"/>
      <c r="U69" s="7"/>
      <c r="V69" s="14"/>
      <c r="W69" s="7"/>
      <c r="X69" s="14"/>
      <c r="Y69" s="227"/>
      <c r="Z69" s="228"/>
      <c r="AA69" s="7"/>
      <c r="AB69" s="7"/>
      <c r="AC69" s="7"/>
      <c r="AD69" s="7"/>
      <c r="AE69" s="7"/>
      <c r="AF69" s="14"/>
      <c r="AG69" s="7"/>
      <c r="AH69" s="7"/>
      <c r="AI69" s="7"/>
      <c r="AJ69" s="7"/>
      <c r="AK69" s="7"/>
      <c r="AL69" s="7"/>
      <c r="AM69" s="7"/>
      <c r="AN69" s="7"/>
      <c r="AO69" s="74"/>
      <c r="AP69" s="7"/>
      <c r="AQ69" s="74"/>
      <c r="AR69" s="70"/>
      <c r="AS69" s="7"/>
      <c r="AT69" s="70"/>
      <c r="AU69" s="7"/>
      <c r="AV69" s="70"/>
      <c r="AW69" s="7"/>
      <c r="AX69" s="184"/>
      <c r="AY69" s="208"/>
      <c r="AZ69" s="14"/>
      <c r="BA69" s="14"/>
      <c r="BB69" s="14"/>
      <c r="BC69" s="7"/>
      <c r="BD69" s="7"/>
      <c r="BE69" s="7"/>
      <c r="BF69" s="14"/>
      <c r="BG69" s="14"/>
      <c r="BH69" s="14"/>
      <c r="BI69" s="14"/>
      <c r="BJ69" s="14"/>
      <c r="BK69" s="7"/>
      <c r="BL69" s="14"/>
      <c r="BM69" s="7"/>
      <c r="BN69" s="103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103"/>
      <c r="CA69" s="7"/>
      <c r="CB69" s="7"/>
      <c r="CC69" s="14"/>
      <c r="CD69" s="7"/>
      <c r="CE69" s="7"/>
      <c r="CF69" s="7"/>
      <c r="CG69" s="14"/>
      <c r="CH69" s="7"/>
      <c r="CI69" s="14"/>
      <c r="CJ69" s="14"/>
      <c r="CK69" s="101"/>
      <c r="CL69" s="74"/>
      <c r="CM69" s="74"/>
      <c r="CN69" s="74"/>
      <c r="CO69" s="7"/>
      <c r="CP69" s="74"/>
      <c r="CQ69" s="7"/>
      <c r="CR69" s="74"/>
      <c r="CS69" s="74"/>
      <c r="CT69" s="74"/>
      <c r="CU69" s="74"/>
      <c r="CV69" s="7"/>
      <c r="CW69" s="14"/>
      <c r="CX69" s="7"/>
      <c r="CY69" s="7"/>
      <c r="CZ69" s="7"/>
      <c r="DA69" s="14"/>
      <c r="DB69" s="14"/>
      <c r="DC69" s="14"/>
      <c r="DD69" s="14"/>
      <c r="DE69" s="74"/>
      <c r="DF69" s="7"/>
      <c r="DG69" s="7"/>
      <c r="DH69" s="7"/>
      <c r="DI69" s="7"/>
      <c r="DJ69" s="14"/>
      <c r="DK69" s="7"/>
      <c r="DL69" s="7"/>
      <c r="DM69" s="14"/>
      <c r="DN69" s="14"/>
      <c r="DO69" s="14"/>
      <c r="DP69" s="14"/>
      <c r="DQ69" s="7"/>
      <c r="DR69" s="7"/>
      <c r="DS69" s="7"/>
      <c r="DT69" s="14"/>
      <c r="DU69" s="7"/>
      <c r="DV69" s="7"/>
      <c r="DW69" s="14"/>
      <c r="DX69" s="7"/>
      <c r="DY69" s="14"/>
      <c r="DZ69" s="8">
        <f t="shared" si="15"/>
        <v>38.798781792303437</v>
      </c>
      <c r="EA69" s="3" t="str">
        <f t="shared" si="16"/>
        <v>Burns, Ted</v>
      </c>
      <c r="EB69" s="2">
        <f t="shared" si="17"/>
        <v>0</v>
      </c>
      <c r="EC69" s="112">
        <f>H69</f>
        <v>38.798781792303437</v>
      </c>
      <c r="ED69" s="29">
        <f t="shared" si="19"/>
        <v>0</v>
      </c>
      <c r="EE69" s="2">
        <f t="shared" si="20"/>
        <v>0</v>
      </c>
      <c r="EF69" s="46">
        <f t="shared" si="21"/>
        <v>0</v>
      </c>
      <c r="EG69" s="46">
        <f t="shared" si="22"/>
        <v>0</v>
      </c>
      <c r="EH69" s="29" t="str">
        <f t="shared" si="23"/>
        <v>WI</v>
      </c>
      <c r="EI69" s="29">
        <f>IF(COUNT(I69:Y69)&lt;5,DZ69,SUMPRODUCT(LARGE(I69:Y69,{1,2,3,4,5}))/5)</f>
        <v>38.798781792303437</v>
      </c>
      <c r="EJ69" s="29">
        <f>IF(COUNT(I69:AX69)&lt;5,DZ69,SUMPRODUCT(LARGE(I69:AX69,{1,2,3,4,5}))/5)</f>
        <v>38.798781792303437</v>
      </c>
      <c r="EK69" s="112">
        <f>IF(EG69&lt;0,AVERAGE(I69:DY69),0)</f>
        <v>0</v>
      </c>
      <c r="EL69" s="29">
        <f t="shared" si="24"/>
        <v>0</v>
      </c>
      <c r="EM69" s="116" t="str">
        <f t="shared" si="25"/>
        <v>Burns, Ted</v>
      </c>
      <c r="EQ69"/>
    </row>
    <row r="70" spans="1:147" x14ac:dyDescent="0.25">
      <c r="A70" s="59">
        <f t="shared" ref="A70:A133" si="26">A69+1</f>
        <v>67</v>
      </c>
      <c r="B70" s="32" t="s">
        <v>430</v>
      </c>
      <c r="C70" s="5" t="s">
        <v>6</v>
      </c>
      <c r="D70" s="6" t="s">
        <v>57</v>
      </c>
      <c r="E70" s="6">
        <v>49.495238031520621</v>
      </c>
      <c r="F70" s="6">
        <v>56.644741897495145</v>
      </c>
      <c r="G70" s="5">
        <f t="shared" si="14"/>
        <v>4</v>
      </c>
      <c r="H70" s="60">
        <v>49.495238031520621</v>
      </c>
      <c r="I70" s="107"/>
      <c r="J70" s="7"/>
      <c r="K70" s="103"/>
      <c r="L70" s="7"/>
      <c r="M70" s="103"/>
      <c r="N70" s="74"/>
      <c r="O70" s="74"/>
      <c r="P70" s="103"/>
      <c r="Q70" s="103"/>
      <c r="R70" s="74"/>
      <c r="S70" s="103"/>
      <c r="T70" s="74"/>
      <c r="U70" s="7"/>
      <c r="V70" s="103"/>
      <c r="W70" s="7"/>
      <c r="X70" s="74"/>
      <c r="Y70" s="227"/>
      <c r="Z70" s="228"/>
      <c r="AA70" s="74"/>
      <c r="AB70" s="74"/>
      <c r="AC70" s="103"/>
      <c r="AD70" s="74"/>
      <c r="AE70" s="74"/>
      <c r="AF70" s="103"/>
      <c r="AG70" s="74"/>
      <c r="AH70" s="74"/>
      <c r="AI70" s="74"/>
      <c r="AJ70" s="74"/>
      <c r="AK70" s="74"/>
      <c r="AL70" s="74"/>
      <c r="AM70" s="74"/>
      <c r="AN70" s="74"/>
      <c r="AO70" s="7"/>
      <c r="AP70" s="74"/>
      <c r="AQ70" s="74"/>
      <c r="AR70" s="101">
        <f>(INDEX('Race 36'!$E$8:$E$200,(MATCH($B70,'Race 36'!$B$8:$B$200,0)),1))*100</f>
        <v>56.394222855438812</v>
      </c>
      <c r="AS70" s="7"/>
      <c r="AT70" s="101"/>
      <c r="AU70" s="7"/>
      <c r="AV70" s="101">
        <f>(INDEX('Race 40'!$E$8:$E$200,(MATCH($B70,'Race 40'!$B$8:$B$200,0)),1))*100</f>
        <v>54.710883660199947</v>
      </c>
      <c r="AW70" s="7"/>
      <c r="AX70" s="184"/>
      <c r="AY70" s="207">
        <f>(INDEX('Race 43'!$E$8:$E$200,(MATCH($B70,'Race 43'!$B$8:$B$200,0)),1))*100</f>
        <v>59.582530274109061</v>
      </c>
      <c r="AZ70" s="103"/>
      <c r="BA70" s="74"/>
      <c r="BB70" s="103"/>
      <c r="BC70" s="74"/>
      <c r="BD70" s="7"/>
      <c r="BE70" s="7"/>
      <c r="BF70" s="103"/>
      <c r="BG70" s="103"/>
      <c r="BH70" s="103"/>
      <c r="BI70" s="103"/>
      <c r="BJ70" s="74"/>
      <c r="BK70" s="7"/>
      <c r="BL70" s="74"/>
      <c r="BM70" s="7"/>
      <c r="BN70" s="103"/>
      <c r="BO70" s="103"/>
      <c r="BP70" s="7"/>
      <c r="BQ70" s="7"/>
      <c r="BR70" s="74">
        <f>(INDEX('Race 62'!$E$8:$E$200,(MATCH($B70,'Race 62'!$B$8:$B$200,0)),1))*100</f>
        <v>64.840963140931279</v>
      </c>
      <c r="BS70" s="7"/>
      <c r="BT70" s="7"/>
      <c r="BU70" s="74"/>
      <c r="BV70" s="74"/>
      <c r="BW70" s="74"/>
      <c r="BX70" s="74"/>
      <c r="BY70" s="102"/>
      <c r="BZ70" s="74"/>
      <c r="CA70" s="7"/>
      <c r="CB70" s="74"/>
      <c r="CC70" s="74"/>
      <c r="CD70" s="74"/>
      <c r="CE70" s="74"/>
      <c r="CF70" s="103"/>
      <c r="CG70" s="103"/>
      <c r="CH70" s="74"/>
      <c r="CI70" s="103"/>
      <c r="CJ70" s="103"/>
      <c r="CK70" s="101"/>
      <c r="CL70" s="74"/>
      <c r="CM70" s="74"/>
      <c r="CN70" s="74"/>
      <c r="CO70" s="101"/>
      <c r="CP70" s="74"/>
      <c r="CQ70" s="74"/>
      <c r="CR70" s="74"/>
      <c r="CS70" s="74"/>
      <c r="CT70" s="74"/>
      <c r="CU70" s="74"/>
      <c r="CV70" s="74"/>
      <c r="CW70" s="74"/>
      <c r="CX70" s="7"/>
      <c r="CY70" s="7"/>
      <c r="CZ70" s="74"/>
      <c r="DA70" s="74"/>
      <c r="DB70" s="74"/>
      <c r="DC70" s="103"/>
      <c r="DD70" s="103"/>
      <c r="DE70" s="74"/>
      <c r="DF70" s="74"/>
      <c r="DG70" s="74"/>
      <c r="DH70" s="74"/>
      <c r="DI70" s="74"/>
      <c r="DJ70" s="103"/>
      <c r="DK70" s="74"/>
      <c r="DL70" s="74"/>
      <c r="DM70" s="103"/>
      <c r="DN70" s="103"/>
      <c r="DO70" s="103"/>
      <c r="DP70" s="103"/>
      <c r="DQ70" s="103"/>
      <c r="DR70" s="7"/>
      <c r="DS70" s="7"/>
      <c r="DT70" s="103"/>
      <c r="DU70" s="103"/>
      <c r="DV70" s="103"/>
      <c r="DW70" s="103"/>
      <c r="DX70" s="103"/>
      <c r="DY70" s="103"/>
      <c r="DZ70" s="8">
        <f t="shared" si="15"/>
        <v>58.88214998266978</v>
      </c>
      <c r="EA70" s="3" t="str">
        <f t="shared" si="16"/>
        <v>Burr, Brian</v>
      </c>
      <c r="EB70" s="2">
        <f t="shared" si="17"/>
        <v>1</v>
      </c>
      <c r="EC70" s="112">
        <f>H70</f>
        <v>49.495238031520621</v>
      </c>
      <c r="ED70" s="29">
        <f t="shared" si="19"/>
        <v>57.932064130922647</v>
      </c>
      <c r="EE70" s="2">
        <f t="shared" si="20"/>
        <v>0</v>
      </c>
      <c r="EF70" s="46">
        <f t="shared" si="21"/>
        <v>3</v>
      </c>
      <c r="EG70" s="46">
        <f t="shared" si="22"/>
        <v>4</v>
      </c>
      <c r="EH70" s="29" t="str">
        <f t="shared" si="23"/>
        <v>NY</v>
      </c>
      <c r="EI70" s="29">
        <f>IF(COUNT(I70:Y70)&lt;5,DZ70,SUMPRODUCT(LARGE(I70:Y70,{1,2,3,4,5}))/5)</f>
        <v>58.88214998266978</v>
      </c>
      <c r="EJ70" s="29">
        <f>IF(COUNT(I70:AX70)&lt;5,DZ70,SUMPRODUCT(LARGE(I70:AX70,{1,2,3,4,5}))/5)</f>
        <v>58.88214998266978</v>
      </c>
      <c r="EK70" s="29">
        <f>IF(COUNT(I70:DY70)&lt;5,AVERAGE(I70:DY70),SUMPRODUCT(LARGE(I70:DY70,{1,2,3,4,5}))/5)</f>
        <v>58.88214998266978</v>
      </c>
      <c r="EL70" s="29">
        <f t="shared" si="24"/>
        <v>57.932064130922647</v>
      </c>
      <c r="EM70" s="116" t="str">
        <f t="shared" si="25"/>
        <v>Burr, Brian</v>
      </c>
      <c r="EQ70"/>
    </row>
    <row r="71" spans="1:147" x14ac:dyDescent="0.25">
      <c r="A71" s="59">
        <f t="shared" si="26"/>
        <v>68</v>
      </c>
      <c r="B71" s="32" t="s">
        <v>830</v>
      </c>
      <c r="C71" s="5" t="s">
        <v>6</v>
      </c>
      <c r="D71" s="6" t="s">
        <v>122</v>
      </c>
      <c r="E71" s="6">
        <v>46.805698483503036</v>
      </c>
      <c r="F71" s="6">
        <v>56.385645926429007</v>
      </c>
      <c r="G71" s="5">
        <f t="shared" si="14"/>
        <v>2</v>
      </c>
      <c r="H71" s="8">
        <v>46.805698483503036</v>
      </c>
      <c r="I71" s="36"/>
      <c r="J71" s="7"/>
      <c r="K71" s="14"/>
      <c r="L71" s="7"/>
      <c r="M71" s="14"/>
      <c r="N71" s="7"/>
      <c r="O71" s="7"/>
      <c r="P71" s="14"/>
      <c r="Q71" s="14"/>
      <c r="R71" s="14"/>
      <c r="S71" s="14"/>
      <c r="T71" s="7"/>
      <c r="U71" s="7"/>
      <c r="V71" s="14"/>
      <c r="W71" s="7"/>
      <c r="X71" s="7"/>
      <c r="Y71" s="227"/>
      <c r="Z71" s="228"/>
      <c r="AA71" s="7"/>
      <c r="AB71" s="7"/>
      <c r="AC71" s="14"/>
      <c r="AD71" s="14"/>
      <c r="AE71" s="7"/>
      <c r="AF71" s="14"/>
      <c r="AG71" s="7"/>
      <c r="AH71" s="7"/>
      <c r="AI71" s="7"/>
      <c r="AJ71" s="7"/>
      <c r="AK71" s="7"/>
      <c r="AL71" s="7"/>
      <c r="AM71" s="7"/>
      <c r="AN71" s="7"/>
      <c r="AO71" s="74"/>
      <c r="AP71" s="7"/>
      <c r="AQ71" s="74"/>
      <c r="AR71" s="70"/>
      <c r="AS71" s="7"/>
      <c r="AT71" s="70"/>
      <c r="AU71" s="7"/>
      <c r="AV71" s="70"/>
      <c r="AW71" s="7">
        <f>(INDEX('Race 41'!$E$8:$E$200,(MATCH($B71,'Race 41'!$B$8:$B$200,0)),1))*100</f>
        <v>52.370092231784639</v>
      </c>
      <c r="AX71" s="184">
        <f>(INDEX('Race 42'!$E$8:$E$200,(MATCH($B71,'Race 42'!$B$8:$B$200,0)),1))*100</f>
        <v>60.401199621073374</v>
      </c>
      <c r="AY71" s="207"/>
      <c r="AZ71" s="14"/>
      <c r="BA71" s="14"/>
      <c r="BB71" s="14"/>
      <c r="BC71" s="7"/>
      <c r="BD71" s="7"/>
      <c r="BE71" s="7"/>
      <c r="BF71" s="14"/>
      <c r="BG71" s="7"/>
      <c r="BH71" s="14"/>
      <c r="BI71" s="14"/>
      <c r="BJ71" s="14"/>
      <c r="BK71" s="7"/>
      <c r="BL71" s="14"/>
      <c r="BM71" s="7"/>
      <c r="BN71" s="103"/>
      <c r="BO71" s="14"/>
      <c r="BP71" s="7"/>
      <c r="BQ71" s="7"/>
      <c r="BR71" s="7"/>
      <c r="BS71" s="7"/>
      <c r="BT71" s="7"/>
      <c r="BU71" s="7"/>
      <c r="BV71" s="7"/>
      <c r="BW71" s="7"/>
      <c r="BX71" s="7"/>
      <c r="BY71" s="14"/>
      <c r="BZ71" s="14"/>
      <c r="CA71" s="7"/>
      <c r="CB71" s="7"/>
      <c r="CC71" s="14"/>
      <c r="CD71" s="7"/>
      <c r="CE71" s="74"/>
      <c r="CF71" s="103"/>
      <c r="CG71" s="7"/>
      <c r="CH71" s="7"/>
      <c r="CI71" s="7"/>
      <c r="CJ71" s="14"/>
      <c r="CK71" s="101"/>
      <c r="CL71" s="74"/>
      <c r="CM71" s="74"/>
      <c r="CN71" s="74"/>
      <c r="CO71" s="70"/>
      <c r="CP71" s="74"/>
      <c r="CQ71" s="7"/>
      <c r="CR71" s="74"/>
      <c r="CS71" s="74"/>
      <c r="CT71" s="74"/>
      <c r="CU71" s="74"/>
      <c r="CV71" s="7"/>
      <c r="CW71" s="14"/>
      <c r="CX71" s="7"/>
      <c r="CY71" s="7"/>
      <c r="CZ71" s="7"/>
      <c r="DA71" s="14"/>
      <c r="DB71" s="14"/>
      <c r="DC71" s="14"/>
      <c r="DD71" s="14"/>
      <c r="DE71" s="74"/>
      <c r="DF71" s="7"/>
      <c r="DG71" s="7"/>
      <c r="DH71" s="7"/>
      <c r="DI71" s="7"/>
      <c r="DJ71" s="14"/>
      <c r="DK71" s="7"/>
      <c r="DL71" s="7"/>
      <c r="DM71" s="14"/>
      <c r="DN71" s="14"/>
      <c r="DO71" s="14"/>
      <c r="DP71" s="7"/>
      <c r="DQ71" s="7"/>
      <c r="DR71" s="7"/>
      <c r="DS71" s="7"/>
      <c r="DT71" s="14"/>
      <c r="DU71" s="14"/>
      <c r="DV71" s="14"/>
      <c r="DW71" s="14"/>
      <c r="DX71" s="14"/>
      <c r="DY71" s="14"/>
      <c r="DZ71" s="8">
        <f t="shared" si="15"/>
        <v>56.385645926429007</v>
      </c>
      <c r="EA71" s="3" t="str">
        <f t="shared" si="16"/>
        <v>BUTLER, BRETT</v>
      </c>
      <c r="EB71" s="2">
        <f t="shared" si="17"/>
        <v>1</v>
      </c>
      <c r="EC71" s="29">
        <v>0</v>
      </c>
      <c r="ED71" s="29">
        <f t="shared" si="19"/>
        <v>55.47584211573102</v>
      </c>
      <c r="EE71" s="2">
        <f t="shared" si="20"/>
        <v>0</v>
      </c>
      <c r="EF71" s="46">
        <f t="shared" si="21"/>
        <v>2</v>
      </c>
      <c r="EG71" s="46">
        <f t="shared" si="22"/>
        <v>2</v>
      </c>
      <c r="EH71" s="29" t="str">
        <f t="shared" si="23"/>
        <v>ND</v>
      </c>
      <c r="EI71" s="29">
        <f>IF(COUNT(I71:Y71)&lt;5,DZ71,SUMPRODUCT(LARGE(I71:Y71,{1,2,3,4,5}))/5)</f>
        <v>56.385645926429007</v>
      </c>
      <c r="EJ71" s="29">
        <f>IF(COUNT(I71:AX71)&lt;5,DZ71,SUMPRODUCT(LARGE(I71:AX71,{1,2,3,4,5}))/5)</f>
        <v>56.385645926429007</v>
      </c>
      <c r="EK71" s="29">
        <f>IF(COUNT(I71:DY71)&lt;5,AVERAGE(I71:DY71),SUMPRODUCT(LARGE(I71:DY71,{1,2,3,4,5}))/5)</f>
        <v>56.385645926429007</v>
      </c>
      <c r="EL71" s="29">
        <f t="shared" si="24"/>
        <v>55.47584211573102</v>
      </c>
      <c r="EM71" s="116" t="str">
        <f t="shared" si="25"/>
        <v>BUTLER, BRETT</v>
      </c>
      <c r="EQ71"/>
    </row>
    <row r="72" spans="1:147" x14ac:dyDescent="0.25">
      <c r="A72" s="59">
        <f t="shared" si="26"/>
        <v>69</v>
      </c>
      <c r="B72" s="32" t="s">
        <v>869</v>
      </c>
      <c r="C72" s="5" t="s">
        <v>6</v>
      </c>
      <c r="D72" s="6" t="s">
        <v>62</v>
      </c>
      <c r="E72" s="6">
        <v>39.131184047246634</v>
      </c>
      <c r="F72" s="6">
        <v>39.131184047246634</v>
      </c>
      <c r="G72" s="5">
        <f t="shared" si="14"/>
        <v>0</v>
      </c>
      <c r="H72" s="8">
        <v>39.131184047246634</v>
      </c>
      <c r="I72" s="36"/>
      <c r="J72" s="7"/>
      <c r="K72" s="14"/>
      <c r="L72" s="7"/>
      <c r="M72" s="14"/>
      <c r="N72" s="7"/>
      <c r="O72" s="7"/>
      <c r="P72" s="14"/>
      <c r="Q72" s="14"/>
      <c r="R72" s="14"/>
      <c r="S72" s="14"/>
      <c r="T72" s="7"/>
      <c r="U72" s="7"/>
      <c r="V72" s="14"/>
      <c r="W72" s="7"/>
      <c r="X72" s="14"/>
      <c r="Y72" s="227"/>
      <c r="Z72" s="228"/>
      <c r="AA72" s="7"/>
      <c r="AB72" s="7"/>
      <c r="AC72" s="14"/>
      <c r="AD72" s="14"/>
      <c r="AE72" s="7"/>
      <c r="AF72" s="14"/>
      <c r="AG72" s="7"/>
      <c r="AH72" s="7"/>
      <c r="AI72" s="7"/>
      <c r="AJ72" s="7"/>
      <c r="AK72" s="7"/>
      <c r="AL72" s="7"/>
      <c r="AM72" s="7"/>
      <c r="AN72" s="7"/>
      <c r="AO72" s="74"/>
      <c r="AP72" s="7"/>
      <c r="AQ72" s="74"/>
      <c r="AR72" s="70"/>
      <c r="AS72" s="7"/>
      <c r="AT72" s="70"/>
      <c r="AU72" s="7"/>
      <c r="AV72" s="70"/>
      <c r="AW72" s="7"/>
      <c r="AX72" s="184"/>
      <c r="AY72" s="207"/>
      <c r="AZ72" s="14"/>
      <c r="BA72" s="14"/>
      <c r="BB72" s="14"/>
      <c r="BC72" s="7"/>
      <c r="BD72" s="7"/>
      <c r="BE72" s="7"/>
      <c r="BF72" s="14"/>
      <c r="BG72" s="14"/>
      <c r="BH72" s="14"/>
      <c r="BI72" s="14"/>
      <c r="BJ72" s="14"/>
      <c r="BK72" s="7"/>
      <c r="BL72" s="14"/>
      <c r="BM72" s="7"/>
      <c r="BN72" s="103"/>
      <c r="BO72" s="14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14"/>
      <c r="CD72" s="7"/>
      <c r="CE72" s="7"/>
      <c r="CF72" s="14"/>
      <c r="CG72" s="14"/>
      <c r="CH72" s="70"/>
      <c r="CI72" s="14"/>
      <c r="CJ72" s="7"/>
      <c r="CK72" s="101"/>
      <c r="CL72" s="74"/>
      <c r="CM72" s="74"/>
      <c r="CN72" s="74"/>
      <c r="CO72" s="70"/>
      <c r="CP72" s="74"/>
      <c r="CQ72" s="7"/>
      <c r="CR72" s="74"/>
      <c r="CS72" s="74"/>
      <c r="CT72" s="74"/>
      <c r="CU72" s="74"/>
      <c r="CV72" s="7"/>
      <c r="CW72" s="14"/>
      <c r="CX72" s="7"/>
      <c r="CY72" s="7"/>
      <c r="CZ72" s="7"/>
      <c r="DA72" s="14"/>
      <c r="DB72" s="14"/>
      <c r="DC72" s="14"/>
      <c r="DD72" s="14"/>
      <c r="DE72" s="74"/>
      <c r="DF72" s="74"/>
      <c r="DG72" s="74"/>
      <c r="DH72" s="7"/>
      <c r="DI72" s="74"/>
      <c r="DJ72" s="14"/>
      <c r="DK72" s="7"/>
      <c r="DL72" s="7"/>
      <c r="DM72" s="14"/>
      <c r="DN72" s="14"/>
      <c r="DO72" s="14"/>
      <c r="DP72" s="14"/>
      <c r="DQ72" s="14"/>
      <c r="DR72" s="7"/>
      <c r="DS72" s="7"/>
      <c r="DT72" s="14"/>
      <c r="DU72" s="14"/>
      <c r="DV72" s="14"/>
      <c r="DW72" s="14"/>
      <c r="DX72" s="14"/>
      <c r="DY72" s="14"/>
      <c r="DZ72" s="8">
        <f t="shared" si="15"/>
        <v>39.131184047246634</v>
      </c>
      <c r="EA72" s="3" t="str">
        <f t="shared" si="16"/>
        <v>Butler, Brian</v>
      </c>
      <c r="EB72" s="2">
        <f t="shared" si="17"/>
        <v>0</v>
      </c>
      <c r="EC72" s="112">
        <f>H72</f>
        <v>39.131184047246634</v>
      </c>
      <c r="ED72" s="29">
        <f t="shared" si="19"/>
        <v>0</v>
      </c>
      <c r="EE72" s="2">
        <f t="shared" si="20"/>
        <v>0</v>
      </c>
      <c r="EF72" s="46">
        <f t="shared" si="21"/>
        <v>0</v>
      </c>
      <c r="EG72" s="46">
        <f t="shared" si="22"/>
        <v>0</v>
      </c>
      <c r="EH72" s="29" t="str">
        <f t="shared" si="23"/>
        <v>CO</v>
      </c>
      <c r="EI72" s="29">
        <f>IF(COUNT(I72:Y72)&lt;5,DZ72,SUMPRODUCT(LARGE(I72:Y72,{1,2,3,4,5}))/5)</f>
        <v>39.131184047246634</v>
      </c>
      <c r="EJ72" s="29">
        <f>IF(COUNT(I72:AX72)&lt;5,DZ72,SUMPRODUCT(LARGE(I72:AX72,{1,2,3,4,5}))/5)</f>
        <v>39.131184047246634</v>
      </c>
      <c r="EK72" s="112">
        <f>IF(EG72&lt;0,AVERAGE(I72:DY72),0)</f>
        <v>0</v>
      </c>
      <c r="EL72" s="29">
        <f t="shared" si="24"/>
        <v>0</v>
      </c>
      <c r="EM72" s="116" t="str">
        <f t="shared" si="25"/>
        <v>Butler, Brian</v>
      </c>
      <c r="EQ72"/>
    </row>
    <row r="73" spans="1:147" x14ac:dyDescent="0.25">
      <c r="A73" s="59">
        <f t="shared" si="26"/>
        <v>70</v>
      </c>
      <c r="B73" s="32" t="s">
        <v>850</v>
      </c>
      <c r="C73" s="5" t="s">
        <v>6</v>
      </c>
      <c r="D73" s="6" t="s">
        <v>57</v>
      </c>
      <c r="E73" s="6">
        <v>27.331064617126305</v>
      </c>
      <c r="F73" s="6">
        <v>27.331064617126305</v>
      </c>
      <c r="G73" s="5">
        <f t="shared" si="14"/>
        <v>0</v>
      </c>
      <c r="H73" s="8">
        <v>27.331064617126305</v>
      </c>
      <c r="I73" s="36"/>
      <c r="J73" s="7"/>
      <c r="K73" s="14"/>
      <c r="L73" s="7"/>
      <c r="M73" s="7"/>
      <c r="N73" s="7"/>
      <c r="O73" s="7"/>
      <c r="P73" s="14"/>
      <c r="Q73" s="7"/>
      <c r="R73" s="14"/>
      <c r="S73" s="7"/>
      <c r="T73" s="7"/>
      <c r="U73" s="7"/>
      <c r="V73" s="7"/>
      <c r="W73" s="7"/>
      <c r="X73" s="7"/>
      <c r="Y73" s="227"/>
      <c r="Z73" s="228"/>
      <c r="AA73" s="7"/>
      <c r="AB73" s="7"/>
      <c r="AC73" s="7"/>
      <c r="AD73" s="7"/>
      <c r="AE73" s="7"/>
      <c r="AF73" s="14"/>
      <c r="AG73" s="7"/>
      <c r="AH73" s="7"/>
      <c r="AI73" s="7"/>
      <c r="AJ73" s="7"/>
      <c r="AK73" s="7"/>
      <c r="AL73" s="7"/>
      <c r="AM73" s="7"/>
      <c r="AN73" s="7"/>
      <c r="AO73" s="74"/>
      <c r="AP73" s="7"/>
      <c r="AQ73" s="74"/>
      <c r="AR73" s="70"/>
      <c r="AS73" s="7"/>
      <c r="AT73" s="70"/>
      <c r="AU73" s="7"/>
      <c r="AV73" s="70"/>
      <c r="AW73" s="7"/>
      <c r="AX73" s="185"/>
      <c r="AY73" s="208"/>
      <c r="AZ73" s="7"/>
      <c r="BA73" s="14"/>
      <c r="BB73" s="14"/>
      <c r="BC73" s="7"/>
      <c r="BD73" s="7"/>
      <c r="BE73" s="7"/>
      <c r="BF73" s="14"/>
      <c r="BG73" s="14"/>
      <c r="BH73" s="14"/>
      <c r="BI73" s="14"/>
      <c r="BJ73" s="14"/>
      <c r="BK73" s="7"/>
      <c r="BL73" s="14"/>
      <c r="BM73" s="7"/>
      <c r="BN73" s="103"/>
      <c r="BO73" s="14"/>
      <c r="BP73" s="7"/>
      <c r="BQ73" s="7"/>
      <c r="BR73" s="7"/>
      <c r="BS73" s="7"/>
      <c r="BT73" s="7"/>
      <c r="BU73" s="7"/>
      <c r="BV73" s="7"/>
      <c r="BW73" s="7"/>
      <c r="BX73" s="7"/>
      <c r="BY73" s="14"/>
      <c r="BZ73" s="14"/>
      <c r="CA73" s="7"/>
      <c r="CB73" s="7"/>
      <c r="CC73" s="14"/>
      <c r="CD73" s="7"/>
      <c r="CE73" s="7"/>
      <c r="CF73" s="14"/>
      <c r="CG73" s="14"/>
      <c r="CH73" s="7"/>
      <c r="CI73" s="14"/>
      <c r="CJ73" s="14"/>
      <c r="CK73" s="101"/>
      <c r="CL73" s="74"/>
      <c r="CM73" s="74"/>
      <c r="CN73" s="74"/>
      <c r="CO73" s="7"/>
      <c r="CP73" s="74"/>
      <c r="CQ73" s="7"/>
      <c r="CR73" s="74"/>
      <c r="CS73" s="74"/>
      <c r="CT73" s="74"/>
      <c r="CU73" s="74"/>
      <c r="CV73" s="7"/>
      <c r="CW73" s="14"/>
      <c r="CX73" s="7"/>
      <c r="CY73" s="7"/>
      <c r="CZ73" s="7"/>
      <c r="DA73" s="14"/>
      <c r="DB73" s="14"/>
      <c r="DC73" s="14"/>
      <c r="DD73" s="14"/>
      <c r="DE73" s="74"/>
      <c r="DF73" s="74"/>
      <c r="DG73" s="74"/>
      <c r="DH73" s="7"/>
      <c r="DI73" s="74"/>
      <c r="DJ73" s="7"/>
      <c r="DK73" s="7"/>
      <c r="DL73" s="7"/>
      <c r="DM73" s="7"/>
      <c r="DN73" s="14"/>
      <c r="DO73" s="14"/>
      <c r="DP73" s="14"/>
      <c r="DQ73" s="14"/>
      <c r="DR73" s="7"/>
      <c r="DS73" s="7"/>
      <c r="DT73" s="7"/>
      <c r="DU73" s="14"/>
      <c r="DV73" s="14"/>
      <c r="DW73" s="14"/>
      <c r="DX73" s="14"/>
      <c r="DY73" s="14"/>
      <c r="DZ73" s="8">
        <f t="shared" si="15"/>
        <v>27.331064617126305</v>
      </c>
      <c r="EA73" s="3" t="str">
        <f t="shared" si="16"/>
        <v>Buzzell, Stephen</v>
      </c>
      <c r="EB73" s="2">
        <f t="shared" si="17"/>
        <v>0</v>
      </c>
      <c r="EC73" s="112">
        <f>H73</f>
        <v>27.331064617126305</v>
      </c>
      <c r="ED73" s="29">
        <f t="shared" si="19"/>
        <v>0</v>
      </c>
      <c r="EE73" s="2">
        <f t="shared" si="20"/>
        <v>0</v>
      </c>
      <c r="EF73" s="46">
        <f t="shared" si="21"/>
        <v>0</v>
      </c>
      <c r="EG73" s="46">
        <f t="shared" si="22"/>
        <v>0</v>
      </c>
      <c r="EH73" s="29" t="str">
        <f t="shared" si="23"/>
        <v>NY</v>
      </c>
      <c r="EI73" s="29">
        <f>IF(COUNT(I73:Y73)&lt;5,DZ73,SUMPRODUCT(LARGE(I73:Y73,{1,2,3,4,5}))/5)</f>
        <v>27.331064617126305</v>
      </c>
      <c r="EJ73" s="29">
        <f>IF(COUNT(I73:AX73)&lt;5,DZ73,SUMPRODUCT(LARGE(I73:AX73,{1,2,3,4,5}))/5)</f>
        <v>27.331064617126305</v>
      </c>
      <c r="EK73" s="112">
        <f>IF(EG73&lt;0,AVERAGE(I73:DY73),0)</f>
        <v>0</v>
      </c>
      <c r="EL73" s="29">
        <f t="shared" si="24"/>
        <v>0</v>
      </c>
      <c r="EM73" s="116" t="str">
        <f t="shared" si="25"/>
        <v>Buzzell, Stephen</v>
      </c>
      <c r="EQ73"/>
    </row>
    <row r="74" spans="1:147" x14ac:dyDescent="0.25">
      <c r="A74" s="59">
        <f t="shared" si="26"/>
        <v>71</v>
      </c>
      <c r="B74" s="32" t="s">
        <v>186</v>
      </c>
      <c r="C74" s="5" t="s">
        <v>6</v>
      </c>
      <c r="D74" s="6" t="s">
        <v>62</v>
      </c>
      <c r="E74" s="6">
        <v>65.932000029740067</v>
      </c>
      <c r="F74" s="6">
        <v>65.932000029740067</v>
      </c>
      <c r="G74" s="5">
        <f t="shared" si="14"/>
        <v>2</v>
      </c>
      <c r="H74" s="8">
        <v>65.932000029740067</v>
      </c>
      <c r="I74" s="107"/>
      <c r="J74" s="7"/>
      <c r="K74" s="103"/>
      <c r="L74" s="7"/>
      <c r="M74" s="103"/>
      <c r="N74" s="7"/>
      <c r="O74" s="7"/>
      <c r="P74" s="74"/>
      <c r="Q74" s="14"/>
      <c r="R74" s="74"/>
      <c r="S74" s="103"/>
      <c r="T74" s="7"/>
      <c r="U74" s="7"/>
      <c r="V74" s="74"/>
      <c r="W74" s="7"/>
      <c r="X74" s="103"/>
      <c r="Y74" s="227"/>
      <c r="Z74" s="228"/>
      <c r="AA74" s="7"/>
      <c r="AB74" s="7"/>
      <c r="AC74" s="14"/>
      <c r="AD74" s="103"/>
      <c r="AE74" s="7"/>
      <c r="AF74" s="103"/>
      <c r="AG74" s="74"/>
      <c r="AH74" s="7"/>
      <c r="AI74" s="7"/>
      <c r="AJ74" s="7"/>
      <c r="AK74" s="7"/>
      <c r="AL74" s="7"/>
      <c r="AM74" s="7"/>
      <c r="AN74" s="7"/>
      <c r="AO74" s="7"/>
      <c r="AP74" s="7"/>
      <c r="AQ74" s="74"/>
      <c r="AR74" s="101"/>
      <c r="AS74" s="7"/>
      <c r="AT74" s="101"/>
      <c r="AU74" s="7"/>
      <c r="AV74" s="101"/>
      <c r="AW74" s="7"/>
      <c r="AX74" s="8"/>
      <c r="AY74" s="207"/>
      <c r="AZ74" s="74"/>
      <c r="BA74" s="103"/>
      <c r="BB74" s="74"/>
      <c r="BC74" s="74"/>
      <c r="BD74" s="7"/>
      <c r="BE74" s="7"/>
      <c r="BF74" s="103"/>
      <c r="BG74" s="103"/>
      <c r="BH74" s="103"/>
      <c r="BI74" s="101"/>
      <c r="BJ74" s="101"/>
      <c r="BK74" s="7"/>
      <c r="BL74" s="101"/>
      <c r="BM74" s="7"/>
      <c r="BN74" s="103"/>
      <c r="BO74" s="103"/>
      <c r="BP74" s="7"/>
      <c r="BQ74" s="7"/>
      <c r="BR74" s="74"/>
      <c r="BS74" s="7"/>
      <c r="BT74" s="7"/>
      <c r="BU74" s="74"/>
      <c r="BV74" s="74"/>
      <c r="BW74" s="74"/>
      <c r="BX74" s="74"/>
      <c r="BY74" s="103"/>
      <c r="BZ74" s="74"/>
      <c r="CA74" s="7"/>
      <c r="CB74" s="74"/>
      <c r="CC74" s="101"/>
      <c r="CD74" s="74"/>
      <c r="CE74" s="7"/>
      <c r="CF74" s="74"/>
      <c r="CG74" s="74"/>
      <c r="CH74" s="7"/>
      <c r="CI74" s="101"/>
      <c r="CJ74" s="103"/>
      <c r="CK74" s="101"/>
      <c r="CL74" s="74"/>
      <c r="CM74" s="74"/>
      <c r="CN74" s="74"/>
      <c r="CO74" s="101"/>
      <c r="CP74" s="74"/>
      <c r="CQ74" s="74"/>
      <c r="CR74" s="74"/>
      <c r="CS74" s="74"/>
      <c r="CT74" s="74"/>
      <c r="CU74" s="74"/>
      <c r="CV74" s="74"/>
      <c r="CW74" s="103"/>
      <c r="CX74" s="7">
        <f>(INDEX('Race 94'!$E$8:$E$200,(MATCH($B74,'Race 94'!$B$8:$B$200,0)),1))*100</f>
        <v>57.999559174623002</v>
      </c>
      <c r="CY74" s="7">
        <f>(INDEX('Race 95'!$E$8:$E$200,(MATCH($B74,'Race 95'!$B$8:$B$200,0)),1))*100</f>
        <v>56.386944587671586</v>
      </c>
      <c r="CZ74" s="74"/>
      <c r="DA74" s="103"/>
      <c r="DB74" s="14"/>
      <c r="DC74" s="14"/>
      <c r="DD74" s="103"/>
      <c r="DE74" s="74"/>
      <c r="DF74" s="74"/>
      <c r="DG74" s="74"/>
      <c r="DH74" s="74"/>
      <c r="DI74" s="74"/>
      <c r="DJ74" s="74"/>
      <c r="DK74" s="74"/>
      <c r="DL74" s="74"/>
      <c r="DM74" s="103"/>
      <c r="DN74" s="103"/>
      <c r="DO74" s="103"/>
      <c r="DP74" s="74"/>
      <c r="DQ74" s="103"/>
      <c r="DR74" s="7"/>
      <c r="DS74" s="7"/>
      <c r="DT74" s="74"/>
      <c r="DU74" s="74"/>
      <c r="DV74" s="103"/>
      <c r="DW74" s="103"/>
      <c r="DX74" s="103"/>
      <c r="DY74" s="105"/>
      <c r="DZ74" s="8">
        <f t="shared" si="15"/>
        <v>57.19325188114729</v>
      </c>
      <c r="EA74" s="3" t="str">
        <f t="shared" si="16"/>
        <v>Cahow, Dean</v>
      </c>
      <c r="EB74" s="2">
        <f t="shared" si="17"/>
        <v>1</v>
      </c>
      <c r="EC74" s="112">
        <f>H74</f>
        <v>65.932000029740067</v>
      </c>
      <c r="ED74" s="29">
        <f t="shared" si="19"/>
        <v>56.270417041663997</v>
      </c>
      <c r="EE74" s="2">
        <f t="shared" si="20"/>
        <v>0</v>
      </c>
      <c r="EF74" s="46">
        <f t="shared" si="21"/>
        <v>0</v>
      </c>
      <c r="EG74" s="46">
        <f t="shared" si="22"/>
        <v>2</v>
      </c>
      <c r="EH74" s="29" t="str">
        <f t="shared" si="23"/>
        <v>CO</v>
      </c>
      <c r="EI74" s="29">
        <f>IF(COUNT(I74:Y74)&lt;5,DZ74,SUMPRODUCT(LARGE(I74:Y74,{1,2,3,4,5}))/5)</f>
        <v>57.19325188114729</v>
      </c>
      <c r="EJ74" s="29">
        <f>IF(COUNT(I74:AX74)&lt;5,DZ74,SUMPRODUCT(LARGE(I74:AX74,{1,2,3,4,5}))/5)</f>
        <v>57.19325188114729</v>
      </c>
      <c r="EK74" s="29">
        <f>IF(COUNT(I74:DY74)&lt;5,AVERAGE(I74:DY74),SUMPRODUCT(LARGE(I74:DY74,{1,2,3,4,5}))/5)</f>
        <v>57.19325188114729</v>
      </c>
      <c r="EL74" s="29">
        <f t="shared" si="24"/>
        <v>56.270417041663997</v>
      </c>
      <c r="EM74" s="116" t="str">
        <f t="shared" si="25"/>
        <v>Cahow, Dean</v>
      </c>
      <c r="EQ74"/>
    </row>
    <row r="75" spans="1:147" x14ac:dyDescent="0.25">
      <c r="A75" s="59">
        <f t="shared" si="26"/>
        <v>72</v>
      </c>
      <c r="B75" s="32" t="s">
        <v>1113</v>
      </c>
      <c r="C75" s="5" t="s">
        <v>6</v>
      </c>
      <c r="D75" s="6" t="s">
        <v>63</v>
      </c>
      <c r="E75" s="6">
        <v>0</v>
      </c>
      <c r="F75" s="6">
        <v>48.482965981855443</v>
      </c>
      <c r="G75" s="5">
        <f t="shared" si="14"/>
        <v>2</v>
      </c>
      <c r="H75" s="60">
        <v>0</v>
      </c>
      <c r="I75" s="36"/>
      <c r="J75" s="7"/>
      <c r="K75" s="7"/>
      <c r="L75" s="7"/>
      <c r="M75" s="14"/>
      <c r="N75" s="7"/>
      <c r="O75" s="7"/>
      <c r="P75" s="14"/>
      <c r="Q75" s="7"/>
      <c r="R75" s="7"/>
      <c r="S75" s="7"/>
      <c r="T75" s="7"/>
      <c r="U75" s="7"/>
      <c r="V75" s="7"/>
      <c r="W75" s="7"/>
      <c r="X75" s="14"/>
      <c r="Y75" s="227"/>
      <c r="Z75" s="228"/>
      <c r="AA75" s="7"/>
      <c r="AB75" s="7"/>
      <c r="AC75" s="7"/>
      <c r="AD75" s="7"/>
      <c r="AE75" s="7"/>
      <c r="AF75" s="14"/>
      <c r="AG75" s="7"/>
      <c r="AH75" s="7"/>
      <c r="AI75" s="7"/>
      <c r="AJ75" s="7"/>
      <c r="AK75" s="7"/>
      <c r="AL75" s="7"/>
      <c r="AM75" s="7"/>
      <c r="AN75" s="7"/>
      <c r="AO75" s="74"/>
      <c r="AP75" s="7"/>
      <c r="AQ75" s="74"/>
      <c r="AR75" s="70"/>
      <c r="AS75" s="7"/>
      <c r="AT75" s="74">
        <f>(INDEX('Race 38'!$E$8:$E$200,(MATCH($B75,'Race 38'!$B$8:$B$200,0)),1))*100</f>
        <v>48.482965981855443</v>
      </c>
      <c r="AU75" s="7"/>
      <c r="AV75" s="74"/>
      <c r="AW75" s="7"/>
      <c r="AX75" s="184"/>
      <c r="AY75" s="207"/>
      <c r="AZ75" s="70">
        <f>(INDEX('Race 44'!$E$8:$E$200,(MATCH($B75,'Race 44'!$B$8:$B$200,0)),1))*100</f>
        <v>49.621280102757638</v>
      </c>
      <c r="BA75" s="14"/>
      <c r="BB75" s="7"/>
      <c r="BC75" s="7"/>
      <c r="BD75" s="7"/>
      <c r="BE75" s="7"/>
      <c r="BF75" s="14"/>
      <c r="BG75" s="14"/>
      <c r="BH75" s="14"/>
      <c r="BI75" s="7"/>
      <c r="BJ75" s="14"/>
      <c r="BK75" s="7"/>
      <c r="BL75" s="14"/>
      <c r="BM75" s="7"/>
      <c r="BN75" s="74"/>
      <c r="BO75" s="14"/>
      <c r="BP75" s="7"/>
      <c r="BQ75" s="7"/>
      <c r="BR75" s="7"/>
      <c r="BS75" s="7"/>
      <c r="BT75" s="7"/>
      <c r="BU75" s="7"/>
      <c r="BV75" s="7"/>
      <c r="BW75" s="7"/>
      <c r="BX75" s="7"/>
      <c r="BY75" s="14"/>
      <c r="BZ75" s="14"/>
      <c r="CA75" s="7"/>
      <c r="CB75" s="7"/>
      <c r="CC75" s="14"/>
      <c r="CD75" s="7"/>
      <c r="CE75" s="74"/>
      <c r="CF75" s="103"/>
      <c r="CG75" s="14"/>
      <c r="CH75" s="7"/>
      <c r="CI75" s="14"/>
      <c r="CJ75" s="14"/>
      <c r="CK75" s="101"/>
      <c r="CL75" s="74"/>
      <c r="CM75" s="74"/>
      <c r="CN75" s="74"/>
      <c r="CO75" s="7"/>
      <c r="CP75" s="74"/>
      <c r="CQ75" s="7"/>
      <c r="CR75" s="74"/>
      <c r="CS75" s="74"/>
      <c r="CT75" s="74"/>
      <c r="CU75" s="74"/>
      <c r="CV75" s="7"/>
      <c r="CW75" s="7"/>
      <c r="CX75" s="7"/>
      <c r="CY75" s="7"/>
      <c r="CZ75" s="7"/>
      <c r="DA75" s="7"/>
      <c r="DB75" s="14"/>
      <c r="DC75" s="14"/>
      <c r="DD75" s="14"/>
      <c r="DE75" s="74"/>
      <c r="DF75" s="7"/>
      <c r="DG75" s="7"/>
      <c r="DH75" s="7"/>
      <c r="DI75" s="7"/>
      <c r="DJ75" s="7"/>
      <c r="DK75" s="7"/>
      <c r="DL75" s="7"/>
      <c r="DM75" s="14"/>
      <c r="DN75" s="14"/>
      <c r="DO75" s="14"/>
      <c r="DP75" s="14"/>
      <c r="DQ75" s="14"/>
      <c r="DR75" s="7"/>
      <c r="DS75" s="7"/>
      <c r="DT75" s="14"/>
      <c r="DU75" s="14"/>
      <c r="DV75" s="14"/>
      <c r="DW75" s="14"/>
      <c r="DX75" s="14"/>
      <c r="DY75" s="14"/>
      <c r="DZ75" s="8">
        <f t="shared" si="15"/>
        <v>49.05212304230654</v>
      </c>
      <c r="EA75" s="3" t="str">
        <f t="shared" si="16"/>
        <v>Calhoun, Brian</v>
      </c>
      <c r="EB75" s="2">
        <f t="shared" si="17"/>
        <v>1</v>
      </c>
      <c r="EC75" s="29">
        <v>0</v>
      </c>
      <c r="ED75" s="29">
        <f t="shared" si="19"/>
        <v>0</v>
      </c>
      <c r="EE75" s="2">
        <f t="shared" si="20"/>
        <v>0</v>
      </c>
      <c r="EF75" s="46">
        <f t="shared" si="21"/>
        <v>2</v>
      </c>
      <c r="EG75" s="46">
        <f t="shared" si="22"/>
        <v>2</v>
      </c>
      <c r="EH75" s="29" t="str">
        <f t="shared" si="23"/>
        <v>VT</v>
      </c>
      <c r="EI75" s="29">
        <f>IF(COUNT(I75:AD75)&lt;5,DZ75,SUMPRODUCT(LARGE(I75:AD75,{1,2,3,4,5}))/5)</f>
        <v>49.05212304230654</v>
      </c>
      <c r="EJ75" s="29">
        <f>IF(COUNT(I75:AX75)&lt;5,DZ75,SUMPRODUCT(LARGE(I75:AX75,{1,2,3,4,5}))/5)</f>
        <v>49.05212304230654</v>
      </c>
      <c r="EK75" s="112">
        <f>IF(EG75&lt;0,AVERAGE(I75:DY75),0)</f>
        <v>0</v>
      </c>
      <c r="EL75" s="29">
        <f t="shared" si="24"/>
        <v>0</v>
      </c>
      <c r="EM75" s="116" t="str">
        <f t="shared" si="25"/>
        <v>Calhoun, Brian</v>
      </c>
      <c r="EQ75"/>
    </row>
    <row r="76" spans="1:147" x14ac:dyDescent="0.25">
      <c r="A76" s="59">
        <f t="shared" si="26"/>
        <v>73</v>
      </c>
      <c r="B76" s="4" t="s">
        <v>890</v>
      </c>
      <c r="C76" s="5" t="s">
        <v>6</v>
      </c>
      <c r="D76" s="6" t="s">
        <v>781</v>
      </c>
      <c r="E76" s="6">
        <v>32.476466758096421</v>
      </c>
      <c r="F76" s="6">
        <v>32.476466758096421</v>
      </c>
      <c r="G76" s="5">
        <f t="shared" si="14"/>
        <v>1</v>
      </c>
      <c r="H76" s="8">
        <v>32.476466758096421</v>
      </c>
      <c r="I76" s="36"/>
      <c r="J76" s="7"/>
      <c r="K76" s="14"/>
      <c r="L76" s="7"/>
      <c r="M76" s="7"/>
      <c r="N76" s="7"/>
      <c r="O76" s="7"/>
      <c r="P76" s="7"/>
      <c r="Q76" s="7"/>
      <c r="R76" s="14"/>
      <c r="S76" s="14"/>
      <c r="T76" s="7"/>
      <c r="U76" s="7"/>
      <c r="V76" s="7"/>
      <c r="W76" s="7"/>
      <c r="X76" s="7"/>
      <c r="Y76" s="227"/>
      <c r="Z76" s="228"/>
      <c r="AA76" s="7"/>
      <c r="AB76" s="7"/>
      <c r="AC76" s="14"/>
      <c r="AD76" s="14"/>
      <c r="AE76" s="7"/>
      <c r="AF76" s="14"/>
      <c r="AG76" s="7"/>
      <c r="AH76" s="7"/>
      <c r="AI76" s="7"/>
      <c r="AJ76" s="7"/>
      <c r="AK76" s="7"/>
      <c r="AL76" s="7"/>
      <c r="AM76" s="7"/>
      <c r="AN76" s="7"/>
      <c r="AO76" s="74"/>
      <c r="AP76" s="7"/>
      <c r="AQ76" s="74"/>
      <c r="AR76" s="70"/>
      <c r="AS76" s="7"/>
      <c r="AT76" s="70"/>
      <c r="AU76" s="7"/>
      <c r="AV76" s="70"/>
      <c r="AW76" s="7"/>
      <c r="AX76" s="184"/>
      <c r="AY76" s="207"/>
      <c r="AZ76" s="14"/>
      <c r="BA76" s="14"/>
      <c r="BB76" s="14"/>
      <c r="BC76" s="7"/>
      <c r="BD76" s="7"/>
      <c r="BE76" s="7"/>
      <c r="BF76" s="14"/>
      <c r="BG76" s="14"/>
      <c r="BH76" s="14"/>
      <c r="BI76" s="14"/>
      <c r="BJ76" s="14"/>
      <c r="BK76" s="7"/>
      <c r="BL76" s="14"/>
      <c r="BM76" s="7"/>
      <c r="BN76" s="103"/>
      <c r="BO76" s="14"/>
      <c r="BP76" s="7"/>
      <c r="BQ76" s="7"/>
      <c r="BR76" s="7"/>
      <c r="BS76" s="7"/>
      <c r="BT76" s="7"/>
      <c r="BU76" s="7"/>
      <c r="BV76" s="7"/>
      <c r="BW76" s="7"/>
      <c r="BX76" s="7"/>
      <c r="BY76" s="14"/>
      <c r="BZ76" s="14"/>
      <c r="CA76" s="7"/>
      <c r="CB76" s="7"/>
      <c r="CC76" s="14"/>
      <c r="CD76" s="7"/>
      <c r="CE76" s="74">
        <f>(INDEX('Race 75'!$E$8:$E$200,(MATCH($B76,'Race 75'!$B$8:$B$200,0)),1))*100</f>
        <v>43.86621876268196</v>
      </c>
      <c r="CF76" s="14"/>
      <c r="CG76" s="14"/>
      <c r="CH76" s="7"/>
      <c r="CI76" s="14"/>
      <c r="CJ76" s="14"/>
      <c r="CK76" s="101"/>
      <c r="CL76" s="74"/>
      <c r="CM76" s="74"/>
      <c r="CN76" s="74"/>
      <c r="CO76" s="70"/>
      <c r="CP76" s="74"/>
      <c r="CQ76" s="7"/>
      <c r="CR76" s="74"/>
      <c r="CS76" s="74"/>
      <c r="CT76" s="74"/>
      <c r="CU76" s="74"/>
      <c r="CV76" s="7"/>
      <c r="CW76" s="14"/>
      <c r="CX76" s="7"/>
      <c r="CY76" s="7"/>
      <c r="CZ76" s="7"/>
      <c r="DA76" s="14"/>
      <c r="DB76" s="14"/>
      <c r="DC76" s="14"/>
      <c r="DD76" s="14"/>
      <c r="DE76" s="74"/>
      <c r="DF76" s="7"/>
      <c r="DG76" s="7"/>
      <c r="DH76" s="7"/>
      <c r="DI76" s="7"/>
      <c r="DJ76" s="14"/>
      <c r="DK76" s="7"/>
      <c r="DL76" s="7"/>
      <c r="DM76" s="14"/>
      <c r="DN76" s="14"/>
      <c r="DO76" s="14"/>
      <c r="DP76" s="14"/>
      <c r="DQ76" s="14"/>
      <c r="DR76" s="7"/>
      <c r="DS76" s="7"/>
      <c r="DT76" s="14"/>
      <c r="DU76" s="14"/>
      <c r="DV76" s="14"/>
      <c r="DW76" s="14"/>
      <c r="DX76" s="14"/>
      <c r="DY76" s="14"/>
      <c r="DZ76" s="8">
        <f t="shared" si="15"/>
        <v>43.86621876268196</v>
      </c>
      <c r="EA76" s="3" t="str">
        <f t="shared" si="16"/>
        <v>Campbell, Joel</v>
      </c>
      <c r="EB76" s="2">
        <f t="shared" si="17"/>
        <v>1</v>
      </c>
      <c r="EC76" s="112">
        <f>H76</f>
        <v>32.476466758096421</v>
      </c>
      <c r="ED76" s="29">
        <f t="shared" si="19"/>
        <v>43.15842066379571</v>
      </c>
      <c r="EE76" s="2">
        <f t="shared" si="20"/>
        <v>0</v>
      </c>
      <c r="EF76" s="46">
        <f t="shared" si="21"/>
        <v>0</v>
      </c>
      <c r="EG76" s="46">
        <f t="shared" si="22"/>
        <v>1</v>
      </c>
      <c r="EH76" s="29" t="str">
        <f t="shared" si="23"/>
        <v>KY</v>
      </c>
      <c r="EI76" s="29">
        <f>IF(COUNT(I76:Y76)&lt;5,DZ76,SUMPRODUCT(LARGE(I76:Y76,{1,2,3,4,5}))/5)</f>
        <v>43.86621876268196</v>
      </c>
      <c r="EJ76" s="29">
        <f>IF(COUNT(I76:AX76)&lt;5,DZ76,SUMPRODUCT(LARGE(I76:AX76,{1,2,3,4,5}))/5)</f>
        <v>43.86621876268196</v>
      </c>
      <c r="EK76" s="29">
        <f>IF(COUNT(I76:DY76)&lt;5,AVERAGE(I76:DY76),SUMPRODUCT(LARGE(I76:DY76,{1,2,3,4,5}))/5)</f>
        <v>43.86621876268196</v>
      </c>
      <c r="EL76" s="29">
        <f t="shared" si="24"/>
        <v>43.15842066379571</v>
      </c>
      <c r="EM76" s="116" t="str">
        <f t="shared" si="25"/>
        <v>Campbell, Joel</v>
      </c>
      <c r="EQ76"/>
    </row>
    <row r="77" spans="1:147" x14ac:dyDescent="0.25">
      <c r="A77" s="59">
        <f t="shared" si="26"/>
        <v>74</v>
      </c>
      <c r="B77" s="32" t="s">
        <v>1260</v>
      </c>
      <c r="C77" s="5" t="s">
        <v>6</v>
      </c>
      <c r="D77" s="6" t="s">
        <v>781</v>
      </c>
      <c r="E77" s="6">
        <v>0</v>
      </c>
      <c r="F77" s="6">
        <v>0</v>
      </c>
      <c r="G77" s="5">
        <f t="shared" si="14"/>
        <v>1</v>
      </c>
      <c r="H77" s="60">
        <v>0</v>
      </c>
      <c r="I77" s="36"/>
      <c r="J77" s="7"/>
      <c r="K77" s="7"/>
      <c r="L77" s="7"/>
      <c r="M77" s="7"/>
      <c r="N77" s="7"/>
      <c r="O77" s="7"/>
      <c r="P77" s="14"/>
      <c r="Q77" s="7"/>
      <c r="R77" s="14"/>
      <c r="S77" s="14"/>
      <c r="T77" s="7"/>
      <c r="U77" s="7"/>
      <c r="V77" s="14"/>
      <c r="W77" s="7"/>
      <c r="X77" s="14"/>
      <c r="Y77" s="227"/>
      <c r="Z77" s="228"/>
      <c r="AA77" s="7"/>
      <c r="AB77" s="7"/>
      <c r="AC77" s="14"/>
      <c r="AD77" s="14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4"/>
      <c r="AP77" s="7"/>
      <c r="AQ77" s="74"/>
      <c r="AR77" s="70"/>
      <c r="AS77" s="7"/>
      <c r="AT77" s="70"/>
      <c r="AU77" s="7"/>
      <c r="AV77" s="70"/>
      <c r="AW77" s="7"/>
      <c r="AX77" s="184"/>
      <c r="AY77" s="207"/>
      <c r="AZ77" s="14"/>
      <c r="BA77" s="14"/>
      <c r="BB77" s="7"/>
      <c r="BC77" s="7"/>
      <c r="BD77" s="7"/>
      <c r="BE77" s="7"/>
      <c r="BF77" s="14"/>
      <c r="BG77" s="14"/>
      <c r="BH77" s="14"/>
      <c r="BI77" s="70"/>
      <c r="BJ77" s="70"/>
      <c r="BK77" s="7"/>
      <c r="BL77" s="70"/>
      <c r="BM77" s="7"/>
      <c r="BN77" s="103"/>
      <c r="BO77" s="14"/>
      <c r="BP77" s="7"/>
      <c r="BQ77" s="7"/>
      <c r="BR77" s="7"/>
      <c r="BS77" s="7"/>
      <c r="BT77" s="7"/>
      <c r="BU77" s="7"/>
      <c r="BV77" s="7"/>
      <c r="BW77" s="7"/>
      <c r="BX77" s="7"/>
      <c r="BY77" s="14"/>
      <c r="BZ77" s="14"/>
      <c r="CA77" s="7"/>
      <c r="CB77" s="7"/>
      <c r="CC77" s="14"/>
      <c r="CD77" s="7"/>
      <c r="CE77" s="74"/>
      <c r="CF77" s="103">
        <f>(INDEX('Race 76'!$E$8:$E$200,(MATCH($B77,'Race 76'!$B$8:$B$200,0)),1))*100</f>
        <v>46.32871186124693</v>
      </c>
      <c r="CG77" s="14"/>
      <c r="CH77" s="7"/>
      <c r="CI77" s="14"/>
      <c r="CJ77" s="70"/>
      <c r="CK77" s="101"/>
      <c r="CL77" s="101"/>
      <c r="CM77" s="74"/>
      <c r="CN77" s="74"/>
      <c r="CO77" s="70"/>
      <c r="CP77" s="74"/>
      <c r="CQ77" s="7"/>
      <c r="CR77" s="74"/>
      <c r="CS77" s="74"/>
      <c r="CT77" s="74"/>
      <c r="CU77" s="74"/>
      <c r="CV77" s="7"/>
      <c r="CW77" s="14"/>
      <c r="CX77" s="7"/>
      <c r="CY77" s="7"/>
      <c r="CZ77" s="7"/>
      <c r="DA77" s="7"/>
      <c r="DB77" s="14"/>
      <c r="DC77" s="14"/>
      <c r="DD77" s="14"/>
      <c r="DE77" s="74"/>
      <c r="DF77" s="7"/>
      <c r="DG77" s="7"/>
      <c r="DH77" s="7"/>
      <c r="DI77" s="7"/>
      <c r="DJ77" s="14"/>
      <c r="DK77" s="7"/>
      <c r="DL77" s="7"/>
      <c r="DM77" s="14"/>
      <c r="DN77" s="14"/>
      <c r="DO77" s="14"/>
      <c r="DP77" s="14"/>
      <c r="DQ77" s="14"/>
      <c r="DR77" s="7"/>
      <c r="DS77" s="7"/>
      <c r="DT77" s="14"/>
      <c r="DU77" s="14"/>
      <c r="DV77" s="14"/>
      <c r="DW77" s="14"/>
      <c r="DX77" s="14"/>
      <c r="DY77" s="14"/>
      <c r="DZ77" s="8">
        <f t="shared" si="15"/>
        <v>46.32871186124693</v>
      </c>
      <c r="EA77" s="3" t="str">
        <f t="shared" si="16"/>
        <v>CAMPBELL, JOEL RAY</v>
      </c>
      <c r="EB77" s="2">
        <f t="shared" si="17"/>
        <v>1</v>
      </c>
      <c r="EC77" s="29">
        <v>0</v>
      </c>
      <c r="ED77" s="29">
        <f t="shared" si="19"/>
        <v>45.581180501030033</v>
      </c>
      <c r="EE77" s="2">
        <f t="shared" si="20"/>
        <v>0</v>
      </c>
      <c r="EF77" s="46">
        <f t="shared" si="21"/>
        <v>0</v>
      </c>
      <c r="EG77" s="46">
        <f t="shared" si="22"/>
        <v>1</v>
      </c>
      <c r="EH77" s="29" t="str">
        <f t="shared" si="23"/>
        <v>KY</v>
      </c>
      <c r="EI77" s="29">
        <f>IF(COUNT(I77:AD77)&lt;5,DZ77,SUMPRODUCT(LARGE(I77:AD77,{1,2,3,4,5}))/5)</f>
        <v>46.32871186124693</v>
      </c>
      <c r="EJ77" s="29">
        <f>IF(COUNT(I77:BE77)&lt;5,DZ77,SUMPRODUCT(LARGE(I77:BE77,{1,2,3,4,5}))/5)</f>
        <v>46.32871186124693</v>
      </c>
      <c r="EK77" s="29">
        <f>IF(COUNT(I77:DY77)&lt;5,AVERAGE(I77:DY77),SUMPRODUCT(LARGE(I77:DY77,{1,2,3,4,5}))/5)</f>
        <v>46.32871186124693</v>
      </c>
      <c r="EL77" s="29">
        <f t="shared" si="24"/>
        <v>45.581180501030033</v>
      </c>
      <c r="EM77" s="116" t="str">
        <f t="shared" si="25"/>
        <v>CAMPBELL, JOEL RAY</v>
      </c>
      <c r="EQ77"/>
    </row>
    <row r="78" spans="1:147" x14ac:dyDescent="0.25">
      <c r="A78" s="59">
        <f t="shared" si="26"/>
        <v>75</v>
      </c>
      <c r="B78" s="32" t="s">
        <v>1151</v>
      </c>
      <c r="C78" s="5" t="s">
        <v>6</v>
      </c>
      <c r="D78" s="6" t="s">
        <v>61</v>
      </c>
      <c r="E78" s="6">
        <v>0</v>
      </c>
      <c r="F78" s="6">
        <v>43.451365228896648</v>
      </c>
      <c r="G78" s="5">
        <f t="shared" si="14"/>
        <v>2</v>
      </c>
      <c r="H78" s="8">
        <v>0</v>
      </c>
      <c r="I78" s="36"/>
      <c r="J78" s="7"/>
      <c r="K78" s="14"/>
      <c r="L78" s="7"/>
      <c r="M78" s="14"/>
      <c r="N78" s="7"/>
      <c r="O78" s="7"/>
      <c r="P78" s="14"/>
      <c r="Q78" s="7"/>
      <c r="R78" s="7"/>
      <c r="S78" s="14"/>
      <c r="T78" s="7"/>
      <c r="U78" s="7"/>
      <c r="V78" s="14"/>
      <c r="W78" s="7"/>
      <c r="X78" s="14"/>
      <c r="Y78" s="227"/>
      <c r="Z78" s="228"/>
      <c r="AA78" s="7"/>
      <c r="AB78" s="7"/>
      <c r="AC78" s="14"/>
      <c r="AD78" s="14"/>
      <c r="AE78" s="7"/>
      <c r="AF78" s="14"/>
      <c r="AG78" s="7"/>
      <c r="AH78" s="7"/>
      <c r="AI78" s="7"/>
      <c r="AJ78" s="7"/>
      <c r="AK78" s="7"/>
      <c r="AL78" s="7"/>
      <c r="AM78" s="7"/>
      <c r="AN78" s="7"/>
      <c r="AO78" s="74"/>
      <c r="AP78" s="7"/>
      <c r="AQ78" s="74"/>
      <c r="AR78" s="70"/>
      <c r="AS78" s="7"/>
      <c r="AT78" s="70"/>
      <c r="AU78" s="7"/>
      <c r="AV78" s="70"/>
      <c r="AW78" s="7">
        <f>(INDEX('Race 41'!$E$8:$E$200,(MATCH($B78,'Race 41'!$B$8:$B$200,0)),1))*100</f>
        <v>42.2892426460267</v>
      </c>
      <c r="AX78" s="184">
        <f>(INDEX('Race 42'!$E$8:$E$200,(MATCH($B78,'Race 42'!$B$8:$B$200,0)),1))*100</f>
        <v>44.613487811766596</v>
      </c>
      <c r="AY78" s="207"/>
      <c r="AZ78" s="14"/>
      <c r="BA78" s="14"/>
      <c r="BB78" s="14"/>
      <c r="BC78" s="7"/>
      <c r="BD78" s="7"/>
      <c r="BE78" s="7"/>
      <c r="BF78" s="14"/>
      <c r="BG78" s="14"/>
      <c r="BH78" s="14"/>
      <c r="BI78" s="14"/>
      <c r="BJ78" s="14"/>
      <c r="BK78" s="7"/>
      <c r="BL78" s="14"/>
      <c r="BM78" s="7"/>
      <c r="BN78" s="103"/>
      <c r="BO78" s="14"/>
      <c r="BP78" s="7"/>
      <c r="BQ78" s="7"/>
      <c r="BR78" s="7"/>
      <c r="BS78" s="7"/>
      <c r="BT78" s="7"/>
      <c r="BU78" s="7"/>
      <c r="BV78" s="7"/>
      <c r="BW78" s="7"/>
      <c r="BX78" s="7"/>
      <c r="BY78" s="14"/>
      <c r="BZ78" s="14"/>
      <c r="CA78" s="7"/>
      <c r="CB78" s="7"/>
      <c r="CC78" s="103"/>
      <c r="CD78" s="7"/>
      <c r="CE78" s="7"/>
      <c r="CF78" s="14"/>
      <c r="CG78" s="7"/>
      <c r="CH78" s="70"/>
      <c r="CI78" s="14"/>
      <c r="CJ78" s="14"/>
      <c r="CK78" s="101"/>
      <c r="CL78" s="74"/>
      <c r="CM78" s="74"/>
      <c r="CN78" s="74"/>
      <c r="CO78" s="70"/>
      <c r="CP78" s="74"/>
      <c r="CQ78" s="7"/>
      <c r="CR78" s="74"/>
      <c r="CS78" s="74"/>
      <c r="CT78" s="74"/>
      <c r="CU78" s="74"/>
      <c r="CV78" s="7"/>
      <c r="CW78" s="7"/>
      <c r="CX78" s="7"/>
      <c r="CY78" s="7"/>
      <c r="CZ78" s="7"/>
      <c r="DA78" s="14"/>
      <c r="DB78" s="14"/>
      <c r="DC78" s="14"/>
      <c r="DD78" s="14"/>
      <c r="DE78" s="74"/>
      <c r="DF78" s="7"/>
      <c r="DG78" s="7"/>
      <c r="DH78" s="7"/>
      <c r="DI78" s="7"/>
      <c r="DJ78" s="14"/>
      <c r="DK78" s="7"/>
      <c r="DL78" s="7"/>
      <c r="DM78" s="14"/>
      <c r="DN78" s="14"/>
      <c r="DO78" s="14"/>
      <c r="DP78" s="14"/>
      <c r="DQ78" s="14"/>
      <c r="DR78" s="7"/>
      <c r="DS78" s="7"/>
      <c r="DT78" s="14"/>
      <c r="DU78" s="14"/>
      <c r="DV78" s="14"/>
      <c r="DW78" s="14"/>
      <c r="DX78" s="14"/>
      <c r="DY78" s="14"/>
      <c r="DZ78" s="8">
        <f t="shared" si="15"/>
        <v>43.451365228896648</v>
      </c>
      <c r="EA78" s="3" t="str">
        <f t="shared" si="16"/>
        <v>Carey, Sean</v>
      </c>
      <c r="EB78" s="2">
        <f t="shared" si="17"/>
        <v>1</v>
      </c>
      <c r="EC78" s="112">
        <f t="shared" ref="EC78:EC110" si="27">H78</f>
        <v>0</v>
      </c>
      <c r="ED78" s="29">
        <f t="shared" si="19"/>
        <v>42.750260949327675</v>
      </c>
      <c r="EE78" s="2">
        <f t="shared" si="20"/>
        <v>0</v>
      </c>
      <c r="EF78" s="46">
        <f t="shared" si="21"/>
        <v>2</v>
      </c>
      <c r="EG78" s="46">
        <f t="shared" si="22"/>
        <v>2</v>
      </c>
      <c r="EH78" s="29" t="str">
        <f t="shared" si="23"/>
        <v>AK</v>
      </c>
      <c r="EI78" s="29">
        <f>IF(COUNT(I78:AD78)&lt;5,DZ78,SUMPRODUCT(LARGE(I78:AD78,{1,2,3,4,5}))/5)</f>
        <v>43.451365228896648</v>
      </c>
      <c r="EJ78" s="29">
        <f>IF(COUNT(I78:AX78)&lt;5,DZ78,SUMPRODUCT(LARGE(I78:AX78,{1,2,3,4,5}))/5)</f>
        <v>43.451365228896648</v>
      </c>
      <c r="EK78" s="29">
        <f>IF(COUNT(I78:DY78)&lt;5,AVERAGE(I78:DY78),SUMPRODUCT(LARGE(I78:DY78,{1,2,3,4,5}))/5)</f>
        <v>43.451365228896648</v>
      </c>
      <c r="EL78" s="29">
        <f t="shared" si="24"/>
        <v>42.750260949327675</v>
      </c>
      <c r="EM78" s="116" t="str">
        <f t="shared" si="25"/>
        <v>Carey, Sean</v>
      </c>
      <c r="EQ78"/>
    </row>
    <row r="79" spans="1:147" x14ac:dyDescent="0.25">
      <c r="A79" s="59">
        <f t="shared" si="26"/>
        <v>76</v>
      </c>
      <c r="B79" s="32" t="s">
        <v>1308</v>
      </c>
      <c r="C79" s="5" t="s">
        <v>6</v>
      </c>
      <c r="D79" s="6" t="s">
        <v>69</v>
      </c>
      <c r="E79" s="6">
        <v>0</v>
      </c>
      <c r="F79" s="6">
        <v>0</v>
      </c>
      <c r="G79" s="5">
        <f t="shared" si="14"/>
        <v>1</v>
      </c>
      <c r="H79" s="8">
        <v>0</v>
      </c>
      <c r="I79" s="36"/>
      <c r="J79" s="7"/>
      <c r="K79" s="7"/>
      <c r="L79" s="7"/>
      <c r="M79" s="14"/>
      <c r="N79" s="7"/>
      <c r="O79" s="7"/>
      <c r="P79" s="7"/>
      <c r="Q79" s="7"/>
      <c r="R79" s="14"/>
      <c r="S79" s="14"/>
      <c r="T79" s="7"/>
      <c r="U79" s="7"/>
      <c r="V79" s="7"/>
      <c r="W79" s="7"/>
      <c r="X79" s="14"/>
      <c r="Y79" s="227"/>
      <c r="Z79" s="228"/>
      <c r="AA79" s="7"/>
      <c r="AB79" s="7"/>
      <c r="AC79" s="14"/>
      <c r="AD79" s="14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4"/>
      <c r="AP79" s="7"/>
      <c r="AQ79" s="74"/>
      <c r="AR79" s="70"/>
      <c r="AS79" s="7"/>
      <c r="AT79" s="70"/>
      <c r="AU79" s="7"/>
      <c r="AV79" s="70"/>
      <c r="AW79" s="7"/>
      <c r="AX79" s="184"/>
      <c r="AY79" s="207"/>
      <c r="AZ79" s="14"/>
      <c r="BA79" s="14"/>
      <c r="BB79" s="14"/>
      <c r="BC79" s="7"/>
      <c r="BD79" s="7"/>
      <c r="BE79" s="7"/>
      <c r="BF79" s="14"/>
      <c r="BG79" s="14"/>
      <c r="BH79" s="14"/>
      <c r="BI79" s="14"/>
      <c r="BJ79" s="14"/>
      <c r="BK79" s="7"/>
      <c r="BL79" s="14"/>
      <c r="BM79" s="7"/>
      <c r="BN79" s="103"/>
      <c r="BO79" s="14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14"/>
      <c r="CA79" s="7"/>
      <c r="CB79" s="70"/>
      <c r="CC79" s="14"/>
      <c r="CD79" s="7"/>
      <c r="CE79" s="7"/>
      <c r="CF79" s="74"/>
      <c r="CG79" s="14"/>
      <c r="CH79" s="7"/>
      <c r="CI79" s="14"/>
      <c r="CJ79" s="14"/>
      <c r="CK79" s="101">
        <f>(INDEX('Race 81'!$E$8:$E$200,(MATCH($B79,'Race 81'!$B$8:$B$200,0)),1))*100</f>
        <v>54.416823853784699</v>
      </c>
      <c r="CL79" s="74"/>
      <c r="CM79" s="74"/>
      <c r="CN79" s="74"/>
      <c r="CO79" s="70"/>
      <c r="CP79" s="74"/>
      <c r="CQ79" s="7"/>
      <c r="CR79" s="74"/>
      <c r="CS79" s="74"/>
      <c r="CT79" s="74"/>
      <c r="CU79" s="74"/>
      <c r="CV79" s="7"/>
      <c r="CW79" s="7"/>
      <c r="CX79" s="7"/>
      <c r="CY79" s="7"/>
      <c r="CZ79" s="7"/>
      <c r="DA79" s="7"/>
      <c r="DB79" s="14"/>
      <c r="DC79" s="14"/>
      <c r="DD79" s="14"/>
      <c r="DE79" s="74"/>
      <c r="DF79" s="74"/>
      <c r="DG79" s="74"/>
      <c r="DH79" s="7"/>
      <c r="DI79" s="7"/>
      <c r="DJ79" s="7"/>
      <c r="DK79" s="7"/>
      <c r="DL79" s="7"/>
      <c r="DM79" s="7"/>
      <c r="DN79" s="14"/>
      <c r="DO79" s="14"/>
      <c r="DP79" s="7"/>
      <c r="DQ79" s="14"/>
      <c r="DR79" s="7"/>
      <c r="DS79" s="7"/>
      <c r="DT79" s="14"/>
      <c r="DU79" s="14"/>
      <c r="DV79" s="14"/>
      <c r="DW79" s="14"/>
      <c r="DX79" s="14"/>
      <c r="DY79" s="14"/>
      <c r="DZ79" s="8">
        <f t="shared" si="15"/>
        <v>54.416823853784699</v>
      </c>
      <c r="EA79" s="3" t="str">
        <f t="shared" si="16"/>
        <v>CARRIHILL, Colin</v>
      </c>
      <c r="EB79" s="2">
        <f t="shared" si="17"/>
        <v>1</v>
      </c>
      <c r="EC79" s="112">
        <f t="shared" si="27"/>
        <v>0</v>
      </c>
      <c r="ED79" s="29">
        <f t="shared" si="19"/>
        <v>53.538787734931816</v>
      </c>
      <c r="EE79" s="2">
        <f t="shared" si="20"/>
        <v>0</v>
      </c>
      <c r="EF79" s="46">
        <f t="shared" si="21"/>
        <v>0</v>
      </c>
      <c r="EG79" s="46">
        <f t="shared" si="22"/>
        <v>1</v>
      </c>
      <c r="EH79" s="2" t="str">
        <f t="shared" si="23"/>
        <v>WA</v>
      </c>
      <c r="EI79" s="29">
        <f>IF(COUNT(I79:AD79)&lt;5,DZ79,SUMPRODUCT(LARGE(I79:AD79,{1,2,3,4,5}))/5)</f>
        <v>54.416823853784699</v>
      </c>
      <c r="EJ79" s="29">
        <f>IF(COUNT(I79:BE79)&lt;5,DZ79,SUMPRODUCT(LARGE(I79:BE79,{1,2,3,4,5}))/5)</f>
        <v>54.416823853784699</v>
      </c>
      <c r="EK79" s="29">
        <f>IF(COUNT(I79:DY79)&lt;5,AVERAGE(I79:DY79),SUMPRODUCT(LARGE(I79:DY79,{1,2,3,4,5}))/5)</f>
        <v>54.416823853784699</v>
      </c>
      <c r="EL79" s="29">
        <f t="shared" si="24"/>
        <v>53.538787734931816</v>
      </c>
      <c r="EM79" s="116" t="str">
        <f t="shared" si="25"/>
        <v>CARRIHILL, Colin</v>
      </c>
      <c r="EQ79"/>
    </row>
    <row r="80" spans="1:147" x14ac:dyDescent="0.25">
      <c r="A80" s="59">
        <f t="shared" si="26"/>
        <v>77</v>
      </c>
      <c r="B80" s="32" t="s">
        <v>713</v>
      </c>
      <c r="C80" s="5" t="s">
        <v>16</v>
      </c>
      <c r="D80" s="6" t="s">
        <v>87</v>
      </c>
      <c r="E80" s="6">
        <v>81.547058940732953</v>
      </c>
      <c r="F80" s="6">
        <v>81.547058940732953</v>
      </c>
      <c r="G80" s="5">
        <f t="shared" si="14"/>
        <v>6</v>
      </c>
      <c r="H80" s="8">
        <v>78.60794886388625</v>
      </c>
      <c r="I80" s="36"/>
      <c r="J80" s="7"/>
      <c r="K80" s="14"/>
      <c r="L80" s="7"/>
      <c r="M80" s="14"/>
      <c r="N80" s="7"/>
      <c r="O80" s="7">
        <f>(INDEX('Race 7'!$E$8:$E$200,(MATCH($B80,'Race 7'!$B$8:$B$200,0)),1))*100</f>
        <v>84.804447265731085</v>
      </c>
      <c r="P80" s="14"/>
      <c r="Q80" s="7">
        <f>(INDEX('Race 9'!$E$8:$E$200,(MATCH($B80,'Race 9'!$B$8:$B$200,0)),1))*100</f>
        <v>72.691241677655398</v>
      </c>
      <c r="R80" s="14"/>
      <c r="S80" s="14">
        <f>(INDEX('Race 11'!$E$8:$E$200,(MATCH($B80,'Race 11'!$B$8:$B$200,0)),1))*100</f>
        <v>79.426750259656956</v>
      </c>
      <c r="T80" s="7"/>
      <c r="U80" s="7"/>
      <c r="V80" s="14">
        <f>(INDEX('Race 14'!$E$8:$E$200,(MATCH($B80,'Race 14'!$B$8:$B$200,0)),1))*100</f>
        <v>79.266685275682605</v>
      </c>
      <c r="W80" s="7"/>
      <c r="X80" s="7">
        <f>(INDEX('Race 16'!$E$8:$E$200,(MATCH($B80,'Race 16'!$B$8:$B$200,0)),1))*100</f>
        <v>86.272244580315871</v>
      </c>
      <c r="Y80" s="227">
        <f>(INDEX('Race 17'!$E$8:$E$200,(MATCH($B80,'Race 17'!$B$8:$B$200,0)),1))*100</f>
        <v>77.965167322278234</v>
      </c>
      <c r="Z80" s="228"/>
      <c r="AA80" s="7"/>
      <c r="AB80" s="7"/>
      <c r="AC80" s="14"/>
      <c r="AD80" s="7"/>
      <c r="AE80" s="74"/>
      <c r="AF80" s="7"/>
      <c r="AG80" s="7"/>
      <c r="AH80" s="7"/>
      <c r="AI80" s="7"/>
      <c r="AJ80" s="7"/>
      <c r="AK80" s="7"/>
      <c r="AL80" s="7"/>
      <c r="AM80" s="7"/>
      <c r="AN80" s="7"/>
      <c r="AO80" s="74"/>
      <c r="AP80" s="7"/>
      <c r="AQ80" s="74"/>
      <c r="AR80" s="70"/>
      <c r="AS80" s="7"/>
      <c r="AT80" s="7"/>
      <c r="AU80" s="7"/>
      <c r="AV80" s="7"/>
      <c r="AW80" s="7"/>
      <c r="AX80" s="185"/>
      <c r="AY80" s="208"/>
      <c r="AZ80" s="14"/>
      <c r="BA80" s="14"/>
      <c r="BB80" s="14"/>
      <c r="BC80" s="7"/>
      <c r="BD80" s="7"/>
      <c r="BE80" s="7"/>
      <c r="BF80" s="14"/>
      <c r="BG80" s="14"/>
      <c r="BH80" s="14"/>
      <c r="BI80" s="14"/>
      <c r="BJ80" s="14"/>
      <c r="BK80" s="7"/>
      <c r="BL80" s="14"/>
      <c r="BM80" s="7"/>
      <c r="BN80" s="103"/>
      <c r="BO80" s="14"/>
      <c r="BP80" s="7"/>
      <c r="BQ80" s="7"/>
      <c r="BR80" s="7"/>
      <c r="BS80" s="7"/>
      <c r="BT80" s="7"/>
      <c r="BU80" s="7"/>
      <c r="BV80" s="7"/>
      <c r="BW80" s="7"/>
      <c r="BX80" s="7"/>
      <c r="BY80" s="14"/>
      <c r="BZ80" s="14"/>
      <c r="CA80" s="7"/>
      <c r="CB80" s="7"/>
      <c r="CC80" s="103"/>
      <c r="CD80" s="7"/>
      <c r="CE80" s="7"/>
      <c r="CF80" s="14"/>
      <c r="CG80" s="14"/>
      <c r="CH80" s="7"/>
      <c r="CI80" s="14"/>
      <c r="CJ80" s="7"/>
      <c r="CK80" s="70"/>
      <c r="CL80" s="7"/>
      <c r="CM80" s="74"/>
      <c r="CN80" s="74"/>
      <c r="CO80" s="70"/>
      <c r="CP80" s="74"/>
      <c r="CQ80" s="7"/>
      <c r="CR80" s="74"/>
      <c r="CS80" s="74"/>
      <c r="CT80" s="74"/>
      <c r="CU80" s="74"/>
      <c r="CV80" s="7"/>
      <c r="CW80" s="14"/>
      <c r="CX80" s="7"/>
      <c r="CY80" s="7"/>
      <c r="CZ80" s="7"/>
      <c r="DA80" s="14"/>
      <c r="DB80" s="103"/>
      <c r="DC80" s="14"/>
      <c r="DD80" s="14"/>
      <c r="DE80" s="74"/>
      <c r="DF80" s="74"/>
      <c r="DG80" s="74"/>
      <c r="DH80" s="74"/>
      <c r="DI80" s="74"/>
      <c r="DJ80" s="103"/>
      <c r="DK80" s="7"/>
      <c r="DL80" s="74"/>
      <c r="DM80" s="103"/>
      <c r="DN80" s="14"/>
      <c r="DO80" s="103"/>
      <c r="DP80" s="7"/>
      <c r="DQ80" s="7"/>
      <c r="DR80" s="7"/>
      <c r="DS80" s="7"/>
      <c r="DT80" s="14"/>
      <c r="DU80" s="14"/>
      <c r="DV80" s="14"/>
      <c r="DW80" s="14"/>
      <c r="DX80" s="14"/>
      <c r="DY80" s="14"/>
      <c r="DZ80" s="8">
        <f t="shared" si="15"/>
        <v>80.071089396886691</v>
      </c>
      <c r="EA80" s="3" t="str">
        <f t="shared" si="16"/>
        <v>Carroll, Peter</v>
      </c>
      <c r="EB80" s="2">
        <f t="shared" si="17"/>
        <v>1</v>
      </c>
      <c r="EC80" s="112">
        <f t="shared" si="27"/>
        <v>78.60794886388625</v>
      </c>
      <c r="ED80" s="29">
        <f t="shared" si="19"/>
        <v>80.231266175455474</v>
      </c>
      <c r="EE80" s="2">
        <f t="shared" si="20"/>
        <v>6</v>
      </c>
      <c r="EF80" s="46">
        <f t="shared" si="21"/>
        <v>6</v>
      </c>
      <c r="EG80" s="46">
        <f t="shared" si="22"/>
        <v>6</v>
      </c>
      <c r="EH80" s="2" t="str">
        <f t="shared" si="23"/>
        <v>CA</v>
      </c>
      <c r="EI80" s="112">
        <f>IF(COUNT(I80:Y80)&lt;5,DZ80,SUMPRODUCT(LARGE(I80:Y80,{1,2,3,4,5}))/5)</f>
        <v>81.547058940732953</v>
      </c>
      <c r="EJ80" s="29">
        <f>IF(COUNT(I80:AX80)&lt;5,DZ80,SUMPRODUCT(LARGE(I80:AX80,{1,2,3,4,5}))/5)</f>
        <v>81.547058940732953</v>
      </c>
      <c r="EK80" s="29">
        <f>IF(COUNT(I80:DY80)&lt;5,AVERAGE(I80:DY80),SUMPRODUCT(LARGE(I80:DY80,{1,2,3,4,5}))/5)</f>
        <v>81.547058940732953</v>
      </c>
      <c r="EL80" s="29">
        <f t="shared" si="24"/>
        <v>80.231266175455474</v>
      </c>
      <c r="EM80" s="116" t="str">
        <f t="shared" si="25"/>
        <v>Carroll, Peter</v>
      </c>
      <c r="EQ80"/>
    </row>
    <row r="81" spans="1:147" x14ac:dyDescent="0.25">
      <c r="A81" s="59">
        <f t="shared" si="26"/>
        <v>78</v>
      </c>
      <c r="B81" s="32" t="s">
        <v>880</v>
      </c>
      <c r="C81" s="5" t="s">
        <v>6</v>
      </c>
      <c r="D81" s="6" t="s">
        <v>88</v>
      </c>
      <c r="E81" s="6">
        <v>56.590545113529153</v>
      </c>
      <c r="F81" s="6">
        <v>56.590545113529153</v>
      </c>
      <c r="G81" s="5">
        <f t="shared" si="14"/>
        <v>2</v>
      </c>
      <c r="H81" s="8">
        <v>56.590545113529153</v>
      </c>
      <c r="I81" s="36"/>
      <c r="J81" s="7"/>
      <c r="K81" s="14"/>
      <c r="L81" s="7"/>
      <c r="M81" s="14"/>
      <c r="N81" s="7"/>
      <c r="O81" s="7"/>
      <c r="P81" s="14"/>
      <c r="Q81" s="7"/>
      <c r="R81" s="14"/>
      <c r="S81" s="14"/>
      <c r="T81" s="7"/>
      <c r="U81" s="7"/>
      <c r="V81" s="14"/>
      <c r="W81" s="7"/>
      <c r="X81" s="14"/>
      <c r="Y81" s="227"/>
      <c r="Z81" s="228"/>
      <c r="AA81" s="7"/>
      <c r="AB81" s="7"/>
      <c r="AC81" s="14"/>
      <c r="AD81" s="7"/>
      <c r="AE81" s="7"/>
      <c r="AF81" s="14"/>
      <c r="AG81" s="7"/>
      <c r="AH81" s="7"/>
      <c r="AI81" s="7"/>
      <c r="AJ81" s="7"/>
      <c r="AK81" s="7"/>
      <c r="AL81" s="7"/>
      <c r="AM81" s="7"/>
      <c r="AN81" s="7"/>
      <c r="AO81" s="74"/>
      <c r="AP81" s="7"/>
      <c r="AQ81" s="74"/>
      <c r="AR81" s="70"/>
      <c r="AS81" s="7"/>
      <c r="AT81" s="70"/>
      <c r="AU81" s="7"/>
      <c r="AV81" s="70"/>
      <c r="AW81" s="7"/>
      <c r="AX81" s="184"/>
      <c r="AY81" s="207"/>
      <c r="AZ81" s="7"/>
      <c r="BA81" s="7"/>
      <c r="BB81" s="7"/>
      <c r="BC81" s="7"/>
      <c r="BD81" s="7"/>
      <c r="BE81" s="7"/>
      <c r="BF81" s="14"/>
      <c r="BG81" s="14"/>
      <c r="BH81" s="14">
        <f>(INDEX('Race 52'!$E$8:$E$200,(MATCH($B81,'Race 52'!$B$8:$B$200,0)),1))*100</f>
        <v>60.491440821632935</v>
      </c>
      <c r="BI81" s="14"/>
      <c r="BJ81" s="14"/>
      <c r="BK81" s="7"/>
      <c r="BL81" s="14"/>
      <c r="BM81" s="7"/>
      <c r="BN81" s="103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14"/>
      <c r="BZ81" s="14"/>
      <c r="CA81" s="7"/>
      <c r="CB81" s="7"/>
      <c r="CC81" s="14"/>
      <c r="CD81" s="7">
        <f>(INDEX('Race 74'!$E$8:$E$200,(MATCH($B81,'Race 74'!$B$8:$B$200,0)),1))*100</f>
        <v>62.862278899688128</v>
      </c>
      <c r="CE81" s="7"/>
      <c r="CF81" s="7"/>
      <c r="CG81" s="14"/>
      <c r="CH81" s="7"/>
      <c r="CI81" s="14"/>
      <c r="CJ81" s="14"/>
      <c r="CK81" s="101"/>
      <c r="CL81" s="101"/>
      <c r="CM81" s="74"/>
      <c r="CN81" s="101"/>
      <c r="CO81" s="70"/>
      <c r="CP81" s="74"/>
      <c r="CQ81" s="7"/>
      <c r="CR81" s="74"/>
      <c r="CS81" s="74"/>
      <c r="CT81" s="74"/>
      <c r="CU81" s="74"/>
      <c r="CV81" s="7"/>
      <c r="CW81" s="14"/>
      <c r="CX81" s="7"/>
      <c r="CY81" s="7"/>
      <c r="CZ81" s="7"/>
      <c r="DA81" s="14"/>
      <c r="DB81" s="14"/>
      <c r="DC81" s="14"/>
      <c r="DD81" s="14"/>
      <c r="DE81" s="74"/>
      <c r="DF81" s="74"/>
      <c r="DG81" s="74"/>
      <c r="DH81" s="7"/>
      <c r="DI81" s="74"/>
      <c r="DJ81" s="14"/>
      <c r="DK81" s="7"/>
      <c r="DL81" s="7"/>
      <c r="DM81" s="14"/>
      <c r="DN81" s="14"/>
      <c r="DO81" s="14"/>
      <c r="DP81" s="14"/>
      <c r="DQ81" s="14"/>
      <c r="DR81" s="7"/>
      <c r="DS81" s="7"/>
      <c r="DT81" s="14"/>
      <c r="DU81" s="14"/>
      <c r="DV81" s="14"/>
      <c r="DW81" s="14"/>
      <c r="DX81" s="14"/>
      <c r="DY81" s="14"/>
      <c r="DZ81" s="8">
        <f t="shared" si="15"/>
        <v>61.676859860660528</v>
      </c>
      <c r="EA81" s="3" t="str">
        <f t="shared" si="16"/>
        <v>Cavanaugh, Mike</v>
      </c>
      <c r="EB81" s="2">
        <f t="shared" si="17"/>
        <v>1</v>
      </c>
      <c r="EC81" s="112">
        <f t="shared" si="27"/>
        <v>56.590545113529153</v>
      </c>
      <c r="ED81" s="29">
        <f t="shared" si="19"/>
        <v>60.681680303680167</v>
      </c>
      <c r="EE81" s="2">
        <f t="shared" si="20"/>
        <v>0</v>
      </c>
      <c r="EF81" s="46">
        <f t="shared" si="21"/>
        <v>1</v>
      </c>
      <c r="EG81" s="46">
        <f t="shared" si="22"/>
        <v>2</v>
      </c>
      <c r="EH81" s="29" t="str">
        <f t="shared" si="23"/>
        <v>WI</v>
      </c>
      <c r="EI81" s="29">
        <f>IF(COUNT(I81:Y81)&lt;5,DZ81,SUMPRODUCT(LARGE(I81:Y81,{1,2,3,4,5}))/5)</f>
        <v>61.676859860660528</v>
      </c>
      <c r="EJ81" s="29">
        <f>IF(COUNT(I81:AX81)&lt;5,DZ81,SUMPRODUCT(LARGE(I81:AX81,{1,2,3,4,5}))/5)</f>
        <v>61.676859860660528</v>
      </c>
      <c r="EK81" s="29">
        <f>IF(COUNT(I81:DY81)&lt;5,AVERAGE(I81:DY81),SUMPRODUCT(LARGE(I81:DY81,{1,2,3,4,5}))/5)</f>
        <v>61.676859860660528</v>
      </c>
      <c r="EL81" s="29">
        <f t="shared" si="24"/>
        <v>60.681680303680167</v>
      </c>
      <c r="EM81" s="116" t="str">
        <f t="shared" si="25"/>
        <v>Cavanaugh, Mike</v>
      </c>
      <c r="EQ81"/>
    </row>
    <row r="82" spans="1:147" x14ac:dyDescent="0.25">
      <c r="A82" s="59">
        <f t="shared" si="26"/>
        <v>79</v>
      </c>
      <c r="B82" s="186" t="s">
        <v>1032</v>
      </c>
      <c r="C82" s="106" t="s">
        <v>16</v>
      </c>
      <c r="D82" s="187" t="s">
        <v>58</v>
      </c>
      <c r="E82" s="6">
        <v>64.350516216877935</v>
      </c>
      <c r="F82" s="6">
        <v>64.350516216877935</v>
      </c>
      <c r="G82" s="5">
        <f t="shared" si="14"/>
        <v>1</v>
      </c>
      <c r="H82" s="8">
        <v>0</v>
      </c>
      <c r="I82" s="107"/>
      <c r="J82" s="74"/>
      <c r="K82" s="103"/>
      <c r="L82" s="74"/>
      <c r="M82" s="103"/>
      <c r="N82" s="74"/>
      <c r="O82" s="74"/>
      <c r="P82" s="103"/>
      <c r="Q82" s="74"/>
      <c r="R82" s="103"/>
      <c r="S82" s="103"/>
      <c r="T82" s="74"/>
      <c r="U82" s="74"/>
      <c r="V82" s="103"/>
      <c r="W82" s="7">
        <f>(INDEX('Race 15'!$E$8:$E$200,(MATCH($B82,'Race 15'!$B$8:$B$200,0)),1))*100</f>
        <v>64.350516216877935</v>
      </c>
      <c r="X82" s="103"/>
      <c r="Y82" s="229"/>
      <c r="Z82" s="230"/>
      <c r="AA82" s="74"/>
      <c r="AB82" s="74"/>
      <c r="AC82" s="103"/>
      <c r="AD82" s="103"/>
      <c r="AE82" s="74"/>
      <c r="AF82" s="103"/>
      <c r="AG82" s="103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101"/>
      <c r="AS82" s="74"/>
      <c r="AT82" s="101"/>
      <c r="AU82" s="74"/>
      <c r="AV82" s="101"/>
      <c r="AW82" s="74"/>
      <c r="AX82" s="184"/>
      <c r="AY82" s="207"/>
      <c r="AZ82" s="103"/>
      <c r="BA82" s="74"/>
      <c r="BB82" s="74"/>
      <c r="BC82" s="74"/>
      <c r="BD82" s="7"/>
      <c r="BE82" s="7"/>
      <c r="BF82" s="103"/>
      <c r="BG82" s="74"/>
      <c r="BH82" s="74"/>
      <c r="BI82" s="103"/>
      <c r="BJ82" s="103"/>
      <c r="BK82" s="74"/>
      <c r="BL82" s="103"/>
      <c r="BM82" s="74"/>
      <c r="BN82" s="103"/>
      <c r="BO82" s="103"/>
      <c r="BP82" s="7"/>
      <c r="BQ82" s="7"/>
      <c r="BR82" s="74"/>
      <c r="BS82" s="7"/>
      <c r="BT82" s="7"/>
      <c r="BU82" s="74"/>
      <c r="BV82" s="74"/>
      <c r="BW82" s="74"/>
      <c r="BX82" s="74"/>
      <c r="BY82" s="74"/>
      <c r="BZ82" s="103"/>
      <c r="CA82" s="7"/>
      <c r="CB82" s="74"/>
      <c r="CC82" s="103"/>
      <c r="CD82" s="74"/>
      <c r="CE82" s="74"/>
      <c r="CF82" s="103"/>
      <c r="CG82" s="103"/>
      <c r="CH82" s="74"/>
      <c r="CI82" s="103"/>
      <c r="CJ82" s="103"/>
      <c r="CK82" s="101"/>
      <c r="CL82" s="74"/>
      <c r="CM82" s="74"/>
      <c r="CN82" s="74"/>
      <c r="CO82" s="101"/>
      <c r="CP82" s="74"/>
      <c r="CQ82" s="74"/>
      <c r="CR82" s="74"/>
      <c r="CS82" s="74"/>
      <c r="CT82" s="74"/>
      <c r="CU82" s="74"/>
      <c r="CV82" s="74"/>
      <c r="CW82" s="103"/>
      <c r="CX82" s="7"/>
      <c r="CY82" s="7"/>
      <c r="CZ82" s="74"/>
      <c r="DA82" s="103"/>
      <c r="DB82" s="103"/>
      <c r="DC82" s="103"/>
      <c r="DD82" s="103"/>
      <c r="DE82" s="74"/>
      <c r="DF82" s="74"/>
      <c r="DG82" s="74"/>
      <c r="DH82" s="74"/>
      <c r="DI82" s="74"/>
      <c r="DJ82" s="74"/>
      <c r="DK82" s="74"/>
      <c r="DL82" s="74"/>
      <c r="DM82" s="103"/>
      <c r="DN82" s="103"/>
      <c r="DO82" s="103"/>
      <c r="DP82" s="103"/>
      <c r="DQ82" s="103"/>
      <c r="DR82" s="74"/>
      <c r="DS82" s="74"/>
      <c r="DT82" s="103"/>
      <c r="DU82" s="103"/>
      <c r="DV82" s="103"/>
      <c r="DW82" s="103"/>
      <c r="DX82" s="103"/>
      <c r="DY82" s="103"/>
      <c r="DZ82" s="8">
        <f t="shared" si="15"/>
        <v>64.350516216877935</v>
      </c>
      <c r="EA82" s="3" t="str">
        <f t="shared" si="16"/>
        <v>Cervenka, Matej</v>
      </c>
      <c r="EB82" s="2">
        <f t="shared" si="17"/>
        <v>1</v>
      </c>
      <c r="EC82" s="112">
        <f t="shared" si="27"/>
        <v>0</v>
      </c>
      <c r="ED82" s="29">
        <f t="shared" si="19"/>
        <v>63.312196199210874</v>
      </c>
      <c r="EE82" s="2">
        <f t="shared" si="20"/>
        <v>1</v>
      </c>
      <c r="EF82" s="46">
        <f t="shared" si="21"/>
        <v>1</v>
      </c>
      <c r="EG82" s="46">
        <f t="shared" si="22"/>
        <v>1</v>
      </c>
      <c r="EH82" s="29" t="str">
        <f t="shared" si="23"/>
        <v>MN</v>
      </c>
      <c r="EI82" s="29">
        <f>IF(COUNT(I82:Y82)&lt;5,DZ82,SUMPRODUCT(LARGE(I82:Y82,{1,2,3,4,5}))/5)</f>
        <v>64.350516216877935</v>
      </c>
      <c r="EJ82" s="29">
        <f>IF(COUNT(I82:AX82)&lt;5,DZ82,SUMPRODUCT(LARGE(I82:AX82,{1,2,3,4,5}))/5)</f>
        <v>64.350516216877935</v>
      </c>
      <c r="EK82" s="29">
        <f>IF(COUNT(I82:DY82)&lt;5,AVERAGE(I82:DY82),SUMPRODUCT(LARGE(I82:DY82,{1,2,3,4,5}))/5)</f>
        <v>64.350516216877935</v>
      </c>
      <c r="EL82" s="29">
        <f t="shared" si="24"/>
        <v>63.312196199210874</v>
      </c>
      <c r="EM82" s="116" t="str">
        <f t="shared" si="25"/>
        <v>Cervenka, Matej</v>
      </c>
      <c r="EQ82"/>
    </row>
    <row r="83" spans="1:147" x14ac:dyDescent="0.25">
      <c r="A83" s="59">
        <f t="shared" si="26"/>
        <v>80</v>
      </c>
      <c r="B83" s="32" t="s">
        <v>756</v>
      </c>
      <c r="C83" s="5" t="s">
        <v>16</v>
      </c>
      <c r="D83" s="6" t="s">
        <v>58</v>
      </c>
      <c r="E83" s="6">
        <v>93.114680449247487</v>
      </c>
      <c r="F83" s="6">
        <v>93.114680449247487</v>
      </c>
      <c r="G83" s="5">
        <f t="shared" si="14"/>
        <v>13</v>
      </c>
      <c r="H83" s="8">
        <v>85.052444447965044</v>
      </c>
      <c r="I83" s="107"/>
      <c r="J83" s="7"/>
      <c r="K83" s="14"/>
      <c r="L83" s="7"/>
      <c r="M83" s="14"/>
      <c r="N83" s="7"/>
      <c r="O83" s="7"/>
      <c r="P83" s="14"/>
      <c r="Q83" s="7">
        <f>(INDEX('Race 9'!$E$8:$E$200,(MATCH($B83,'Race 9'!$B$8:$B$200,0)),1))*100</f>
        <v>90.433169608819412</v>
      </c>
      <c r="R83" s="14"/>
      <c r="S83" s="14">
        <f>(INDEX('Race 11'!$E$8:$E$200,(MATCH($B83,'Race 11'!$B$8:$B$200,0)),1))*100</f>
        <v>89.83435727402906</v>
      </c>
      <c r="T83" s="7">
        <f>(INDEX('Race 12'!$E$8:$E$200,(MATCH($B83,'Race 12'!$B$8:$B$200,0)),1))*100</f>
        <v>89.882858498404801</v>
      </c>
      <c r="U83" s="7"/>
      <c r="V83" s="14">
        <f>(INDEX('Race 14'!$E$8:$E$200,(MATCH($B83,'Race 14'!$B$8:$B$200,0)),1))*100</f>
        <v>98.011698970431311</v>
      </c>
      <c r="W83" s="7">
        <f>(INDEX('Race 15'!$E$8:$E$200,(MATCH($B83,'Race 15'!$B$8:$B$200,0)),1))*100</f>
        <v>91.081312318718545</v>
      </c>
      <c r="X83" s="14">
        <f>(INDEX('Race 16'!$E$8:$E$200,(MATCH($B83,'Race 16'!$B$8:$B$200,0)),1))*100</f>
        <v>96.164362849863366</v>
      </c>
      <c r="Y83" s="227">
        <f>(INDEX('Race 17'!$E$8:$E$200,(MATCH($B83,'Race 17'!$B$8:$B$200,0)),1))*100</f>
        <v>89.184221685521294</v>
      </c>
      <c r="Z83" s="228"/>
      <c r="AA83" s="7"/>
      <c r="AB83" s="7"/>
      <c r="AC83" s="14"/>
      <c r="AD83" s="14"/>
      <c r="AE83" s="74"/>
      <c r="AF83" s="7"/>
      <c r="AG83" s="7"/>
      <c r="AH83" s="7"/>
      <c r="AI83" s="7"/>
      <c r="AJ83" s="7"/>
      <c r="AK83" s="7"/>
      <c r="AL83" s="7"/>
      <c r="AM83" s="7"/>
      <c r="AN83" s="7"/>
      <c r="AO83" s="74"/>
      <c r="AP83" s="7"/>
      <c r="AQ83" s="74"/>
      <c r="AR83" s="70"/>
      <c r="AS83" s="7"/>
      <c r="AT83" s="7"/>
      <c r="AU83" s="7"/>
      <c r="AV83" s="7"/>
      <c r="AW83" s="7"/>
      <c r="AX83" s="184"/>
      <c r="AY83" s="207"/>
      <c r="AZ83" s="7"/>
      <c r="BA83" s="14"/>
      <c r="BB83" s="14"/>
      <c r="BC83" s="7"/>
      <c r="BD83" s="7"/>
      <c r="BE83" s="7"/>
      <c r="BF83" s="14"/>
      <c r="BG83" s="14"/>
      <c r="BH83" s="14"/>
      <c r="BI83" s="14"/>
      <c r="BJ83" s="14"/>
      <c r="BK83" s="7"/>
      <c r="BL83" s="14"/>
      <c r="BM83" s="7"/>
      <c r="BN83" s="103"/>
      <c r="BO83" s="14"/>
      <c r="BP83" s="7"/>
      <c r="BQ83" s="7"/>
      <c r="BR83" s="7"/>
      <c r="BS83" s="7"/>
      <c r="BT83" s="7"/>
      <c r="BU83" s="7">
        <f>(INDEX('Race 65'!$E$8:$E$200,(MATCH($B83,'Race 65'!$B$8:$B$200,0)),1))*100</f>
        <v>92.42877131500309</v>
      </c>
      <c r="BV83" s="7">
        <f>(INDEX('Race 66'!$E$8:$E$200,(MATCH($B83,'Race 66'!$B$8:$B$200,0)),1))*100</f>
        <v>94.94839775226967</v>
      </c>
      <c r="BW83" s="7">
        <f>(INDEX('Race 67'!$E$8:$E$200,(MATCH($B83,'Race 67'!$B$8:$B$200,0)),1))*100</f>
        <v>93.067035877957025</v>
      </c>
      <c r="BX83" s="7">
        <f>(INDEX('Race 68'!$E$8:$E$200,(MATCH($B83,'Race 68'!$B$8:$B$200,0)),1))*100</f>
        <v>96.158015897442269</v>
      </c>
      <c r="BY83" s="14"/>
      <c r="BZ83" s="14">
        <f>(INDEX('Race 70'!$E$8:$E$200,(MATCH($B83,'Race 70'!$B$8:$B$200,0)),1))*100</f>
        <v>91.734626407912046</v>
      </c>
      <c r="CA83" s="7"/>
      <c r="CB83" s="74"/>
      <c r="CC83" s="14">
        <f>(INDEX('Race 73'!$E$8:$E$200,(MATCH($B83,'Race 73'!$B$8:$B$200,0)),1))*100</f>
        <v>92.115143064821453</v>
      </c>
      <c r="CD83" s="7"/>
      <c r="CE83" s="7"/>
      <c r="CF83" s="14"/>
      <c r="CG83" s="14"/>
      <c r="CH83" s="74"/>
      <c r="CI83" s="14"/>
      <c r="CJ83" s="14"/>
      <c r="CK83" s="70"/>
      <c r="CL83" s="74"/>
      <c r="CM83" s="7"/>
      <c r="CN83" s="74"/>
      <c r="CO83" s="70"/>
      <c r="CP83" s="74"/>
      <c r="CQ83" s="7"/>
      <c r="CR83" s="74"/>
      <c r="CS83" s="74"/>
      <c r="CT83" s="74"/>
      <c r="CU83" s="74"/>
      <c r="CV83" s="7"/>
      <c r="CW83" s="14"/>
      <c r="CX83" s="7"/>
      <c r="CY83" s="7"/>
      <c r="CZ83" s="7"/>
      <c r="DA83" s="14"/>
      <c r="DB83" s="14"/>
      <c r="DC83" s="14"/>
      <c r="DD83" s="14"/>
      <c r="DE83" s="74"/>
      <c r="DF83" s="74"/>
      <c r="DG83" s="74"/>
      <c r="DH83" s="7"/>
      <c r="DI83" s="74"/>
      <c r="DJ83" s="7"/>
      <c r="DK83" s="7"/>
      <c r="DL83" s="7"/>
      <c r="DM83" s="7"/>
      <c r="DN83" s="14"/>
      <c r="DO83" s="14"/>
      <c r="DP83" s="14"/>
      <c r="DQ83" s="14"/>
      <c r="DR83" s="7"/>
      <c r="DS83" s="7"/>
      <c r="DT83" s="14"/>
      <c r="DU83" s="14"/>
      <c r="DV83" s="14"/>
      <c r="DW83" s="14"/>
      <c r="DX83" s="14"/>
      <c r="DY83" s="14"/>
      <c r="DZ83" s="8">
        <f t="shared" si="15"/>
        <v>92.695690117014863</v>
      </c>
      <c r="EA83" s="3" t="str">
        <f t="shared" si="16"/>
        <v>Cervenka, Vasek</v>
      </c>
      <c r="EB83" s="2">
        <f t="shared" si="17"/>
        <v>1</v>
      </c>
      <c r="EC83" s="112">
        <f t="shared" si="27"/>
        <v>85.052444447965044</v>
      </c>
      <c r="ED83" s="29">
        <f t="shared" si="19"/>
        <v>94.126232063747281</v>
      </c>
      <c r="EE83" s="2">
        <f t="shared" si="20"/>
        <v>7</v>
      </c>
      <c r="EF83" s="46">
        <f t="shared" si="21"/>
        <v>7</v>
      </c>
      <c r="EG83" s="46">
        <f t="shared" si="22"/>
        <v>13</v>
      </c>
      <c r="EH83" s="2" t="str">
        <f t="shared" si="23"/>
        <v>MN</v>
      </c>
      <c r="EI83" s="29">
        <f>IF(COUNT(I83:Y83)&lt;5,DZ83,SUMPRODUCT(LARGE(I83:Y83,{1,2,3,4,5}))/5)</f>
        <v>93.114680449247487</v>
      </c>
      <c r="EJ83" s="29">
        <f>IF(COUNT(I83:AX83)&lt;5,DZ83,SUMPRODUCT(LARGE(I83:AX83,{1,2,3,4,5}))/5)</f>
        <v>93.114680449247487</v>
      </c>
      <c r="EK83" s="29">
        <f>IF(COUNT(I83:DY83)&lt;5,AVERAGE(I83:DY83),SUMPRODUCT(LARGE(I83:DY83,{1,2,3,4,5}))/5)</f>
        <v>95.669902269592725</v>
      </c>
      <c r="EL83" s="29">
        <f t="shared" si="24"/>
        <v>94.126232063747281</v>
      </c>
      <c r="EM83" s="116" t="str">
        <f t="shared" si="25"/>
        <v>Cervenka, Vasek</v>
      </c>
      <c r="EQ83"/>
    </row>
    <row r="84" spans="1:147" x14ac:dyDescent="0.25">
      <c r="A84" s="59">
        <f t="shared" si="26"/>
        <v>81</v>
      </c>
      <c r="B84" s="32" t="s">
        <v>493</v>
      </c>
      <c r="C84" s="5" t="s">
        <v>6</v>
      </c>
      <c r="D84" s="6" t="s">
        <v>76</v>
      </c>
      <c r="E84" s="6">
        <v>52.725599570492811</v>
      </c>
      <c r="F84" s="6">
        <v>61.975109289140804</v>
      </c>
      <c r="G84" s="5">
        <f t="shared" si="14"/>
        <v>4</v>
      </c>
      <c r="H84" s="8">
        <v>52.725599570492811</v>
      </c>
      <c r="I84" s="36"/>
      <c r="J84" s="7"/>
      <c r="K84" s="7"/>
      <c r="L84" s="7"/>
      <c r="M84" s="7"/>
      <c r="N84" s="7"/>
      <c r="O84" s="7"/>
      <c r="P84" s="7"/>
      <c r="Q84" s="7"/>
      <c r="R84" s="7"/>
      <c r="S84" s="14"/>
      <c r="T84" s="7"/>
      <c r="U84" s="7"/>
      <c r="V84" s="14"/>
      <c r="W84" s="7"/>
      <c r="X84" s="7"/>
      <c r="Y84" s="227"/>
      <c r="Z84" s="228"/>
      <c r="AA84" s="7"/>
      <c r="AB84" s="7"/>
      <c r="AC84" s="14"/>
      <c r="AD84" s="14"/>
      <c r="AE84" s="7"/>
      <c r="AF84" s="14"/>
      <c r="AG84" s="7"/>
      <c r="AH84" s="7"/>
      <c r="AI84" s="7"/>
      <c r="AJ84" s="7"/>
      <c r="AK84" s="7"/>
      <c r="AL84" s="7"/>
      <c r="AM84" s="7"/>
      <c r="AN84" s="7"/>
      <c r="AO84" s="74"/>
      <c r="AP84" s="7"/>
      <c r="AQ84" s="74"/>
      <c r="AR84" s="70"/>
      <c r="AS84" s="7"/>
      <c r="AT84" s="70"/>
      <c r="AU84" s="7"/>
      <c r="AV84" s="70"/>
      <c r="AW84" s="7">
        <f>(INDEX('Race 41'!$E$8:$E$200,(MATCH($B84,'Race 41'!$B$8:$B$200,0)),1))*100</f>
        <v>59.244079937429071</v>
      </c>
      <c r="AX84" s="184">
        <f>(INDEX('Race 42'!$E$8:$E$200,(MATCH($B84,'Race 42'!$B$8:$B$200,0)),1))*100</f>
        <v>64.706138640852544</v>
      </c>
      <c r="AY84" s="207"/>
      <c r="AZ84" s="7"/>
      <c r="BA84" s="14"/>
      <c r="BB84" s="14"/>
      <c r="BC84" s="7"/>
      <c r="BD84" s="7"/>
      <c r="BE84" s="7"/>
      <c r="BF84" s="14"/>
      <c r="BG84" s="14"/>
      <c r="BH84" s="14"/>
      <c r="BI84" s="14"/>
      <c r="BJ84" s="103"/>
      <c r="BK84" s="7"/>
      <c r="BL84" s="103"/>
      <c r="BM84" s="7"/>
      <c r="BN84" s="14"/>
      <c r="BO84" s="14"/>
      <c r="BP84" s="7"/>
      <c r="BQ84" s="7"/>
      <c r="BR84" s="7"/>
      <c r="BS84" s="7"/>
      <c r="BT84" s="7"/>
      <c r="BU84" s="7"/>
      <c r="BV84" s="7"/>
      <c r="BW84" s="7"/>
      <c r="BX84" s="7"/>
      <c r="BY84" s="14"/>
      <c r="BZ84" s="14"/>
      <c r="CA84" s="7"/>
      <c r="CB84" s="7"/>
      <c r="CC84" s="14"/>
      <c r="CD84" s="7"/>
      <c r="CE84" s="7">
        <f>(INDEX('Race 75'!$E$8:$E$200,(MATCH($B84,'Race 75'!$B$8:$B$200,0)),1))*100</f>
        <v>60.23541008593709</v>
      </c>
      <c r="CF84" s="14">
        <f>(INDEX('Race 76'!$E$8:$E$200,(MATCH($B84,'Race 76'!$B$8:$B$200,0)),1))*100</f>
        <v>57.014871067739946</v>
      </c>
      <c r="CG84" s="103"/>
      <c r="CH84" s="7"/>
      <c r="CI84" s="14"/>
      <c r="CJ84" s="14"/>
      <c r="CK84" s="101"/>
      <c r="CL84" s="74"/>
      <c r="CM84" s="74"/>
      <c r="CN84" s="74"/>
      <c r="CO84" s="70"/>
      <c r="CP84" s="74"/>
      <c r="CQ84" s="7"/>
      <c r="CR84" s="74"/>
      <c r="CS84" s="74"/>
      <c r="CT84" s="74"/>
      <c r="CU84" s="74"/>
      <c r="CV84" s="74"/>
      <c r="CW84" s="14"/>
      <c r="CX84" s="7"/>
      <c r="CY84" s="7"/>
      <c r="CZ84" s="7"/>
      <c r="DA84" s="14"/>
      <c r="DB84" s="14"/>
      <c r="DC84" s="14"/>
      <c r="DD84" s="14"/>
      <c r="DE84" s="74"/>
      <c r="DF84" s="74"/>
      <c r="DG84" s="74"/>
      <c r="DH84" s="74"/>
      <c r="DI84" s="74"/>
      <c r="DJ84" s="14"/>
      <c r="DK84" s="7"/>
      <c r="DL84" s="7"/>
      <c r="DM84" s="7"/>
      <c r="DN84" s="14"/>
      <c r="DO84" s="7"/>
      <c r="DP84" s="14"/>
      <c r="DQ84" s="14"/>
      <c r="DR84" s="7"/>
      <c r="DS84" s="7"/>
      <c r="DT84" s="14"/>
      <c r="DU84" s="14"/>
      <c r="DV84" s="14"/>
      <c r="DW84" s="14"/>
      <c r="DX84" s="14"/>
      <c r="DY84" s="14"/>
      <c r="DZ84" s="8">
        <f t="shared" si="15"/>
        <v>60.300124932989661</v>
      </c>
      <c r="EA84" s="3" t="str">
        <f t="shared" si="16"/>
        <v>Charbonnier, Robert</v>
      </c>
      <c r="EB84" s="2">
        <f t="shared" si="17"/>
        <v>1</v>
      </c>
      <c r="EC84" s="112">
        <f t="shared" si="27"/>
        <v>52.725599570492811</v>
      </c>
      <c r="ED84" s="29">
        <f t="shared" si="19"/>
        <v>59.327159516912296</v>
      </c>
      <c r="EE84" s="2">
        <f t="shared" si="20"/>
        <v>0</v>
      </c>
      <c r="EF84" s="46">
        <f t="shared" si="21"/>
        <v>2</v>
      </c>
      <c r="EG84" s="46">
        <f t="shared" si="22"/>
        <v>4</v>
      </c>
      <c r="EH84" s="2" t="str">
        <f t="shared" si="23"/>
        <v>MA</v>
      </c>
      <c r="EI84" s="29">
        <f>IF(COUNT(I84:Y84)&lt;5,DZ84,SUMPRODUCT(LARGE(I84:Y84,{1,2,3,4,5}))/5)</f>
        <v>60.300124932989661</v>
      </c>
      <c r="EJ84" s="29">
        <f>IF(COUNT(I84:AX84)&lt;5,DZ84,SUMPRODUCT(LARGE(I84:AX84,{1,2,3,4,5}))/5)</f>
        <v>60.300124932989661</v>
      </c>
      <c r="EK84" s="29">
        <f>IF(COUNT(I84:DY84)&lt;5,AVERAGE(I84:DY84),SUMPRODUCT(LARGE(I84:DY84,{1,2,3,4,5}))/5)</f>
        <v>60.300124932989661</v>
      </c>
      <c r="EL84" s="29">
        <f t="shared" si="24"/>
        <v>59.327159516912296</v>
      </c>
      <c r="EM84" s="116" t="str">
        <f t="shared" si="25"/>
        <v>Charbonnier, Robert</v>
      </c>
      <c r="EQ84"/>
    </row>
    <row r="85" spans="1:147" x14ac:dyDescent="0.25">
      <c r="A85" s="59">
        <f t="shared" si="26"/>
        <v>82</v>
      </c>
      <c r="B85" s="32" t="s">
        <v>361</v>
      </c>
      <c r="C85" s="5" t="s">
        <v>6</v>
      </c>
      <c r="D85" s="5" t="s">
        <v>63</v>
      </c>
      <c r="E85" s="6">
        <v>57.03021865485718</v>
      </c>
      <c r="F85" s="6">
        <v>58.583301661311417</v>
      </c>
      <c r="G85" s="5">
        <f t="shared" si="14"/>
        <v>4</v>
      </c>
      <c r="H85" s="8">
        <v>57.03021865485718</v>
      </c>
      <c r="I85" s="107"/>
      <c r="J85" s="7"/>
      <c r="K85" s="103"/>
      <c r="L85" s="7"/>
      <c r="M85" s="103"/>
      <c r="N85" s="74"/>
      <c r="O85" s="7"/>
      <c r="P85" s="103"/>
      <c r="Q85" s="74"/>
      <c r="R85" s="103"/>
      <c r="S85" s="103"/>
      <c r="T85" s="7"/>
      <c r="U85" s="7"/>
      <c r="V85" s="103"/>
      <c r="W85" s="7"/>
      <c r="X85" s="103"/>
      <c r="Y85" s="227"/>
      <c r="Z85" s="228"/>
      <c r="AA85" s="74"/>
      <c r="AB85" s="74"/>
      <c r="AC85" s="103"/>
      <c r="AD85" s="103"/>
      <c r="AE85" s="7"/>
      <c r="AF85" s="103"/>
      <c r="AG85" s="74"/>
      <c r="AH85" s="7"/>
      <c r="AI85" s="7"/>
      <c r="AJ85" s="7"/>
      <c r="AK85" s="7"/>
      <c r="AL85" s="7"/>
      <c r="AM85" s="7"/>
      <c r="AN85" s="7"/>
      <c r="AO85" s="74"/>
      <c r="AP85" s="7"/>
      <c r="AQ85" s="74"/>
      <c r="AR85" s="101"/>
      <c r="AS85" s="74">
        <f>(INDEX('Race 37'!$E$8:$E$200,(MATCH($B85,'Race 37'!$B$8:$B$200,0)),1))*100</f>
        <v>55.701523353240113</v>
      </c>
      <c r="AT85" s="101">
        <f>(INDEX('Race 38'!$E$8:$E$200,(MATCH($B85,'Race 38'!$B$8:$B$200,0)),1))*100</f>
        <v>61.465079969382721</v>
      </c>
      <c r="AU85" s="7"/>
      <c r="AV85" s="101"/>
      <c r="AW85" s="7"/>
      <c r="AX85" s="183"/>
      <c r="AY85" s="107"/>
      <c r="AZ85" s="14">
        <f>(INDEX('Race 44'!$E$8:$E$200,(MATCH($B85,'Race 44'!$B$8:$B$200,0)),1))*100</f>
        <v>65.310861808773595</v>
      </c>
      <c r="BA85" s="103"/>
      <c r="BB85" s="14"/>
      <c r="BC85" s="74"/>
      <c r="BD85" s="7"/>
      <c r="BE85" s="7"/>
      <c r="BF85" s="74"/>
      <c r="BG85" s="103"/>
      <c r="BH85" s="103"/>
      <c r="BI85" s="103"/>
      <c r="BJ85" s="103"/>
      <c r="BK85" s="7"/>
      <c r="BL85" s="74"/>
      <c r="BM85" s="7"/>
      <c r="BN85" s="103"/>
      <c r="BO85" s="103"/>
      <c r="BP85" s="7"/>
      <c r="BQ85" s="7">
        <f>(INDEX('Race 61'!$E$8:$E$200,(MATCH($B85,'Race 61'!$B$8:$B$200,0)),1))*100</f>
        <v>51.260332962132026</v>
      </c>
      <c r="BR85" s="74"/>
      <c r="BS85" s="7"/>
      <c r="BT85" s="7"/>
      <c r="BU85" s="74"/>
      <c r="BV85" s="74"/>
      <c r="BW85" s="74"/>
      <c r="BX85" s="74"/>
      <c r="BY85" s="103"/>
      <c r="BZ85" s="14"/>
      <c r="CA85" s="7"/>
      <c r="CB85" s="74"/>
      <c r="CC85" s="74"/>
      <c r="CD85" s="74"/>
      <c r="CE85" s="7"/>
      <c r="CF85" s="103"/>
      <c r="CG85" s="103"/>
      <c r="CH85" s="7"/>
      <c r="CI85" s="14"/>
      <c r="CJ85" s="103"/>
      <c r="CK85" s="101"/>
      <c r="CL85" s="74"/>
      <c r="CM85" s="74"/>
      <c r="CN85" s="74"/>
      <c r="CO85" s="101"/>
      <c r="CP85" s="74"/>
      <c r="CQ85" s="74"/>
      <c r="CR85" s="74"/>
      <c r="CS85" s="74"/>
      <c r="CT85" s="74"/>
      <c r="CU85" s="74"/>
      <c r="CV85" s="74"/>
      <c r="CW85" s="103"/>
      <c r="CX85" s="7"/>
      <c r="CY85" s="7"/>
      <c r="CZ85" s="74"/>
      <c r="DA85" s="103"/>
      <c r="DB85" s="103"/>
      <c r="DC85" s="103"/>
      <c r="DD85" s="103"/>
      <c r="DE85" s="74"/>
      <c r="DF85" s="74"/>
      <c r="DG85" s="74"/>
      <c r="DH85" s="74"/>
      <c r="DI85" s="74"/>
      <c r="DJ85" s="74"/>
      <c r="DK85" s="74"/>
      <c r="DL85" s="74"/>
      <c r="DM85" s="74"/>
      <c r="DN85" s="103"/>
      <c r="DO85" s="74"/>
      <c r="DP85" s="14"/>
      <c r="DQ85" s="7"/>
      <c r="DR85" s="7"/>
      <c r="DS85" s="7"/>
      <c r="DT85" s="103"/>
      <c r="DU85" s="103"/>
      <c r="DV85" s="103"/>
      <c r="DW85" s="103"/>
      <c r="DX85" s="103"/>
      <c r="DY85" s="103"/>
      <c r="DZ85" s="8">
        <f t="shared" si="15"/>
        <v>58.434449523382114</v>
      </c>
      <c r="EA85" s="3" t="str">
        <f t="shared" si="16"/>
        <v>Charron, Paul</v>
      </c>
      <c r="EB85" s="2">
        <f t="shared" si="17"/>
        <v>1</v>
      </c>
      <c r="EC85" s="112">
        <f t="shared" si="27"/>
        <v>57.03021865485718</v>
      </c>
      <c r="ED85" s="29">
        <f t="shared" si="19"/>
        <v>57.491587488569579</v>
      </c>
      <c r="EE85" s="2">
        <f t="shared" si="20"/>
        <v>0</v>
      </c>
      <c r="EF85" s="46">
        <f t="shared" si="21"/>
        <v>4</v>
      </c>
      <c r="EG85" s="46">
        <f t="shared" si="22"/>
        <v>4</v>
      </c>
      <c r="EH85" s="29" t="str">
        <f t="shared" si="23"/>
        <v>VT</v>
      </c>
      <c r="EI85" s="29">
        <f>IF(COUNT(I85:Y85)&lt;5,DZ85,SUMPRODUCT(LARGE(I85:Y85,{1,2,3,4,5}))/5)</f>
        <v>58.434449523382114</v>
      </c>
      <c r="EJ85" s="29">
        <f>IF(COUNT(I85:AX85)&lt;5,DZ85,SUMPRODUCT(LARGE(I85:AX85,{1,2,3,4,5}))/5)</f>
        <v>58.434449523382114</v>
      </c>
      <c r="EK85" s="29">
        <f>IF(COUNT(I85:DY85)&lt;5,AVERAGE(I85:DY85),SUMPRODUCT(LARGE(I85:DY85,{1,2,3,4,5}))/5)</f>
        <v>58.434449523382114</v>
      </c>
      <c r="EL85" s="29">
        <f t="shared" si="24"/>
        <v>57.491587488569579</v>
      </c>
      <c r="EM85" s="116" t="str">
        <f t="shared" si="25"/>
        <v>Charron, Paul</v>
      </c>
      <c r="EQ85"/>
    </row>
    <row r="86" spans="1:147" x14ac:dyDescent="0.25">
      <c r="A86" s="59">
        <f t="shared" si="26"/>
        <v>83</v>
      </c>
      <c r="B86" s="32" t="s">
        <v>1180</v>
      </c>
      <c r="C86" s="5" t="s">
        <v>16</v>
      </c>
      <c r="D86" s="6" t="s">
        <v>57</v>
      </c>
      <c r="E86" s="6">
        <v>61.780631029579666</v>
      </c>
      <c r="F86" s="6">
        <v>61.780631029579666</v>
      </c>
      <c r="G86" s="5">
        <f t="shared" si="14"/>
        <v>2</v>
      </c>
      <c r="H86" s="8">
        <v>61.780631029579666</v>
      </c>
      <c r="I86" s="36"/>
      <c r="J86" s="7"/>
      <c r="K86" s="14"/>
      <c r="L86" s="7"/>
      <c r="M86" s="14"/>
      <c r="N86" s="7"/>
      <c r="O86" s="7"/>
      <c r="P86" s="14"/>
      <c r="Q86" s="7"/>
      <c r="R86" s="14"/>
      <c r="S86" s="14"/>
      <c r="T86" s="7"/>
      <c r="U86" s="7"/>
      <c r="V86" s="14"/>
      <c r="W86" s="7"/>
      <c r="X86" s="14"/>
      <c r="Y86" s="227"/>
      <c r="Z86" s="228"/>
      <c r="AA86" s="7"/>
      <c r="AB86" s="7"/>
      <c r="AC86" s="14"/>
      <c r="AD86" s="14"/>
      <c r="AE86" s="7"/>
      <c r="AF86" s="14"/>
      <c r="AG86" s="14"/>
      <c r="AH86" s="7"/>
      <c r="AI86" s="7"/>
      <c r="AJ86" s="7"/>
      <c r="AK86" s="7"/>
      <c r="AL86" s="7"/>
      <c r="AM86" s="7"/>
      <c r="AN86" s="7"/>
      <c r="AO86" s="74"/>
      <c r="AP86" s="7"/>
      <c r="AQ86" s="74"/>
      <c r="AR86" s="70"/>
      <c r="AS86" s="7"/>
      <c r="AT86" s="70"/>
      <c r="AU86" s="7"/>
      <c r="AV86" s="70"/>
      <c r="AW86" s="7"/>
      <c r="AX86" s="184"/>
      <c r="AY86" s="207"/>
      <c r="AZ86" s="14"/>
      <c r="BA86" s="14"/>
      <c r="BB86" s="14"/>
      <c r="BC86" s="7"/>
      <c r="BD86" s="7"/>
      <c r="BE86" s="7"/>
      <c r="BF86" s="14"/>
      <c r="BG86" s="14"/>
      <c r="BH86" s="14"/>
      <c r="BI86" s="14"/>
      <c r="BJ86" s="14"/>
      <c r="BK86" s="74">
        <f>(INDEX('Race 55'!$E$8:$E$200,(MATCH($B86,'Race 55'!$B$8:$B$200,0)),1))*100</f>
        <v>71.14832474602629</v>
      </c>
      <c r="BL86" s="14"/>
      <c r="BM86" s="7"/>
      <c r="BN86" s="103">
        <f>(INDEX('Race 58'!$E$8:$E$200,(MATCH($B86,'Race 58'!$B$8:$B$200,0)),1))*100</f>
        <v>66.336160238823041</v>
      </c>
      <c r="BO86" s="14"/>
      <c r="BP86" s="7"/>
      <c r="BQ86" s="7"/>
      <c r="BR86" s="7"/>
      <c r="BS86" s="7"/>
      <c r="BT86" s="7"/>
      <c r="BU86" s="7"/>
      <c r="BV86" s="7"/>
      <c r="BW86" s="7"/>
      <c r="BX86" s="7"/>
      <c r="BY86" s="14"/>
      <c r="BZ86" s="14"/>
      <c r="CA86" s="7"/>
      <c r="CB86" s="7"/>
      <c r="CC86" s="14"/>
      <c r="CD86" s="7"/>
      <c r="CE86" s="74"/>
      <c r="CF86" s="74"/>
      <c r="CG86" s="14"/>
      <c r="CH86" s="7"/>
      <c r="CI86" s="14"/>
      <c r="CJ86" s="14"/>
      <c r="CK86" s="101"/>
      <c r="CL86" s="74"/>
      <c r="CM86" s="74"/>
      <c r="CN86" s="74"/>
      <c r="CO86" s="70"/>
      <c r="CP86" s="74"/>
      <c r="CQ86" s="7"/>
      <c r="CR86" s="74"/>
      <c r="CS86" s="74"/>
      <c r="CT86" s="74"/>
      <c r="CU86" s="74"/>
      <c r="CV86" s="7"/>
      <c r="CW86" s="14"/>
      <c r="CX86" s="7"/>
      <c r="CY86" s="7"/>
      <c r="CZ86" s="7"/>
      <c r="DA86" s="14"/>
      <c r="DB86" s="14"/>
      <c r="DC86" s="14"/>
      <c r="DD86" s="14"/>
      <c r="DE86" s="74"/>
      <c r="DF86" s="7"/>
      <c r="DG86" s="7"/>
      <c r="DH86" s="7"/>
      <c r="DI86" s="7"/>
      <c r="DJ86" s="7"/>
      <c r="DK86" s="7"/>
      <c r="DL86" s="7"/>
      <c r="DM86" s="14"/>
      <c r="DN86" s="14"/>
      <c r="DO86" s="14"/>
      <c r="DP86" s="14"/>
      <c r="DQ86" s="14"/>
      <c r="DR86" s="7"/>
      <c r="DS86" s="7"/>
      <c r="DT86" s="14"/>
      <c r="DU86" s="14"/>
      <c r="DV86" s="14"/>
      <c r="DW86" s="14"/>
      <c r="DX86" s="14"/>
      <c r="DY86" s="14"/>
      <c r="DZ86" s="8">
        <f t="shared" si="15"/>
        <v>68.742242492424666</v>
      </c>
      <c r="EA86" s="3" t="str">
        <f t="shared" si="16"/>
        <v>Cheney-Seymour, Lauchie</v>
      </c>
      <c r="EB86" s="2">
        <f t="shared" si="17"/>
        <v>1</v>
      </c>
      <c r="EC86" s="112">
        <f t="shared" si="27"/>
        <v>61.780631029579666</v>
      </c>
      <c r="ED86" s="29">
        <f t="shared" si="19"/>
        <v>67.633060303448119</v>
      </c>
      <c r="EE86" s="2">
        <f t="shared" si="20"/>
        <v>0</v>
      </c>
      <c r="EF86" s="46">
        <f t="shared" si="21"/>
        <v>2</v>
      </c>
      <c r="EG86" s="46">
        <f t="shared" si="22"/>
        <v>2</v>
      </c>
      <c r="EH86" s="29" t="str">
        <f t="shared" si="23"/>
        <v>NY</v>
      </c>
      <c r="EI86" s="29">
        <f>IF(COUNT(I86:Y86)&lt;5,DZ86,SUMPRODUCT(LARGE(I86:Y86,{1,2,3,4,5}))/5)</f>
        <v>68.742242492424666</v>
      </c>
      <c r="EJ86" s="29">
        <f>IF(COUNT(I86:AX86)&lt;5,DZ86,SUMPRODUCT(LARGE(I86:AX86,{1,2,3,4,5}))/5)</f>
        <v>68.742242492424666</v>
      </c>
      <c r="EK86" s="29">
        <f>IF(COUNT(I86:DY86)&lt;5,AVERAGE(I86:DY86),SUMPRODUCT(LARGE(I86:DY86,{1,2,3,4,5}))/5)</f>
        <v>68.742242492424666</v>
      </c>
      <c r="EL86" s="29">
        <f t="shared" si="24"/>
        <v>67.633060303448119</v>
      </c>
      <c r="EM86" s="116" t="str">
        <f t="shared" si="25"/>
        <v>Cheney-Seymour, Lauchie</v>
      </c>
      <c r="EQ86"/>
    </row>
    <row r="87" spans="1:147" x14ac:dyDescent="0.25">
      <c r="A87" s="59">
        <f t="shared" si="26"/>
        <v>84</v>
      </c>
      <c r="B87" s="32" t="s">
        <v>1121</v>
      </c>
      <c r="C87" s="5" t="s">
        <v>6</v>
      </c>
      <c r="D87" s="6" t="s">
        <v>57</v>
      </c>
      <c r="E87" s="6">
        <v>41.824350337179688</v>
      </c>
      <c r="F87" s="6">
        <v>43.136662745702168</v>
      </c>
      <c r="G87" s="5">
        <f t="shared" si="14"/>
        <v>1</v>
      </c>
      <c r="H87" s="8">
        <v>41.824350337179688</v>
      </c>
      <c r="I87" s="36"/>
      <c r="J87" s="7"/>
      <c r="K87" s="7"/>
      <c r="L87" s="7"/>
      <c r="M87" s="14"/>
      <c r="N87" s="7"/>
      <c r="O87" s="7"/>
      <c r="P87" s="14"/>
      <c r="Q87" s="7"/>
      <c r="R87" s="14"/>
      <c r="S87" s="14"/>
      <c r="T87" s="7"/>
      <c r="U87" s="7"/>
      <c r="V87" s="7"/>
      <c r="W87" s="7"/>
      <c r="X87" s="14"/>
      <c r="Y87" s="227"/>
      <c r="Z87" s="228"/>
      <c r="AA87" s="7"/>
      <c r="AB87" s="7"/>
      <c r="AC87" s="7"/>
      <c r="AD87" s="7"/>
      <c r="AE87" s="7"/>
      <c r="AF87" s="14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4"/>
      <c r="AR87" s="70"/>
      <c r="AS87" s="7"/>
      <c r="AT87" s="70"/>
      <c r="AU87" s="7"/>
      <c r="AV87" s="70"/>
      <c r="AW87" s="7"/>
      <c r="AX87" s="184"/>
      <c r="AY87" s="207">
        <f>(INDEX('Race 43'!$E$8:$E$200,(MATCH($B87,'Race 43'!$B$8:$B$200,0)),1))*100</f>
        <v>43.689104136398157</v>
      </c>
      <c r="AZ87" s="7"/>
      <c r="BA87" s="14"/>
      <c r="BB87" s="14"/>
      <c r="BC87" s="7"/>
      <c r="BD87" s="7"/>
      <c r="BE87" s="7"/>
      <c r="BF87" s="7"/>
      <c r="BG87" s="7"/>
      <c r="BH87" s="7"/>
      <c r="BI87" s="14"/>
      <c r="BJ87" s="70"/>
      <c r="BK87" s="7"/>
      <c r="BL87" s="70"/>
      <c r="BM87" s="7"/>
      <c r="BN87" s="103"/>
      <c r="BO87" s="14"/>
      <c r="BP87" s="7"/>
      <c r="BQ87" s="7"/>
      <c r="BR87" s="70"/>
      <c r="BS87" s="7"/>
      <c r="BT87" s="7"/>
      <c r="BU87" s="7"/>
      <c r="BV87" s="7"/>
      <c r="BW87" s="70"/>
      <c r="BX87" s="7"/>
      <c r="BY87" s="14"/>
      <c r="BZ87" s="14"/>
      <c r="CA87" s="7"/>
      <c r="CB87" s="7"/>
      <c r="CC87" s="14"/>
      <c r="CD87" s="7"/>
      <c r="CE87" s="7"/>
      <c r="CF87" s="14"/>
      <c r="CG87" s="14"/>
      <c r="CH87" s="7"/>
      <c r="CI87" s="70"/>
      <c r="CJ87" s="14"/>
      <c r="CK87" s="101"/>
      <c r="CL87" s="74"/>
      <c r="CM87" s="74"/>
      <c r="CN87" s="74"/>
      <c r="CO87" s="70"/>
      <c r="CP87" s="74"/>
      <c r="CQ87" s="70"/>
      <c r="CR87" s="74"/>
      <c r="CS87" s="74"/>
      <c r="CT87" s="74"/>
      <c r="CU87" s="74"/>
      <c r="CV87" s="7"/>
      <c r="CW87" s="14"/>
      <c r="CX87" s="7"/>
      <c r="CY87" s="7"/>
      <c r="CZ87" s="7"/>
      <c r="DA87" s="14"/>
      <c r="DB87" s="14"/>
      <c r="DC87" s="14"/>
      <c r="DD87" s="14"/>
      <c r="DE87" s="74"/>
      <c r="DF87" s="7"/>
      <c r="DG87" s="7"/>
      <c r="DH87" s="7"/>
      <c r="DI87" s="74"/>
      <c r="DJ87" s="103"/>
      <c r="DK87" s="7"/>
      <c r="DL87" s="7"/>
      <c r="DM87" s="14"/>
      <c r="DN87" s="14"/>
      <c r="DO87" s="14"/>
      <c r="DP87" s="14"/>
      <c r="DQ87" s="14"/>
      <c r="DR87" s="7"/>
      <c r="DS87" s="7"/>
      <c r="DT87" s="14"/>
      <c r="DU87" s="14"/>
      <c r="DV87" s="14"/>
      <c r="DW87" s="14"/>
      <c r="DX87" s="7"/>
      <c r="DY87" s="14"/>
      <c r="DZ87" s="8">
        <f t="shared" si="15"/>
        <v>43.689104136398157</v>
      </c>
      <c r="EA87" s="3" t="str">
        <f t="shared" si="16"/>
        <v>Chimielewicz, Mark</v>
      </c>
      <c r="EB87" s="2">
        <f t="shared" si="17"/>
        <v>1</v>
      </c>
      <c r="EC87" s="112">
        <f t="shared" si="27"/>
        <v>41.824350337179688</v>
      </c>
      <c r="ED87" s="29">
        <f t="shared" si="19"/>
        <v>42.984163849270125</v>
      </c>
      <c r="EE87" s="2">
        <f t="shared" si="20"/>
        <v>0</v>
      </c>
      <c r="EF87" s="46">
        <f t="shared" si="21"/>
        <v>1</v>
      </c>
      <c r="EG87" s="46">
        <f t="shared" si="22"/>
        <v>1</v>
      </c>
      <c r="EH87" s="29" t="str">
        <f t="shared" si="23"/>
        <v>NY</v>
      </c>
      <c r="EI87" s="29">
        <f>IF(COUNT(I87:Y87)&lt;5,DZ87,SUMPRODUCT(LARGE(I87:Y87,{1,2,3,4,5}))/5)</f>
        <v>43.689104136398157</v>
      </c>
      <c r="EJ87" s="29">
        <f>IF(COUNT(I87:AX87)&lt;5,DZ87,SUMPRODUCT(LARGE(I87:AX87,{1,2,3,4,5}))/5)</f>
        <v>43.689104136398157</v>
      </c>
      <c r="EK87" s="29">
        <f>IF(COUNT(I87:DY87)&lt;5,AVERAGE(I87:DY87),SUMPRODUCT(LARGE(I87:DY87,{1,2,3,4,5}))/5)</f>
        <v>43.689104136398157</v>
      </c>
      <c r="EL87" s="29">
        <f t="shared" si="24"/>
        <v>42.984163849270125</v>
      </c>
      <c r="EM87" s="116" t="str">
        <f t="shared" si="25"/>
        <v>Chimielewicz, Mark</v>
      </c>
      <c r="EQ87"/>
    </row>
    <row r="88" spans="1:147" x14ac:dyDescent="0.25">
      <c r="A88" s="59">
        <f t="shared" si="26"/>
        <v>85</v>
      </c>
      <c r="B88" s="32" t="s">
        <v>711</v>
      </c>
      <c r="C88" s="5" t="s">
        <v>16</v>
      </c>
      <c r="D88" s="6" t="s">
        <v>58</v>
      </c>
      <c r="E88" s="6">
        <v>79.623449982589136</v>
      </c>
      <c r="F88" s="6">
        <v>79.623449982589136</v>
      </c>
      <c r="G88" s="5">
        <f t="shared" si="14"/>
        <v>6</v>
      </c>
      <c r="H88" s="60">
        <v>80.808467545736889</v>
      </c>
      <c r="I88" s="107"/>
      <c r="J88" s="7"/>
      <c r="K88" s="14"/>
      <c r="L88" s="7"/>
      <c r="M88" s="14"/>
      <c r="N88" s="7"/>
      <c r="O88" s="7"/>
      <c r="P88" s="14"/>
      <c r="Q88" s="7"/>
      <c r="R88" s="14"/>
      <c r="S88" s="14">
        <f>(INDEX('Race 11'!$E$8:$E$200,(MATCH($B88,'Race 11'!$B$8:$B$200,0)),1))*100</f>
        <v>75.216619386194935</v>
      </c>
      <c r="T88" s="7">
        <f>(INDEX('Race 12'!$E$8:$E$200,(MATCH($B88,'Race 12'!$B$8:$B$200,0)),1))*100</f>
        <v>75.570342954033762</v>
      </c>
      <c r="U88" s="7"/>
      <c r="V88" s="14"/>
      <c r="W88" s="7"/>
      <c r="X88" s="14">
        <f>(INDEX('Race 16'!$E$8:$E$200,(MATCH($B88,'Race 16'!$B$8:$B$200,0)),1))*100</f>
        <v>80.313094248237533</v>
      </c>
      <c r="Y88" s="227">
        <f>(INDEX('Race 17'!$E$8:$E$200,(MATCH($B88,'Race 17'!$B$8:$B$200,0)),1))*100</f>
        <v>87.393743341890371</v>
      </c>
      <c r="Z88" s="228"/>
      <c r="AA88" s="7"/>
      <c r="AB88" s="7"/>
      <c r="AC88" s="14"/>
      <c r="AD88" s="14"/>
      <c r="AE88" s="74"/>
      <c r="AF88" s="14"/>
      <c r="AG88" s="7"/>
      <c r="AH88" s="7"/>
      <c r="AI88" s="7"/>
      <c r="AJ88" s="7"/>
      <c r="AK88" s="7"/>
      <c r="AL88" s="7"/>
      <c r="AM88" s="7"/>
      <c r="AN88" s="7"/>
      <c r="AO88" s="74"/>
      <c r="AP88" s="7"/>
      <c r="AQ88" s="7"/>
      <c r="AR88" s="70"/>
      <c r="AS88" s="7"/>
      <c r="AT88" s="70"/>
      <c r="AU88" s="7"/>
      <c r="AV88" s="70"/>
      <c r="AW88" s="7"/>
      <c r="AX88" s="183"/>
      <c r="AY88" s="208"/>
      <c r="AZ88" s="7"/>
      <c r="BA88" s="14"/>
      <c r="BB88" s="14"/>
      <c r="BC88" s="7"/>
      <c r="BD88" s="7"/>
      <c r="BE88" s="7"/>
      <c r="BF88" s="14"/>
      <c r="BG88" s="14"/>
      <c r="BH88" s="14"/>
      <c r="BI88" s="14"/>
      <c r="BJ88" s="14"/>
      <c r="BK88" s="7"/>
      <c r="BL88" s="14"/>
      <c r="BM88" s="7"/>
      <c r="BN88" s="74"/>
      <c r="BO88" s="14"/>
      <c r="BP88" s="7"/>
      <c r="BQ88" s="7"/>
      <c r="BR88" s="7"/>
      <c r="BS88" s="7"/>
      <c r="BT88" s="7"/>
      <c r="BU88" s="70"/>
      <c r="BV88" s="70"/>
      <c r="BW88" s="7"/>
      <c r="BX88" s="7"/>
      <c r="BY88" s="14">
        <f>(INDEX('Race 69'!$E$8:$E$200,(MATCH($B88,'Race 69'!$B$8:$B$200,0)),1))*100</f>
        <v>74.124207989742317</v>
      </c>
      <c r="BZ88" s="14"/>
      <c r="CA88" s="7"/>
      <c r="CB88" s="7">
        <f>(INDEX('Race 72'!$E$8:$E$200,(MATCH($B88,'Race 72'!$B$8:$B$200,0)),1))*100</f>
        <v>75.192085505230438</v>
      </c>
      <c r="CC88" s="14"/>
      <c r="CD88" s="7"/>
      <c r="CE88" s="7"/>
      <c r="CF88" s="14"/>
      <c r="CG88" s="14"/>
      <c r="CH88" s="74"/>
      <c r="CI88" s="14"/>
      <c r="CJ88" s="70"/>
      <c r="CK88" s="101"/>
      <c r="CL88" s="7"/>
      <c r="CM88" s="74"/>
      <c r="CN88" s="74"/>
      <c r="CO88" s="70"/>
      <c r="CP88" s="101"/>
      <c r="CQ88" s="7"/>
      <c r="CR88" s="74"/>
      <c r="CS88" s="74"/>
      <c r="CT88" s="74"/>
      <c r="CU88" s="74"/>
      <c r="CV88" s="74"/>
      <c r="CW88" s="14"/>
      <c r="CX88" s="7"/>
      <c r="CY88" s="7"/>
      <c r="CZ88" s="7"/>
      <c r="DA88" s="14"/>
      <c r="DB88" s="14"/>
      <c r="DC88" s="14"/>
      <c r="DD88" s="14"/>
      <c r="DE88" s="74"/>
      <c r="DF88" s="74"/>
      <c r="DG88" s="74"/>
      <c r="DH88" s="74"/>
      <c r="DI88" s="74"/>
      <c r="DJ88" s="7"/>
      <c r="DK88" s="7"/>
      <c r="DL88" s="7"/>
      <c r="DM88" s="14"/>
      <c r="DN88" s="14"/>
      <c r="DO88" s="14"/>
      <c r="DP88" s="7"/>
      <c r="DQ88" s="14"/>
      <c r="DR88" s="7"/>
      <c r="DS88" s="7"/>
      <c r="DT88" s="103"/>
      <c r="DU88" s="14"/>
      <c r="DV88" s="14"/>
      <c r="DW88" s="14"/>
      <c r="DX88" s="14"/>
      <c r="DY88" s="14"/>
      <c r="DZ88" s="8">
        <f t="shared" si="15"/>
        <v>77.968348904221557</v>
      </c>
      <c r="EA88" s="3" t="str">
        <f t="shared" si="16"/>
        <v>Christiansen, Cameron</v>
      </c>
      <c r="EB88" s="2">
        <f t="shared" si="17"/>
        <v>1</v>
      </c>
      <c r="EC88" s="112">
        <f t="shared" si="27"/>
        <v>80.808467545736889</v>
      </c>
      <c r="ED88" s="29">
        <f t="shared" si="19"/>
        <v>77.466722832661787</v>
      </c>
      <c r="EE88" s="2">
        <f t="shared" si="20"/>
        <v>4</v>
      </c>
      <c r="EF88" s="46">
        <f t="shared" si="21"/>
        <v>4</v>
      </c>
      <c r="EG88" s="46">
        <f t="shared" si="22"/>
        <v>6</v>
      </c>
      <c r="EH88" s="2" t="str">
        <f t="shared" si="23"/>
        <v>MN</v>
      </c>
      <c r="EI88" s="29">
        <f>IF(COUNT(I88:Y88)&lt;5,DZ88,SUMPRODUCT(LARGE(I88:Y88,{1,2,3,4,5}))/5)</f>
        <v>77.968348904221557</v>
      </c>
      <c r="EJ88" s="29">
        <f>IF(COUNT(I88:AX88)&lt;5,DZ88,SUMPRODUCT(LARGE(I88:AX88,{1,2,3,4,5}))/5)</f>
        <v>77.968348904221557</v>
      </c>
      <c r="EK88" s="29">
        <f>IF(COUNT(I88:DY88)&lt;5,AVERAGE(I88:DY88),SUMPRODUCT(LARGE(I88:DY88,{1,2,3,4,5}))/5)</f>
        <v>78.737177087117431</v>
      </c>
      <c r="EL88" s="29">
        <f t="shared" si="24"/>
        <v>77.466722832661787</v>
      </c>
      <c r="EM88" s="116" t="str">
        <f t="shared" si="25"/>
        <v>Christiansen, Cameron</v>
      </c>
      <c r="EQ88"/>
    </row>
    <row r="89" spans="1:147" x14ac:dyDescent="0.25">
      <c r="A89" s="59">
        <f t="shared" si="26"/>
        <v>86</v>
      </c>
      <c r="B89" s="32" t="s">
        <v>375</v>
      </c>
      <c r="C89" s="5" t="s">
        <v>6</v>
      </c>
      <c r="D89" s="6" t="s">
        <v>88</v>
      </c>
      <c r="E89" s="6">
        <v>65.490025820618669</v>
      </c>
      <c r="F89" s="6">
        <v>65.891897567275805</v>
      </c>
      <c r="G89" s="5">
        <f t="shared" si="14"/>
        <v>4</v>
      </c>
      <c r="H89" s="8">
        <v>65.490025820618669</v>
      </c>
      <c r="I89" s="107"/>
      <c r="J89" s="7"/>
      <c r="K89" s="14"/>
      <c r="L89" s="7"/>
      <c r="M89" s="14"/>
      <c r="N89" s="7"/>
      <c r="O89" s="7"/>
      <c r="P89" s="14"/>
      <c r="Q89" s="7"/>
      <c r="R89" s="7"/>
      <c r="S89" s="14"/>
      <c r="T89" s="7"/>
      <c r="U89" s="7"/>
      <c r="V89" s="14"/>
      <c r="W89" s="7"/>
      <c r="X89" s="14"/>
      <c r="Y89" s="227"/>
      <c r="Z89" s="228"/>
      <c r="AA89" s="7"/>
      <c r="AB89" s="7"/>
      <c r="AC89" s="103">
        <f>(INDEX('Race 21'!$E$8:$E$200,(MATCH($B89,'Race 21'!$B$8:$B$200,0)),1))*100</f>
        <v>65.891897567275805</v>
      </c>
      <c r="AD89" s="103"/>
      <c r="AE89" s="74"/>
      <c r="AF89" s="14"/>
      <c r="AG89" s="7"/>
      <c r="AH89" s="7"/>
      <c r="AI89" s="7"/>
      <c r="AJ89" s="7"/>
      <c r="AK89" s="7"/>
      <c r="AL89" s="7"/>
      <c r="AM89" s="7"/>
      <c r="AN89" s="7"/>
      <c r="AO89" s="74"/>
      <c r="AP89" s="7"/>
      <c r="AQ89" s="74"/>
      <c r="AR89" s="70"/>
      <c r="AS89" s="7"/>
      <c r="AT89" s="70"/>
      <c r="AU89" s="7"/>
      <c r="AV89" s="70"/>
      <c r="AW89" s="7"/>
      <c r="AX89" s="184"/>
      <c r="AY89" s="207"/>
      <c r="AZ89" s="14"/>
      <c r="BA89" s="14"/>
      <c r="BB89" s="14"/>
      <c r="BC89" s="7"/>
      <c r="BD89" s="7"/>
      <c r="BE89" s="7"/>
      <c r="BF89" s="14"/>
      <c r="BG89" s="14">
        <f>(INDEX('Race 51'!$E$8:$E$200,(MATCH($B89,'Race 51'!$B$8:$B$200,0)),1))*100</f>
        <v>66.352499466902643</v>
      </c>
      <c r="BH89" s="14">
        <f>(INDEX('Race 52'!$E$8:$E$200,(MATCH($B89,'Race 52'!$B$8:$B$200,0)),1))*100</f>
        <v>66.599559846101442</v>
      </c>
      <c r="BI89" s="7"/>
      <c r="BJ89" s="14"/>
      <c r="BK89" s="7"/>
      <c r="BL89" s="14"/>
      <c r="BM89" s="7"/>
      <c r="BN89" s="14"/>
      <c r="BO89" s="14"/>
      <c r="BP89" s="7"/>
      <c r="BQ89" s="7"/>
      <c r="BR89" s="7"/>
      <c r="BS89" s="7"/>
      <c r="BT89" s="7"/>
      <c r="BU89" s="7"/>
      <c r="BV89" s="7"/>
      <c r="BW89" s="7"/>
      <c r="BX89" s="7"/>
      <c r="BY89" s="74"/>
      <c r="BZ89" s="74"/>
      <c r="CA89" s="7"/>
      <c r="CB89" s="7"/>
      <c r="CC89" s="7"/>
      <c r="CD89" s="7">
        <f>(INDEX('Race 74'!$E$8:$E$200,(MATCH($B89,'Race 74'!$B$8:$B$200,0)),1))*100</f>
        <v>65.586001471412686</v>
      </c>
      <c r="CE89" s="7"/>
      <c r="CF89" s="14"/>
      <c r="CG89" s="14"/>
      <c r="CH89" s="70"/>
      <c r="CI89" s="14"/>
      <c r="CJ89" s="14"/>
      <c r="CK89" s="101"/>
      <c r="CL89" s="74"/>
      <c r="CM89" s="74"/>
      <c r="CN89" s="74"/>
      <c r="CO89" s="70"/>
      <c r="CP89" s="74"/>
      <c r="CQ89" s="7"/>
      <c r="CR89" s="74"/>
      <c r="CS89" s="74"/>
      <c r="CT89" s="74"/>
      <c r="CU89" s="74"/>
      <c r="CV89" s="74"/>
      <c r="CW89" s="14"/>
      <c r="CX89" s="7"/>
      <c r="CY89" s="7"/>
      <c r="CZ89" s="74"/>
      <c r="DA89" s="14"/>
      <c r="DB89" s="14"/>
      <c r="DC89" s="14"/>
      <c r="DD89" s="14"/>
      <c r="DE89" s="74"/>
      <c r="DF89" s="74"/>
      <c r="DG89" s="74"/>
      <c r="DH89" s="74"/>
      <c r="DI89" s="74"/>
      <c r="DJ89" s="14"/>
      <c r="DK89" s="7"/>
      <c r="DL89" s="7"/>
      <c r="DM89" s="14"/>
      <c r="DN89" s="14"/>
      <c r="DO89" s="14"/>
      <c r="DP89" s="14"/>
      <c r="DQ89" s="14"/>
      <c r="DR89" s="7"/>
      <c r="DS89" s="7"/>
      <c r="DT89" s="14"/>
      <c r="DU89" s="14"/>
      <c r="DV89" s="14"/>
      <c r="DW89" s="14"/>
      <c r="DX89" s="14"/>
      <c r="DY89" s="14"/>
      <c r="DZ89" s="8">
        <f t="shared" si="15"/>
        <v>66.107489587923141</v>
      </c>
      <c r="EA89" s="3" t="str">
        <f t="shared" si="16"/>
        <v>Claas, Marc</v>
      </c>
      <c r="EB89" s="2">
        <f t="shared" si="17"/>
        <v>1</v>
      </c>
      <c r="EC89" s="112">
        <f t="shared" si="27"/>
        <v>65.490025820618669</v>
      </c>
      <c r="ED89" s="29">
        <f t="shared" si="19"/>
        <v>65.04082013766542</v>
      </c>
      <c r="EE89" s="2">
        <f t="shared" si="20"/>
        <v>1</v>
      </c>
      <c r="EF89" s="46">
        <f t="shared" si="21"/>
        <v>3</v>
      </c>
      <c r="EG89" s="46">
        <f t="shared" si="22"/>
        <v>4</v>
      </c>
      <c r="EH89" s="2" t="str">
        <f t="shared" si="23"/>
        <v>WI</v>
      </c>
      <c r="EI89" s="29">
        <f>IF(COUNT(I89:Y89)&lt;5,DZ89,SUMPRODUCT(LARGE(I89:Y89,{1,2,3,4,5}))/5)</f>
        <v>66.107489587923141</v>
      </c>
      <c r="EJ89" s="29">
        <f>IF(COUNT(I89:AX89)&lt;5,DZ89,SUMPRODUCT(LARGE(I89:AX89,{1,2,3,4,5}))/5)</f>
        <v>66.107489587923141</v>
      </c>
      <c r="EK89" s="29">
        <f>IF(COUNT(I89:DY89)&lt;5,AVERAGE(I89:DY89),SUMPRODUCT(LARGE(I89:DY89,{1,2,3,4,5}))/5)</f>
        <v>66.107489587923141</v>
      </c>
      <c r="EL89" s="29">
        <f t="shared" si="24"/>
        <v>65.04082013766542</v>
      </c>
      <c r="EM89" s="116" t="str">
        <f t="shared" si="25"/>
        <v>Claas, Marc</v>
      </c>
      <c r="EQ89"/>
    </row>
    <row r="90" spans="1:147" x14ac:dyDescent="0.25">
      <c r="A90" s="59">
        <f t="shared" si="26"/>
        <v>87</v>
      </c>
      <c r="B90" s="4" t="s">
        <v>1340</v>
      </c>
      <c r="C90" s="5" t="s">
        <v>6</v>
      </c>
      <c r="D90" s="5" t="s">
        <v>87</v>
      </c>
      <c r="E90" s="6">
        <v>0</v>
      </c>
      <c r="F90" s="6">
        <v>0</v>
      </c>
      <c r="G90" s="5">
        <f t="shared" si="14"/>
        <v>0</v>
      </c>
      <c r="H90" s="8">
        <v>0</v>
      </c>
      <c r="I90" s="36"/>
      <c r="J90" s="7"/>
      <c r="K90" s="14"/>
      <c r="L90" s="7"/>
      <c r="M90" s="14"/>
      <c r="N90" s="7"/>
      <c r="O90" s="7"/>
      <c r="P90" s="14"/>
      <c r="Q90" s="7"/>
      <c r="R90" s="14"/>
      <c r="S90" s="14"/>
      <c r="T90" s="7"/>
      <c r="U90" s="7"/>
      <c r="V90" s="14"/>
      <c r="W90" s="7"/>
      <c r="X90" s="14"/>
      <c r="Y90" s="227"/>
      <c r="Z90" s="228"/>
      <c r="AA90" s="7"/>
      <c r="AB90" s="7"/>
      <c r="AC90" s="7"/>
      <c r="AD90" s="14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4"/>
      <c r="AR90" s="70"/>
      <c r="AS90" s="7"/>
      <c r="AT90" s="70"/>
      <c r="AU90" s="7"/>
      <c r="AV90" s="70"/>
      <c r="AW90" s="7"/>
      <c r="AX90" s="8"/>
      <c r="AY90" s="36"/>
      <c r="AZ90" s="7"/>
      <c r="BA90" s="7"/>
      <c r="BB90" s="14"/>
      <c r="BC90" s="7"/>
      <c r="BD90" s="7"/>
      <c r="BE90" s="7"/>
      <c r="BF90" s="14"/>
      <c r="BG90" s="7"/>
      <c r="BH90" s="14"/>
      <c r="BI90" s="14"/>
      <c r="BJ90" s="14"/>
      <c r="BK90" s="7"/>
      <c r="BL90" s="14"/>
      <c r="BM90" s="7"/>
      <c r="BN90" s="103"/>
      <c r="BO90" s="14"/>
      <c r="BP90" s="7"/>
      <c r="BQ90" s="7"/>
      <c r="BR90" s="7"/>
      <c r="BS90" s="7"/>
      <c r="BT90" s="7"/>
      <c r="BU90" s="7"/>
      <c r="BV90" s="7"/>
      <c r="BW90" s="7"/>
      <c r="BX90" s="7"/>
      <c r="BY90" s="14"/>
      <c r="BZ90" s="14"/>
      <c r="CA90" s="7"/>
      <c r="CB90" s="7"/>
      <c r="CC90" s="14"/>
      <c r="CD90" s="7"/>
      <c r="CE90" s="7"/>
      <c r="CF90" s="103"/>
      <c r="CG90" s="14"/>
      <c r="CH90" s="7"/>
      <c r="CI90" s="14"/>
      <c r="CJ90" s="70"/>
      <c r="CK90" s="101"/>
      <c r="CL90" s="101"/>
      <c r="CM90" s="74"/>
      <c r="CN90" s="74"/>
      <c r="CO90" s="70"/>
      <c r="CP90" s="74"/>
      <c r="CQ90" s="7"/>
      <c r="CR90" s="74"/>
      <c r="CS90" s="74"/>
      <c r="CT90" s="74"/>
      <c r="CU90" s="74"/>
      <c r="CV90" s="7"/>
      <c r="CW90" s="7"/>
      <c r="CX90" s="7"/>
      <c r="CY90" s="7"/>
      <c r="CZ90" s="7"/>
      <c r="DA90" s="14"/>
      <c r="DB90" s="14"/>
      <c r="DC90" s="14"/>
      <c r="DD90" s="14"/>
      <c r="DE90" s="74"/>
      <c r="DF90" s="74"/>
      <c r="DG90" s="74"/>
      <c r="DH90" s="7"/>
      <c r="DI90" s="7"/>
      <c r="DJ90" s="7"/>
      <c r="DK90" s="7"/>
      <c r="DL90" s="7"/>
      <c r="DM90" s="7"/>
      <c r="DN90" s="14"/>
      <c r="DO90" s="7"/>
      <c r="DP90" s="14"/>
      <c r="DQ90" s="14"/>
      <c r="DR90" s="7"/>
      <c r="DS90" s="7"/>
      <c r="DT90" s="14"/>
      <c r="DU90" s="14"/>
      <c r="DV90" s="14"/>
      <c r="DW90" s="14"/>
      <c r="DX90" s="14"/>
      <c r="DY90" s="14"/>
      <c r="DZ90" s="8">
        <f t="shared" si="15"/>
        <v>0</v>
      </c>
      <c r="EA90" s="3" t="str">
        <f t="shared" si="16"/>
        <v>Clayton, Keith</v>
      </c>
      <c r="EB90" s="2">
        <f t="shared" si="17"/>
        <v>0</v>
      </c>
      <c r="EC90" s="112">
        <f t="shared" si="27"/>
        <v>0</v>
      </c>
      <c r="ED90" s="29">
        <f t="shared" si="19"/>
        <v>0</v>
      </c>
      <c r="EE90" s="2">
        <f t="shared" si="20"/>
        <v>0</v>
      </c>
      <c r="EF90" s="46">
        <f t="shared" si="21"/>
        <v>0</v>
      </c>
      <c r="EG90" s="46">
        <f t="shared" si="22"/>
        <v>0</v>
      </c>
      <c r="EH90" s="2" t="str">
        <f t="shared" si="23"/>
        <v>CA</v>
      </c>
      <c r="EI90" s="29">
        <f>IF(COUNT(I90:AD90)&lt;5,DZ90,SUMPRODUCT(LARGE(I90:AD90,{1,2,3,4,5}))/5)</f>
        <v>0</v>
      </c>
      <c r="EJ90" s="29">
        <f>IF(COUNT(I90:BE90)&lt;5,DZ90,SUMPRODUCT(LARGE(I90:BE90,{1,2,3,4,5}))/5)</f>
        <v>0</v>
      </c>
      <c r="EK90" s="29">
        <f>IF(EG90&lt;0,AVERAGE(I90:DY90),0)</f>
        <v>0</v>
      </c>
      <c r="EL90" s="29">
        <f t="shared" si="24"/>
        <v>0</v>
      </c>
      <c r="EM90" s="116" t="str">
        <f t="shared" si="25"/>
        <v>Clayton, Keith</v>
      </c>
      <c r="EQ90"/>
    </row>
    <row r="91" spans="1:147" x14ac:dyDescent="0.25">
      <c r="A91" s="59">
        <f t="shared" si="26"/>
        <v>88</v>
      </c>
      <c r="B91" s="32" t="s">
        <v>753</v>
      </c>
      <c r="C91" s="5" t="s">
        <v>6</v>
      </c>
      <c r="D91" s="6" t="s">
        <v>88</v>
      </c>
      <c r="E91" s="6">
        <v>49.465977526914976</v>
      </c>
      <c r="F91" s="6">
        <v>49.465977526914976</v>
      </c>
      <c r="G91" s="5">
        <f t="shared" si="14"/>
        <v>0</v>
      </c>
      <c r="H91" s="8">
        <v>49.465977526914976</v>
      </c>
      <c r="I91" s="36"/>
      <c r="J91" s="7"/>
      <c r="K91" s="14"/>
      <c r="L91" s="7"/>
      <c r="M91" s="14"/>
      <c r="N91" s="7"/>
      <c r="O91" s="7"/>
      <c r="P91" s="14"/>
      <c r="Q91" s="7"/>
      <c r="R91" s="14"/>
      <c r="S91" s="14"/>
      <c r="T91" s="7"/>
      <c r="U91" s="7"/>
      <c r="V91" s="14"/>
      <c r="W91" s="7"/>
      <c r="X91" s="14"/>
      <c r="Y91" s="227"/>
      <c r="Z91" s="228"/>
      <c r="AA91" s="7"/>
      <c r="AB91" s="7"/>
      <c r="AC91" s="14"/>
      <c r="AD91" s="14"/>
      <c r="AE91" s="7"/>
      <c r="AF91" s="14"/>
      <c r="AG91" s="7"/>
      <c r="AH91" s="7"/>
      <c r="AI91" s="7"/>
      <c r="AJ91" s="7"/>
      <c r="AK91" s="7"/>
      <c r="AL91" s="7"/>
      <c r="AM91" s="7"/>
      <c r="AN91" s="7"/>
      <c r="AO91" s="74"/>
      <c r="AP91" s="7"/>
      <c r="AQ91" s="74"/>
      <c r="AR91" s="70"/>
      <c r="AS91" s="7"/>
      <c r="AT91" s="70"/>
      <c r="AU91" s="7"/>
      <c r="AV91" s="70"/>
      <c r="AW91" s="7"/>
      <c r="AX91" s="184"/>
      <c r="AY91" s="207"/>
      <c r="AZ91" s="14"/>
      <c r="BA91" s="14"/>
      <c r="BB91" s="14"/>
      <c r="BC91" s="7"/>
      <c r="BD91" s="7"/>
      <c r="BE91" s="7"/>
      <c r="BF91" s="14"/>
      <c r="BG91" s="14"/>
      <c r="BH91" s="14"/>
      <c r="BI91" s="14"/>
      <c r="BJ91" s="14"/>
      <c r="BK91" s="7"/>
      <c r="BL91" s="14"/>
      <c r="BM91" s="7"/>
      <c r="BN91" s="103"/>
      <c r="BO91" s="14"/>
      <c r="BP91" s="7"/>
      <c r="BQ91" s="7"/>
      <c r="BR91" s="7"/>
      <c r="BS91" s="7"/>
      <c r="BT91" s="7"/>
      <c r="BU91" s="7"/>
      <c r="BV91" s="7"/>
      <c r="BW91" s="7"/>
      <c r="BX91" s="7"/>
      <c r="BY91" s="14"/>
      <c r="BZ91" s="14"/>
      <c r="CA91" s="7"/>
      <c r="CB91" s="7"/>
      <c r="CC91" s="14"/>
      <c r="CD91" s="7"/>
      <c r="CE91" s="7"/>
      <c r="CF91" s="14"/>
      <c r="CG91" s="7"/>
      <c r="CH91" s="7"/>
      <c r="CI91" s="14"/>
      <c r="CJ91" s="14"/>
      <c r="CK91" s="101"/>
      <c r="CL91" s="74"/>
      <c r="CM91" s="74"/>
      <c r="CN91" s="74"/>
      <c r="CO91" s="70"/>
      <c r="CP91" s="74"/>
      <c r="CQ91" s="7"/>
      <c r="CR91" s="74"/>
      <c r="CS91" s="74"/>
      <c r="CT91" s="74"/>
      <c r="CU91" s="74"/>
      <c r="CV91" s="7"/>
      <c r="CW91" s="14"/>
      <c r="CX91" s="7"/>
      <c r="CY91" s="7"/>
      <c r="CZ91" s="7"/>
      <c r="DA91" s="14"/>
      <c r="DB91" s="14"/>
      <c r="DC91" s="14"/>
      <c r="DD91" s="14"/>
      <c r="DE91" s="74"/>
      <c r="DF91" s="74"/>
      <c r="DG91" s="74"/>
      <c r="DH91" s="74"/>
      <c r="DI91" s="74"/>
      <c r="DJ91" s="14"/>
      <c r="DK91" s="7"/>
      <c r="DL91" s="7"/>
      <c r="DM91" s="14"/>
      <c r="DN91" s="14"/>
      <c r="DO91" s="14"/>
      <c r="DP91" s="14"/>
      <c r="DQ91" s="103"/>
      <c r="DR91" s="7"/>
      <c r="DS91" s="7"/>
      <c r="DT91" s="14"/>
      <c r="DU91" s="14"/>
      <c r="DV91" s="14"/>
      <c r="DW91" s="14"/>
      <c r="DX91" s="7"/>
      <c r="DY91" s="14"/>
      <c r="DZ91" s="8">
        <f t="shared" si="15"/>
        <v>49.465977526914976</v>
      </c>
      <c r="EA91" s="3" t="str">
        <f t="shared" si="16"/>
        <v>Clegg, Steve</v>
      </c>
      <c r="EB91" s="2">
        <f t="shared" si="17"/>
        <v>0</v>
      </c>
      <c r="EC91" s="112">
        <f t="shared" si="27"/>
        <v>49.465977526914976</v>
      </c>
      <c r="ED91" s="29">
        <f t="shared" si="19"/>
        <v>0</v>
      </c>
      <c r="EE91" s="2">
        <f t="shared" si="20"/>
        <v>0</v>
      </c>
      <c r="EF91" s="46">
        <f t="shared" si="21"/>
        <v>0</v>
      </c>
      <c r="EG91" s="46">
        <f t="shared" si="22"/>
        <v>0</v>
      </c>
      <c r="EH91" s="2" t="str">
        <f t="shared" si="23"/>
        <v>WI</v>
      </c>
      <c r="EI91" s="29">
        <f>IF(COUNT(I91:Y91)&lt;5,DZ91,SUMPRODUCT(LARGE(I91:Y91,{1,2,3,4,5}))/5)</f>
        <v>49.465977526914976</v>
      </c>
      <c r="EJ91" s="29">
        <f>IF(COUNT(I91:AX91)&lt;5,DZ91,SUMPRODUCT(LARGE(I91:AX91,{1,2,3,4,5}))/5)</f>
        <v>49.465977526914976</v>
      </c>
      <c r="EK91" s="112">
        <f>IF(EG91&lt;0,AVERAGE(I91:DY91),0)</f>
        <v>0</v>
      </c>
      <c r="EL91" s="29">
        <f t="shared" si="24"/>
        <v>0</v>
      </c>
      <c r="EM91" s="116" t="str">
        <f t="shared" si="25"/>
        <v>Clegg, Steve</v>
      </c>
      <c r="EQ91"/>
    </row>
    <row r="92" spans="1:147" x14ac:dyDescent="0.25">
      <c r="A92" s="59">
        <f t="shared" si="26"/>
        <v>89</v>
      </c>
      <c r="B92" s="4" t="s">
        <v>8</v>
      </c>
      <c r="C92" s="5" t="s">
        <v>6</v>
      </c>
      <c r="D92" s="5" t="s">
        <v>62</v>
      </c>
      <c r="E92" s="6">
        <v>73.880564814842387</v>
      </c>
      <c r="F92" s="6">
        <v>67.132561141984624</v>
      </c>
      <c r="G92" s="5">
        <f t="shared" si="14"/>
        <v>5</v>
      </c>
      <c r="H92" s="60">
        <v>73.880564814842387</v>
      </c>
      <c r="I92" s="107"/>
      <c r="J92" s="7"/>
      <c r="K92" s="103"/>
      <c r="L92" s="7"/>
      <c r="M92" s="103"/>
      <c r="N92" s="7"/>
      <c r="O92" s="7"/>
      <c r="P92" s="74"/>
      <c r="Q92" s="7"/>
      <c r="R92" s="103"/>
      <c r="S92" s="103"/>
      <c r="T92" s="7"/>
      <c r="U92" s="7"/>
      <c r="V92" s="74"/>
      <c r="W92" s="7"/>
      <c r="X92" s="103"/>
      <c r="Y92" s="227"/>
      <c r="Z92" s="7"/>
      <c r="AA92" s="74"/>
      <c r="AB92" s="7"/>
      <c r="AC92" s="14"/>
      <c r="AD92" s="103"/>
      <c r="AE92" s="7"/>
      <c r="AF92" s="103"/>
      <c r="AG92" s="74"/>
      <c r="AH92" s="7"/>
      <c r="AI92" s="7"/>
      <c r="AJ92" s="7"/>
      <c r="AK92" s="7"/>
      <c r="AL92" s="74">
        <f>(INDEX('Race 30'!$E$8:$E$200,(MATCH($B92,'Race 30'!$B$8:$B$200,0)),1))*100</f>
        <v>67.132561141984624</v>
      </c>
      <c r="AM92" s="7"/>
      <c r="AN92" s="7"/>
      <c r="AO92" s="7"/>
      <c r="AP92" s="7"/>
      <c r="AQ92" s="74"/>
      <c r="AR92" s="101"/>
      <c r="AS92" s="7"/>
      <c r="AT92" s="101"/>
      <c r="AU92" s="7"/>
      <c r="AV92" s="101"/>
      <c r="AW92" s="7"/>
      <c r="AX92" s="184"/>
      <c r="AY92" s="208"/>
      <c r="AZ92" s="103"/>
      <c r="BA92" s="103"/>
      <c r="BB92" s="103"/>
      <c r="BC92" s="74"/>
      <c r="BD92" s="7"/>
      <c r="BE92" s="7"/>
      <c r="BF92" s="103"/>
      <c r="BG92" s="103"/>
      <c r="BH92" s="103"/>
      <c r="BI92" s="103"/>
      <c r="BJ92" s="103"/>
      <c r="BK92" s="7"/>
      <c r="BL92" s="103"/>
      <c r="BM92" s="7"/>
      <c r="BN92" s="103"/>
      <c r="BO92" s="103"/>
      <c r="BP92" s="7"/>
      <c r="BQ92" s="7"/>
      <c r="BR92" s="74"/>
      <c r="BS92" s="7">
        <f>(INDEX('Race 63'!$E$8:$E$200,(MATCH($B92,'Race 63'!$B$8:$B$200,0)),1))*100</f>
        <v>71.239745491658141</v>
      </c>
      <c r="BT92" s="7"/>
      <c r="BU92" s="74"/>
      <c r="BV92" s="74"/>
      <c r="BW92" s="74"/>
      <c r="BX92" s="74"/>
      <c r="BY92" s="103"/>
      <c r="BZ92" s="103"/>
      <c r="CA92" s="7"/>
      <c r="CB92" s="74"/>
      <c r="CC92" s="103"/>
      <c r="CD92" s="74"/>
      <c r="CE92" s="7"/>
      <c r="CF92" s="103"/>
      <c r="CG92" s="103"/>
      <c r="CH92" s="7"/>
      <c r="CI92" s="103"/>
      <c r="CJ92" s="103"/>
      <c r="CK92" s="101"/>
      <c r="CL92" s="74"/>
      <c r="CM92" s="74"/>
      <c r="CN92" s="74"/>
      <c r="CO92" s="74">
        <f>(INDEX('Race 85'!$E$8:$E$200,(MATCH($B92,'Race 85'!$B$8:$B$200,0)),1))*100</f>
        <v>72.492302770199132</v>
      </c>
      <c r="CP92" s="7"/>
      <c r="CQ92" s="74">
        <f>(INDEX('Race 87'!$E$8:$E$200,(MATCH($B92,'Race 87'!$B$8:$B$200,0)),1))*100</f>
        <v>73.578216256761934</v>
      </c>
      <c r="CR92" s="74"/>
      <c r="CS92" s="74"/>
      <c r="CT92" s="7"/>
      <c r="CU92" s="74"/>
      <c r="CV92" s="7">
        <f>(INDEX('Race 92'!$E$8:$E$200,(MATCH($B92,'Race 92'!$B$8:$B$200,0)),1))*100</f>
        <v>67.98960699647175</v>
      </c>
      <c r="CW92" s="103"/>
      <c r="CX92" s="7"/>
      <c r="CY92" s="7"/>
      <c r="CZ92" s="74"/>
      <c r="DA92" s="103"/>
      <c r="DB92" s="103"/>
      <c r="DC92" s="103"/>
      <c r="DD92" s="103"/>
      <c r="DE92" s="74"/>
      <c r="DF92" s="74"/>
      <c r="DG92" s="74"/>
      <c r="DH92" s="74"/>
      <c r="DI92" s="74"/>
      <c r="DJ92" s="103"/>
      <c r="DK92" s="74"/>
      <c r="DL92" s="74"/>
      <c r="DM92" s="103"/>
      <c r="DN92" s="103"/>
      <c r="DO92" s="103"/>
      <c r="DP92" s="7"/>
      <c r="DQ92" s="103"/>
      <c r="DR92" s="7"/>
      <c r="DS92" s="7"/>
      <c r="DT92" s="103"/>
      <c r="DU92" s="103"/>
      <c r="DV92" s="103"/>
      <c r="DW92" s="103"/>
      <c r="DX92" s="103"/>
      <c r="DY92" s="103"/>
      <c r="DZ92" s="8">
        <f t="shared" si="15"/>
        <v>70.486486531415125</v>
      </c>
      <c r="EA92" s="3" t="str">
        <f t="shared" si="16"/>
        <v>Cleveland, Dave</v>
      </c>
      <c r="EB92" s="2">
        <f t="shared" si="17"/>
        <v>1</v>
      </c>
      <c r="EC92" s="112">
        <f t="shared" si="27"/>
        <v>73.880564814842387</v>
      </c>
      <c r="ED92" s="29">
        <f t="shared" si="19"/>
        <v>69.349160302454862</v>
      </c>
      <c r="EE92" s="2">
        <f t="shared" si="20"/>
        <v>0</v>
      </c>
      <c r="EF92" s="46">
        <f t="shared" si="21"/>
        <v>1</v>
      </c>
      <c r="EG92" s="46">
        <f t="shared" si="22"/>
        <v>5</v>
      </c>
      <c r="EH92" s="29" t="str">
        <f t="shared" si="23"/>
        <v>CO</v>
      </c>
      <c r="EI92" s="29">
        <f>IF(COUNT(I92:Y92)&lt;5,DZ92,SUMPRODUCT(LARGE(I92:Y92,{1,2,3,4,5}))/5)</f>
        <v>70.486486531415125</v>
      </c>
      <c r="EJ92" s="29">
        <f>IF(COUNT(I92:AX92)&lt;5,DZ92,SUMPRODUCT(LARGE(I92:AX92,{1,2,3,4,5}))/5)</f>
        <v>70.486486531415125</v>
      </c>
      <c r="EK92" s="29">
        <f>IF(COUNT(I92:DY92)&lt;5,AVERAGE(I92:DY92),SUMPRODUCT(LARGE(I92:DY92,{1,2,3,4,5}))/5)</f>
        <v>70.486486531415125</v>
      </c>
      <c r="EL92" s="29">
        <f t="shared" si="24"/>
        <v>69.349160302454862</v>
      </c>
      <c r="EM92" s="116" t="str">
        <f t="shared" si="25"/>
        <v>Cleveland, Dave</v>
      </c>
      <c r="EQ92"/>
    </row>
    <row r="93" spans="1:147" x14ac:dyDescent="0.25">
      <c r="A93" s="59">
        <f t="shared" si="26"/>
        <v>90</v>
      </c>
      <c r="B93" s="32" t="s">
        <v>772</v>
      </c>
      <c r="C93" s="5" t="s">
        <v>16</v>
      </c>
      <c r="D93" s="6" t="s">
        <v>63</v>
      </c>
      <c r="E93" s="6">
        <v>83.596812974510229</v>
      </c>
      <c r="F93" s="6">
        <v>81.785334346671192</v>
      </c>
      <c r="G93" s="5">
        <f t="shared" si="14"/>
        <v>11</v>
      </c>
      <c r="H93" s="8">
        <v>72.044863189139662</v>
      </c>
      <c r="I93" s="36"/>
      <c r="J93" s="7"/>
      <c r="K93" s="14"/>
      <c r="L93" s="7"/>
      <c r="M93" s="14"/>
      <c r="N93" s="7"/>
      <c r="O93" s="7"/>
      <c r="P93" s="14"/>
      <c r="Q93" s="7"/>
      <c r="R93" s="14"/>
      <c r="S93" s="14"/>
      <c r="T93" s="7"/>
      <c r="U93" s="7"/>
      <c r="V93" s="14"/>
      <c r="W93" s="7"/>
      <c r="X93" s="14">
        <f>(INDEX('Race 16'!$E$8:$E$200,(MATCH($B93,'Race 16'!$B$8:$B$200,0)),1))*100</f>
        <v>87.651812169264389</v>
      </c>
      <c r="Y93" s="227">
        <f>(INDEX('Race 17'!$E$8:$E$200,(MATCH($B93,'Race 17'!$B$8:$B$200,0)),1))*100</f>
        <v>79.541813779756069</v>
      </c>
      <c r="Z93" s="228"/>
      <c r="AA93" s="7"/>
      <c r="AB93" s="7"/>
      <c r="AC93" s="14"/>
      <c r="AD93" s="14"/>
      <c r="AE93" s="7"/>
      <c r="AF93" s="14"/>
      <c r="AG93" s="7"/>
      <c r="AH93" s="7"/>
      <c r="AI93" s="7"/>
      <c r="AJ93" s="7"/>
      <c r="AK93" s="7"/>
      <c r="AL93" s="7"/>
      <c r="AM93" s="7"/>
      <c r="AN93" s="7"/>
      <c r="AO93" s="74"/>
      <c r="AP93" s="7"/>
      <c r="AQ93" s="74"/>
      <c r="AR93" s="70"/>
      <c r="AS93" s="7"/>
      <c r="AT93" s="101">
        <f>(INDEX('Race 38'!$E$8:$E$200,(MATCH($B93,'Race 38'!$B$8:$B$200,0)),1))*100</f>
        <v>79.531170797821986</v>
      </c>
      <c r="AU93" s="74">
        <f>(INDEX('Race 39'!$E$8:$E$200,(MATCH($B93,'Race 39'!$B$8:$B$200,0)),1))*100</f>
        <v>85.047057952295745</v>
      </c>
      <c r="AV93" s="101"/>
      <c r="AW93" s="74"/>
      <c r="AX93" s="8">
        <f>(INDEX('Race 42'!$E$8:$E$200,(MATCH($B93,'Race 42'!$B$8:$B$200,0)),1))*100</f>
        <v>77.154817034217814</v>
      </c>
      <c r="AY93" s="207"/>
      <c r="AZ93" s="14">
        <f>(INDEX('Race 44'!$E$8:$E$200,(MATCH($B93,'Race 44'!$B$8:$B$200,0)),1))*100</f>
        <v>73.816462416427825</v>
      </c>
      <c r="BA93" s="14"/>
      <c r="BB93" s="7">
        <f>(INDEX('Race 46'!$E$8:$E$200,(MATCH($B93,'Race 46'!$B$8:$B$200,0)),1))*100</f>
        <v>76.872154401676752</v>
      </c>
      <c r="BC93" s="7"/>
      <c r="BD93" s="7"/>
      <c r="BE93" s="7"/>
      <c r="BF93" s="14"/>
      <c r="BG93" s="14"/>
      <c r="BH93" s="14"/>
      <c r="BI93" s="14"/>
      <c r="BJ93" s="70"/>
      <c r="BK93" s="74">
        <f>(INDEX('Race 55'!$E$8:$E$200,(MATCH($B93,'Race 55'!$B$8:$B$200,0)),1))*100</f>
        <v>81.814899747822906</v>
      </c>
      <c r="BL93" s="7"/>
      <c r="BM93" s="7"/>
      <c r="BN93" s="103"/>
      <c r="BO93" s="14"/>
      <c r="BP93" s="7"/>
      <c r="BQ93" s="7"/>
      <c r="BR93" s="7"/>
      <c r="BS93" s="7"/>
      <c r="BT93" s="7"/>
      <c r="BU93" s="7"/>
      <c r="BV93" s="7"/>
      <c r="BW93" s="7"/>
      <c r="BX93" s="7"/>
      <c r="BY93" s="14"/>
      <c r="BZ93" s="14"/>
      <c r="CA93" s="7"/>
      <c r="CB93" s="7"/>
      <c r="CC93" s="7"/>
      <c r="CD93" s="7"/>
      <c r="CE93" s="7"/>
      <c r="CF93" s="103"/>
      <c r="CG93" s="14"/>
      <c r="CH93" s="7"/>
      <c r="CI93" s="70"/>
      <c r="CJ93" s="14"/>
      <c r="CK93" s="101"/>
      <c r="CL93" s="74"/>
      <c r="CM93" s="74"/>
      <c r="CN93" s="74"/>
      <c r="CO93" s="70">
        <f>(INDEX('Race 85'!$E$8:$E$200,(MATCH($B93,'Race 85'!$B$8:$B$200,0)),1))*100</f>
        <v>81.522311257231593</v>
      </c>
      <c r="CP93" s="74"/>
      <c r="CQ93" s="7">
        <f>(INDEX('Race 87'!$E$8:$E$200,(MATCH($B93,'Race 87'!$B$8:$B$200,0)),1))*100</f>
        <v>76.933522855027917</v>
      </c>
      <c r="CR93" s="74"/>
      <c r="CS93" s="74"/>
      <c r="CT93" s="74"/>
      <c r="CU93" s="74"/>
      <c r="CV93" s="7"/>
      <c r="CW93" s="14">
        <f>(INDEX('Race 93'!$E$8:$E$200,(MATCH($B93,'Race 93'!$B$8:$B$200,0)),1))*100</f>
        <v>78.813129724681446</v>
      </c>
      <c r="CX93" s="7"/>
      <c r="CY93" s="7"/>
      <c r="CZ93" s="7"/>
      <c r="DA93" s="14"/>
      <c r="DB93" s="14"/>
      <c r="DC93" s="14"/>
      <c r="DD93" s="14"/>
      <c r="DE93" s="74"/>
      <c r="DF93" s="74"/>
      <c r="DG93" s="74"/>
      <c r="DH93" s="7"/>
      <c r="DI93" s="7"/>
      <c r="DJ93" s="7"/>
      <c r="DK93" s="7"/>
      <c r="DL93" s="7"/>
      <c r="DM93" s="7"/>
      <c r="DN93" s="14"/>
      <c r="DO93" s="14"/>
      <c r="DP93" s="14"/>
      <c r="DQ93" s="14"/>
      <c r="DR93" s="7"/>
      <c r="DS93" s="7"/>
      <c r="DT93" s="14"/>
      <c r="DU93" s="14"/>
      <c r="DV93" s="14"/>
      <c r="DW93" s="14"/>
      <c r="DX93" s="14"/>
      <c r="DY93" s="14"/>
      <c r="DZ93" s="8">
        <f t="shared" si="15"/>
        <v>79.881741103293123</v>
      </c>
      <c r="EA93" s="3" t="str">
        <f t="shared" si="16"/>
        <v>Cobb, Tim</v>
      </c>
      <c r="EB93" s="2">
        <f t="shared" si="17"/>
        <v>1</v>
      </c>
      <c r="EC93" s="112">
        <f t="shared" si="27"/>
        <v>72.044863189139662</v>
      </c>
      <c r="ED93" s="29">
        <f t="shared" si="19"/>
        <v>81.774477549462944</v>
      </c>
      <c r="EE93" s="2">
        <f t="shared" si="20"/>
        <v>2</v>
      </c>
      <c r="EF93" s="46">
        <f t="shared" si="21"/>
        <v>8</v>
      </c>
      <c r="EG93" s="46">
        <f t="shared" si="22"/>
        <v>11</v>
      </c>
      <c r="EH93" s="2" t="str">
        <f t="shared" si="23"/>
        <v>VT</v>
      </c>
      <c r="EI93" s="29">
        <f>IF(COUNT(I93:Y93)&lt;5,DZ93,SUMPRODUCT(LARGE(I93:Y93,{1,2,3,4,5}))/5)</f>
        <v>79.881741103293123</v>
      </c>
      <c r="EJ93" s="29">
        <f>IF(COUNT(I93:AX93)&lt;5,DZ93,SUMPRODUCT(LARGE(I93:AX93,{1,2,3,4,5}))/5)</f>
        <v>81.785334346671192</v>
      </c>
      <c r="EK93" s="29">
        <f>IF(COUNT(I93:DY93)&lt;5,AVERAGE(I93:DY93),SUMPRODUCT(LARGE(I93:DY93,{1,2,3,4,5}))/5)</f>
        <v>83.11557898127414</v>
      </c>
      <c r="EL93" s="29">
        <f t="shared" si="24"/>
        <v>81.774477549462944</v>
      </c>
      <c r="EM93" s="116" t="str">
        <f t="shared" si="25"/>
        <v>Cobb, Tim</v>
      </c>
      <c r="EQ93"/>
    </row>
    <row r="94" spans="1:147" x14ac:dyDescent="0.25">
      <c r="A94" s="59">
        <f t="shared" si="26"/>
        <v>91</v>
      </c>
      <c r="B94" s="32" t="s">
        <v>1120</v>
      </c>
      <c r="C94" s="5" t="s">
        <v>6</v>
      </c>
      <c r="D94" s="6" t="s">
        <v>57</v>
      </c>
      <c r="E94" s="6">
        <v>0</v>
      </c>
      <c r="F94" s="6">
        <v>46.017333120468322</v>
      </c>
      <c r="G94" s="5">
        <f t="shared" si="14"/>
        <v>1</v>
      </c>
      <c r="H94" s="8">
        <v>0</v>
      </c>
      <c r="I94" s="107"/>
      <c r="J94" s="7"/>
      <c r="K94" s="103"/>
      <c r="L94" s="7"/>
      <c r="M94" s="103"/>
      <c r="N94" s="74"/>
      <c r="O94" s="7"/>
      <c r="P94" s="103"/>
      <c r="Q94" s="7"/>
      <c r="R94" s="103"/>
      <c r="S94" s="74"/>
      <c r="T94" s="7"/>
      <c r="U94" s="7"/>
      <c r="V94" s="74"/>
      <c r="W94" s="74"/>
      <c r="X94" s="103"/>
      <c r="Y94" s="227"/>
      <c r="Z94" s="228"/>
      <c r="AA94" s="74"/>
      <c r="AB94" s="74"/>
      <c r="AC94" s="103"/>
      <c r="AD94" s="103"/>
      <c r="AE94" s="7"/>
      <c r="AF94" s="103"/>
      <c r="AG94" s="74"/>
      <c r="AH94" s="7"/>
      <c r="AI94" s="7"/>
      <c r="AJ94" s="7"/>
      <c r="AK94" s="7"/>
      <c r="AL94" s="7"/>
      <c r="AM94" s="7"/>
      <c r="AN94" s="7"/>
      <c r="AO94" s="74"/>
      <c r="AP94" s="7"/>
      <c r="AQ94" s="74"/>
      <c r="AR94" s="101"/>
      <c r="AS94" s="7"/>
      <c r="AT94" s="101"/>
      <c r="AU94" s="7"/>
      <c r="AV94" s="101"/>
      <c r="AW94" s="7"/>
      <c r="AX94" s="184"/>
      <c r="AY94" s="207">
        <f>(INDEX('Race 43'!$E$8:$E$200,(MATCH($B94,'Race 43'!$B$8:$B$200,0)),1))*100</f>
        <v>46.606666598930907</v>
      </c>
      <c r="AZ94" s="74"/>
      <c r="BA94" s="103"/>
      <c r="BB94" s="103"/>
      <c r="BC94" s="74"/>
      <c r="BD94" s="7"/>
      <c r="BE94" s="7"/>
      <c r="BF94" s="103"/>
      <c r="BG94" s="103"/>
      <c r="BH94" s="103"/>
      <c r="BI94" s="103"/>
      <c r="BJ94" s="74"/>
      <c r="BK94" s="7"/>
      <c r="BL94" s="74"/>
      <c r="BM94" s="7"/>
      <c r="BN94" s="103"/>
      <c r="BO94" s="103"/>
      <c r="BP94" s="7"/>
      <c r="BQ94" s="7"/>
      <c r="BR94" s="74"/>
      <c r="BS94" s="7"/>
      <c r="BT94" s="7"/>
      <c r="BU94" s="74"/>
      <c r="BV94" s="74"/>
      <c r="BW94" s="74"/>
      <c r="BX94" s="74"/>
      <c r="BY94" s="103"/>
      <c r="BZ94" s="74"/>
      <c r="CA94" s="7"/>
      <c r="CB94" s="74"/>
      <c r="CC94" s="103"/>
      <c r="CD94" s="74"/>
      <c r="CE94" s="7"/>
      <c r="CF94" s="74"/>
      <c r="CG94" s="103"/>
      <c r="CH94" s="70"/>
      <c r="CI94" s="103"/>
      <c r="CJ94" s="103"/>
      <c r="CK94" s="101"/>
      <c r="CL94" s="74"/>
      <c r="CM94" s="74"/>
      <c r="CN94" s="74"/>
      <c r="CO94" s="101"/>
      <c r="CP94" s="74"/>
      <c r="CQ94" s="74"/>
      <c r="CR94" s="74"/>
      <c r="CS94" s="74"/>
      <c r="CT94" s="74"/>
      <c r="CU94" s="74"/>
      <c r="CV94" s="74"/>
      <c r="CW94" s="103"/>
      <c r="CX94" s="7"/>
      <c r="CY94" s="7"/>
      <c r="CZ94" s="74"/>
      <c r="DA94" s="103"/>
      <c r="DB94" s="103"/>
      <c r="DC94" s="103"/>
      <c r="DD94" s="103"/>
      <c r="DE94" s="74"/>
      <c r="DF94" s="74"/>
      <c r="DG94" s="74"/>
      <c r="DH94" s="74"/>
      <c r="DI94" s="74"/>
      <c r="DJ94" s="74"/>
      <c r="DK94" s="74"/>
      <c r="DL94" s="74"/>
      <c r="DM94" s="74"/>
      <c r="DN94" s="103"/>
      <c r="DO94" s="74"/>
      <c r="DP94" s="103"/>
      <c r="DQ94" s="103"/>
      <c r="DR94" s="74"/>
      <c r="DS94" s="74"/>
      <c r="DT94" s="103"/>
      <c r="DU94" s="103"/>
      <c r="DV94" s="103"/>
      <c r="DW94" s="103"/>
      <c r="DX94" s="103"/>
      <c r="DY94" s="105"/>
      <c r="DZ94" s="8">
        <f t="shared" si="15"/>
        <v>46.606666598930907</v>
      </c>
      <c r="EA94" s="3" t="str">
        <f t="shared" si="16"/>
        <v>Collinsworth, Mitch</v>
      </c>
      <c r="EB94" s="2">
        <f t="shared" si="17"/>
        <v>1</v>
      </c>
      <c r="EC94" s="112">
        <f t="shared" si="27"/>
        <v>0</v>
      </c>
      <c r="ED94" s="29">
        <f t="shared" si="19"/>
        <v>45.854650333462125</v>
      </c>
      <c r="EE94" s="2">
        <f t="shared" si="20"/>
        <v>0</v>
      </c>
      <c r="EF94" s="46">
        <f t="shared" si="21"/>
        <v>1</v>
      </c>
      <c r="EG94" s="46">
        <f t="shared" si="22"/>
        <v>1</v>
      </c>
      <c r="EH94" s="29" t="str">
        <f t="shared" si="23"/>
        <v>NY</v>
      </c>
      <c r="EI94" s="29">
        <f>IF(COUNT(I94:AD94)&lt;5,DZ94,SUMPRODUCT(LARGE(I94:AD94,{1,2,3,4,5}))/5)</f>
        <v>46.606666598930907</v>
      </c>
      <c r="EJ94" s="29">
        <f>IF(COUNT(I94:AX94)&lt;5,DZ94,SUMPRODUCT(LARGE(I94:AX94,{1,2,3,4,5}))/5)</f>
        <v>46.606666598930907</v>
      </c>
      <c r="EK94" s="29">
        <f>IF(COUNT(I94:DY94)&lt;5,AVERAGE(I94:DY94),SUMPRODUCT(LARGE(I94:DY94,{1,2,3,4,5}))/5)</f>
        <v>46.606666598930907</v>
      </c>
      <c r="EL94" s="29">
        <f t="shared" si="24"/>
        <v>45.854650333462125</v>
      </c>
      <c r="EM94" s="116" t="str">
        <f t="shared" si="25"/>
        <v>Collinsworth, Mitch</v>
      </c>
      <c r="EQ94"/>
    </row>
    <row r="95" spans="1:147" x14ac:dyDescent="0.25">
      <c r="A95" s="59">
        <f t="shared" si="26"/>
        <v>92</v>
      </c>
      <c r="B95" s="32" t="s">
        <v>827</v>
      </c>
      <c r="C95" s="5" t="s">
        <v>6</v>
      </c>
      <c r="D95" s="6" t="s">
        <v>69</v>
      </c>
      <c r="E95" s="6">
        <v>40.052560358075667</v>
      </c>
      <c r="F95" s="6">
        <v>42.136488704099797</v>
      </c>
      <c r="G95" s="5">
        <f t="shared" si="14"/>
        <v>5</v>
      </c>
      <c r="H95" s="8">
        <v>40.052560358075667</v>
      </c>
      <c r="I95" s="36"/>
      <c r="J95" s="7"/>
      <c r="K95" s="14"/>
      <c r="L95" s="7"/>
      <c r="M95" s="14"/>
      <c r="N95" s="7"/>
      <c r="O95" s="7"/>
      <c r="P95" s="14"/>
      <c r="Q95" s="7"/>
      <c r="R95" s="14"/>
      <c r="S95" s="14"/>
      <c r="T95" s="7"/>
      <c r="U95" s="7"/>
      <c r="V95" s="14"/>
      <c r="W95" s="7"/>
      <c r="X95" s="14"/>
      <c r="Y95" s="227"/>
      <c r="Z95" s="228"/>
      <c r="AA95" s="7"/>
      <c r="AB95" s="7"/>
      <c r="AC95" s="14"/>
      <c r="AD95" s="14"/>
      <c r="AE95" s="7"/>
      <c r="AF95" s="7"/>
      <c r="AG95" s="7"/>
      <c r="AH95" s="7"/>
      <c r="AI95" s="7"/>
      <c r="AJ95" s="7"/>
      <c r="AK95" s="7"/>
      <c r="AL95" s="7"/>
      <c r="AM95" s="74">
        <f>(INDEX('Race 31'!$E$8:$E$200,(MATCH($B95,'Race 31'!$B$8:$B$200,0)),1))*100</f>
        <v>45.541686957674173</v>
      </c>
      <c r="AN95" s="74">
        <f>(INDEX('Race 32'!$E$8:$E$200,(MATCH($B95,'Race 32'!$B$8:$B$200,0)),1))*100</f>
        <v>38.731290450525421</v>
      </c>
      <c r="AO95" s="74"/>
      <c r="AP95" s="7"/>
      <c r="AQ95" s="74"/>
      <c r="AR95" s="70"/>
      <c r="AS95" s="7"/>
      <c r="AT95" s="70"/>
      <c r="AU95" s="7"/>
      <c r="AV95" s="70"/>
      <c r="AW95" s="7"/>
      <c r="AX95" s="184"/>
      <c r="AY95" s="207"/>
      <c r="AZ95" s="14"/>
      <c r="BA95" s="7"/>
      <c r="BB95" s="14"/>
      <c r="BC95" s="7"/>
      <c r="BD95" s="7"/>
      <c r="BE95" s="7"/>
      <c r="BF95" s="14"/>
      <c r="BG95" s="14"/>
      <c r="BH95" s="70"/>
      <c r="BI95" s="14"/>
      <c r="BJ95" s="14"/>
      <c r="BK95" s="7"/>
      <c r="BL95" s="14"/>
      <c r="BM95" s="7"/>
      <c r="BN95" s="74"/>
      <c r="BO95" s="14"/>
      <c r="BP95" s="7"/>
      <c r="BQ95" s="7"/>
      <c r="BR95" s="7"/>
      <c r="BS95" s="7"/>
      <c r="BT95" s="7"/>
      <c r="BU95" s="70"/>
      <c r="BV95" s="70"/>
      <c r="BW95" s="7"/>
      <c r="BX95" s="7"/>
      <c r="BY95" s="14"/>
      <c r="BZ95" s="14"/>
      <c r="CA95" s="7">
        <f>(INDEX('Race 71'!$E$8:$E$200,(MATCH($B95,'Race 71'!$B$8:$B$200,0)),1))*100</f>
        <v>43.819791800890037</v>
      </c>
      <c r="CB95" s="7"/>
      <c r="CC95" s="14"/>
      <c r="CD95" s="7"/>
      <c r="CE95" s="74"/>
      <c r="CF95" s="74"/>
      <c r="CG95" s="14"/>
      <c r="CH95" s="70"/>
      <c r="CI95" s="14"/>
      <c r="CJ95" s="14"/>
      <c r="CK95" s="101">
        <f>(INDEX('Race 81'!$E$8:$E$200,(MATCH($B95,'Race 81'!$B$8:$B$200,0)),1))*100</f>
        <v>41.779363662099904</v>
      </c>
      <c r="CL95" s="74">
        <f>(INDEX('Race 82'!$E$8:$E$200,(MATCH($B95,'Race 82'!$B$8:$B$200,0)),1))*100</f>
        <v>48.167893208176608</v>
      </c>
      <c r="CM95" s="74"/>
      <c r="CN95" s="74"/>
      <c r="CO95" s="70"/>
      <c r="CP95" s="74"/>
      <c r="CQ95" s="7"/>
      <c r="CR95" s="74"/>
      <c r="CS95" s="74"/>
      <c r="CT95" s="74"/>
      <c r="CU95" s="74"/>
      <c r="CV95" s="7"/>
      <c r="CW95" s="14"/>
      <c r="CX95" s="7"/>
      <c r="CY95" s="7"/>
      <c r="CZ95" s="7"/>
      <c r="DA95" s="14"/>
      <c r="DB95" s="14"/>
      <c r="DC95" s="14"/>
      <c r="DD95" s="14"/>
      <c r="DE95" s="74"/>
      <c r="DF95" s="7"/>
      <c r="DG95" s="7"/>
      <c r="DH95" s="7"/>
      <c r="DI95" s="7"/>
      <c r="DJ95" s="14"/>
      <c r="DK95" s="7"/>
      <c r="DL95" s="7"/>
      <c r="DM95" s="14"/>
      <c r="DN95" s="14"/>
      <c r="DO95" s="14"/>
      <c r="DP95" s="14"/>
      <c r="DQ95" s="14"/>
      <c r="DR95" s="7"/>
      <c r="DS95" s="7"/>
      <c r="DT95" s="14"/>
      <c r="DU95" s="14"/>
      <c r="DV95" s="14"/>
      <c r="DW95" s="14"/>
      <c r="DX95" s="7"/>
      <c r="DY95" s="14"/>
      <c r="DZ95" s="8">
        <f t="shared" si="15"/>
        <v>43.608005215873234</v>
      </c>
      <c r="EA95" s="3" t="str">
        <f t="shared" si="16"/>
        <v>Colvard, John</v>
      </c>
      <c r="EB95" s="2">
        <f t="shared" si="17"/>
        <v>1</v>
      </c>
      <c r="EC95" s="112">
        <f t="shared" si="27"/>
        <v>40.052560358075667</v>
      </c>
      <c r="ED95" s="29">
        <f t="shared" si="19"/>
        <v>42.904373490626952</v>
      </c>
      <c r="EE95" s="2">
        <f t="shared" si="20"/>
        <v>0</v>
      </c>
      <c r="EF95" s="46">
        <f t="shared" si="21"/>
        <v>2</v>
      </c>
      <c r="EG95" s="46">
        <f t="shared" si="22"/>
        <v>5</v>
      </c>
      <c r="EH95" s="29" t="str">
        <f t="shared" si="23"/>
        <v>WA</v>
      </c>
      <c r="EI95" s="29">
        <f>IF(COUNT(I95:Y95)&lt;5,DZ95,SUMPRODUCT(LARGE(I95:Y95,{1,2,3,4,5}))/5)</f>
        <v>43.608005215873234</v>
      </c>
      <c r="EJ95" s="29">
        <f>IF(COUNT(I95:AX95)&lt;5,DZ95,SUMPRODUCT(LARGE(I95:AX95,{1,2,3,4,5}))/5)</f>
        <v>43.608005215873234</v>
      </c>
      <c r="EK95" s="29">
        <f>IF(COUNT(I95:DY95)&lt;5,AVERAGE(I95:DY95),SUMPRODUCT(LARGE(I95:DY95,{1,2,3,4,5}))/5)</f>
        <v>43.608005215873234</v>
      </c>
      <c r="EL95" s="29">
        <f t="shared" si="24"/>
        <v>42.904373490626952</v>
      </c>
      <c r="EM95" s="116" t="str">
        <f t="shared" si="25"/>
        <v>Colvard, John</v>
      </c>
      <c r="EQ95"/>
    </row>
    <row r="96" spans="1:147" x14ac:dyDescent="0.25">
      <c r="A96" s="59">
        <f t="shared" si="26"/>
        <v>93</v>
      </c>
      <c r="B96" s="32" t="s">
        <v>495</v>
      </c>
      <c r="C96" s="5" t="s">
        <v>6</v>
      </c>
      <c r="D96" s="6" t="s">
        <v>76</v>
      </c>
      <c r="E96" s="6">
        <v>48.808610178578434</v>
      </c>
      <c r="F96" s="6">
        <v>48.808610178578434</v>
      </c>
      <c r="G96" s="5">
        <f t="shared" si="14"/>
        <v>0</v>
      </c>
      <c r="H96" s="8">
        <v>48.808610178578434</v>
      </c>
      <c r="I96" s="107"/>
      <c r="J96" s="7"/>
      <c r="K96" s="103"/>
      <c r="L96" s="7"/>
      <c r="M96" s="14"/>
      <c r="N96" s="7"/>
      <c r="O96" s="74"/>
      <c r="P96" s="103"/>
      <c r="Q96" s="7"/>
      <c r="R96" s="103"/>
      <c r="S96" s="103"/>
      <c r="T96" s="74"/>
      <c r="U96" s="7"/>
      <c r="V96" s="103"/>
      <c r="W96" s="7"/>
      <c r="X96" s="103"/>
      <c r="Y96" s="227"/>
      <c r="Z96" s="228"/>
      <c r="AA96" s="74"/>
      <c r="AB96" s="74"/>
      <c r="AC96" s="103"/>
      <c r="AD96" s="103"/>
      <c r="AE96" s="74"/>
      <c r="AF96" s="103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101"/>
      <c r="AS96" s="7"/>
      <c r="AT96" s="101"/>
      <c r="AU96" s="7"/>
      <c r="AV96" s="101"/>
      <c r="AW96" s="7"/>
      <c r="AX96" s="185"/>
      <c r="AY96" s="208"/>
      <c r="AZ96" s="101"/>
      <c r="BA96" s="103"/>
      <c r="BB96" s="103"/>
      <c r="BC96" s="74"/>
      <c r="BD96" s="7"/>
      <c r="BE96" s="7"/>
      <c r="BF96" s="103"/>
      <c r="BG96" s="103"/>
      <c r="BH96" s="103"/>
      <c r="BI96" s="103"/>
      <c r="BJ96" s="103"/>
      <c r="BK96" s="7"/>
      <c r="BL96" s="74"/>
      <c r="BM96" s="7"/>
      <c r="BN96" s="74"/>
      <c r="BO96" s="103"/>
      <c r="BP96" s="7"/>
      <c r="BQ96" s="7"/>
      <c r="BR96" s="7"/>
      <c r="BS96" s="7"/>
      <c r="BT96" s="7"/>
      <c r="BU96" s="74"/>
      <c r="BV96" s="74"/>
      <c r="BW96" s="74"/>
      <c r="BX96" s="74"/>
      <c r="BY96" s="102"/>
      <c r="BZ96" s="103"/>
      <c r="CA96" s="7"/>
      <c r="CB96" s="101"/>
      <c r="CC96" s="103"/>
      <c r="CD96" s="74"/>
      <c r="CE96" s="74"/>
      <c r="CF96" s="74"/>
      <c r="CG96" s="103"/>
      <c r="CH96" s="74"/>
      <c r="CI96" s="103"/>
      <c r="CJ96" s="103"/>
      <c r="CK96" s="101"/>
      <c r="CL96" s="74"/>
      <c r="CM96" s="74"/>
      <c r="CN96" s="74"/>
      <c r="CO96" s="101"/>
      <c r="CP96" s="74"/>
      <c r="CQ96" s="74"/>
      <c r="CR96" s="74"/>
      <c r="CS96" s="74"/>
      <c r="CT96" s="74"/>
      <c r="CU96" s="74"/>
      <c r="CV96" s="74"/>
      <c r="CW96" s="103"/>
      <c r="CX96" s="7"/>
      <c r="CY96" s="7"/>
      <c r="CZ96" s="74"/>
      <c r="DA96" s="103"/>
      <c r="DB96" s="103"/>
      <c r="DC96" s="103"/>
      <c r="DD96" s="103"/>
      <c r="DE96" s="74"/>
      <c r="DF96" s="74"/>
      <c r="DG96" s="74"/>
      <c r="DH96" s="74"/>
      <c r="DI96" s="74"/>
      <c r="DJ96" s="74"/>
      <c r="DK96" s="74"/>
      <c r="DL96" s="74"/>
      <c r="DM96" s="103"/>
      <c r="DN96" s="103"/>
      <c r="DO96" s="74"/>
      <c r="DP96" s="74"/>
      <c r="DQ96" s="103"/>
      <c r="DR96" s="7"/>
      <c r="DS96" s="7"/>
      <c r="DT96" s="103"/>
      <c r="DU96" s="103"/>
      <c r="DV96" s="103"/>
      <c r="DW96" s="103"/>
      <c r="DX96" s="103"/>
      <c r="DY96" s="103"/>
      <c r="DZ96" s="8">
        <f t="shared" si="15"/>
        <v>48.808610178578434</v>
      </c>
      <c r="EA96" s="3" t="str">
        <f t="shared" si="16"/>
        <v>Comforti, Michael</v>
      </c>
      <c r="EB96" s="2">
        <f t="shared" si="17"/>
        <v>0</v>
      </c>
      <c r="EC96" s="112">
        <f t="shared" si="27"/>
        <v>48.808610178578434</v>
      </c>
      <c r="ED96" s="29">
        <f t="shared" si="19"/>
        <v>0</v>
      </c>
      <c r="EE96" s="2">
        <f t="shared" si="20"/>
        <v>0</v>
      </c>
      <c r="EF96" s="46">
        <f t="shared" si="21"/>
        <v>0</v>
      </c>
      <c r="EG96" s="46">
        <f t="shared" si="22"/>
        <v>0</v>
      </c>
      <c r="EH96" s="29" t="str">
        <f t="shared" si="23"/>
        <v>MA</v>
      </c>
      <c r="EI96" s="29">
        <f>IF(COUNT(I96:Y96)&lt;5,DZ96,SUMPRODUCT(LARGE(I96:Y96,{1,2,3,4,5}))/5)</f>
        <v>48.808610178578434</v>
      </c>
      <c r="EJ96" s="29">
        <f>IF(COUNT(I96:AX96)&lt;5,DZ96,SUMPRODUCT(LARGE(I96:AX96,{1,2,3,4,5}))/5)</f>
        <v>48.808610178578434</v>
      </c>
      <c r="EK96" s="112">
        <f>IF(EG96&lt;0,AVERAGE(I96:DY96),0)</f>
        <v>0</v>
      </c>
      <c r="EL96" s="29">
        <f t="shared" si="24"/>
        <v>0</v>
      </c>
      <c r="EM96" s="116" t="str">
        <f t="shared" si="25"/>
        <v>Comforti, Michael</v>
      </c>
      <c r="EQ96"/>
    </row>
    <row r="97" spans="1:147" x14ac:dyDescent="0.25">
      <c r="A97" s="59">
        <f t="shared" si="26"/>
        <v>94</v>
      </c>
      <c r="B97" s="32" t="s">
        <v>1075</v>
      </c>
      <c r="C97" s="5" t="s">
        <v>6</v>
      </c>
      <c r="D97" s="6" t="s">
        <v>62</v>
      </c>
      <c r="E97" s="6">
        <v>0</v>
      </c>
      <c r="F97" s="6">
        <v>59.133787899535406</v>
      </c>
      <c r="G97" s="5">
        <f t="shared" si="14"/>
        <v>1</v>
      </c>
      <c r="H97" s="8">
        <v>0</v>
      </c>
      <c r="I97" s="36"/>
      <c r="J97" s="7"/>
      <c r="K97" s="14"/>
      <c r="L97" s="7"/>
      <c r="M97" s="14"/>
      <c r="N97" s="7"/>
      <c r="O97" s="7"/>
      <c r="P97" s="14"/>
      <c r="Q97" s="7"/>
      <c r="R97" s="14"/>
      <c r="S97" s="14"/>
      <c r="T97" s="7"/>
      <c r="U97" s="7"/>
      <c r="V97" s="14"/>
      <c r="W97" s="7"/>
      <c r="X97" s="14"/>
      <c r="Y97" s="227"/>
      <c r="Z97" s="228"/>
      <c r="AA97" s="7"/>
      <c r="AB97" s="7"/>
      <c r="AC97" s="14"/>
      <c r="AD97" s="7"/>
      <c r="AE97" s="7"/>
      <c r="AF97" s="7"/>
      <c r="AG97" s="7"/>
      <c r="AH97" s="7"/>
      <c r="AI97" s="7"/>
      <c r="AJ97" s="7"/>
      <c r="AK97" s="7"/>
      <c r="AL97" s="74">
        <f>(INDEX('Race 30'!$E$8:$E$200,(MATCH($B97,'Race 30'!$B$8:$B$200,0)),1))*100</f>
        <v>59.133787899535406</v>
      </c>
      <c r="AM97" s="7"/>
      <c r="AN97" s="7"/>
      <c r="AO97" s="7"/>
      <c r="AP97" s="7"/>
      <c r="AQ97" s="74"/>
      <c r="AR97" s="70"/>
      <c r="AS97" s="7"/>
      <c r="AT97" s="70"/>
      <c r="AU97" s="7"/>
      <c r="AV97" s="70"/>
      <c r="AW97" s="7"/>
      <c r="AX97" s="184"/>
      <c r="AY97" s="207"/>
      <c r="AZ97" s="7"/>
      <c r="BA97" s="14"/>
      <c r="BB97" s="14"/>
      <c r="BC97" s="7"/>
      <c r="BD97" s="7"/>
      <c r="BE97" s="7"/>
      <c r="BF97" s="14"/>
      <c r="BG97" s="14"/>
      <c r="BH97" s="14"/>
      <c r="BI97" s="14"/>
      <c r="BJ97" s="14"/>
      <c r="BK97" s="7"/>
      <c r="BL97" s="14"/>
      <c r="BM97" s="7"/>
      <c r="BN97" s="103"/>
      <c r="BO97" s="14"/>
      <c r="BP97" s="7"/>
      <c r="BQ97" s="7"/>
      <c r="BR97" s="7"/>
      <c r="BS97" s="7"/>
      <c r="BT97" s="7"/>
      <c r="BU97" s="7"/>
      <c r="BV97" s="7"/>
      <c r="BW97" s="7"/>
      <c r="BX97" s="7"/>
      <c r="BY97" s="14"/>
      <c r="BZ97" s="14"/>
      <c r="CA97" s="7"/>
      <c r="CB97" s="7"/>
      <c r="CC97" s="14"/>
      <c r="CD97" s="74"/>
      <c r="CE97" s="7"/>
      <c r="CF97" s="14"/>
      <c r="CG97" s="14"/>
      <c r="CH97" s="7"/>
      <c r="CI97" s="14"/>
      <c r="CJ97" s="14"/>
      <c r="CK97" s="101"/>
      <c r="CL97" s="74"/>
      <c r="CM97" s="74"/>
      <c r="CN97" s="74"/>
      <c r="CO97" s="70"/>
      <c r="CP97" s="74"/>
      <c r="CQ97" s="7"/>
      <c r="CR97" s="74"/>
      <c r="CS97" s="74"/>
      <c r="CT97" s="74"/>
      <c r="CU97" s="74"/>
      <c r="CV97" s="7"/>
      <c r="CW97" s="14"/>
      <c r="CX97" s="7"/>
      <c r="CY97" s="7"/>
      <c r="CZ97" s="7"/>
      <c r="DA97" s="14"/>
      <c r="DB97" s="14"/>
      <c r="DC97" s="14"/>
      <c r="DD97" s="14"/>
      <c r="DE97" s="74"/>
      <c r="DF97" s="7"/>
      <c r="DG97" s="7"/>
      <c r="DH97" s="7"/>
      <c r="DI97" s="7"/>
      <c r="DJ97" s="7"/>
      <c r="DK97" s="7"/>
      <c r="DL97" s="7"/>
      <c r="DM97" s="7"/>
      <c r="DN97" s="14"/>
      <c r="DO97" s="14"/>
      <c r="DP97" s="14"/>
      <c r="DQ97" s="14"/>
      <c r="DR97" s="7"/>
      <c r="DS97" s="7"/>
      <c r="DT97" s="14"/>
      <c r="DU97" s="14"/>
      <c r="DV97" s="14"/>
      <c r="DW97" s="14"/>
      <c r="DX97" s="14"/>
      <c r="DY97" s="14"/>
      <c r="DZ97" s="8">
        <f t="shared" si="15"/>
        <v>59.133787899535406</v>
      </c>
      <c r="EA97" s="3" t="str">
        <f t="shared" si="16"/>
        <v>Conard, Jon</v>
      </c>
      <c r="EB97" s="2">
        <f t="shared" si="17"/>
        <v>1</v>
      </c>
      <c r="EC97" s="112">
        <f t="shared" si="27"/>
        <v>0</v>
      </c>
      <c r="ED97" s="29">
        <f t="shared" si="19"/>
        <v>58.179641774434678</v>
      </c>
      <c r="EE97" s="2">
        <f t="shared" si="20"/>
        <v>0</v>
      </c>
      <c r="EF97" s="46">
        <f t="shared" si="21"/>
        <v>1</v>
      </c>
      <c r="EG97" s="46">
        <f t="shared" si="22"/>
        <v>1</v>
      </c>
      <c r="EH97" s="29" t="str">
        <f t="shared" si="23"/>
        <v>CO</v>
      </c>
      <c r="EI97" s="29">
        <f>IF(COUNT(I97:Y97)&lt;5,DZ97,SUMPRODUCT(LARGE(I97:Y97,{1,2,3,4,5}))/5)</f>
        <v>59.133787899535406</v>
      </c>
      <c r="EJ97" s="29">
        <f>IF(COUNT(I97:AX97)&lt;5,DZ97,SUMPRODUCT(LARGE(I97:AX97,{1,2,3,4,5}))/5)</f>
        <v>59.133787899535406</v>
      </c>
      <c r="EK97" s="29">
        <f>IF(COUNT(I97:DY97)&lt;5,AVERAGE(I97:DY97),SUMPRODUCT(LARGE(I97:DY97,{1,2,3,4,5}))/5)</f>
        <v>59.133787899535406</v>
      </c>
      <c r="EL97" s="29">
        <f t="shared" si="24"/>
        <v>58.179641774434678</v>
      </c>
      <c r="EM97" s="116" t="str">
        <f t="shared" si="25"/>
        <v>Conard, Jon</v>
      </c>
      <c r="EQ97"/>
    </row>
    <row r="98" spans="1:147" x14ac:dyDescent="0.25">
      <c r="A98" s="59">
        <f t="shared" si="26"/>
        <v>95</v>
      </c>
      <c r="B98" s="32" t="s">
        <v>1335</v>
      </c>
      <c r="C98" s="5" t="s">
        <v>16</v>
      </c>
      <c r="D98" s="6" t="s">
        <v>87</v>
      </c>
      <c r="E98" s="6">
        <v>0</v>
      </c>
      <c r="F98" s="6">
        <v>0</v>
      </c>
      <c r="G98" s="5">
        <f t="shared" si="14"/>
        <v>3</v>
      </c>
      <c r="H98" s="8">
        <v>0</v>
      </c>
      <c r="I98" s="36"/>
      <c r="J98" s="7"/>
      <c r="K98" s="14"/>
      <c r="L98" s="7"/>
      <c r="M98" s="14"/>
      <c r="N98" s="7"/>
      <c r="O98" s="7"/>
      <c r="P98" s="14"/>
      <c r="Q98" s="7"/>
      <c r="R98" s="7"/>
      <c r="S98" s="14"/>
      <c r="T98" s="7"/>
      <c r="U98" s="7"/>
      <c r="V98" s="14"/>
      <c r="W98" s="7"/>
      <c r="X98" s="14"/>
      <c r="Y98" s="227"/>
      <c r="Z98" s="228"/>
      <c r="AA98" s="7"/>
      <c r="AB98" s="7"/>
      <c r="AC98" s="14"/>
      <c r="AD98" s="14"/>
      <c r="AE98" s="7"/>
      <c r="AF98" s="14"/>
      <c r="AG98" s="7"/>
      <c r="AH98" s="7"/>
      <c r="AI98" s="7"/>
      <c r="AJ98" s="7"/>
      <c r="AK98" s="7"/>
      <c r="AL98" s="7"/>
      <c r="AM98" s="7"/>
      <c r="AN98" s="7"/>
      <c r="AO98" s="74"/>
      <c r="AP98" s="7"/>
      <c r="AQ98" s="74"/>
      <c r="AR98" s="70"/>
      <c r="AS98" s="7"/>
      <c r="AT98" s="70"/>
      <c r="AU98" s="7"/>
      <c r="AV98" s="70"/>
      <c r="AW98" s="7"/>
      <c r="AX98" s="184"/>
      <c r="AY98" s="207"/>
      <c r="AZ98" s="70"/>
      <c r="BA98" s="14"/>
      <c r="BB98" s="14"/>
      <c r="BC98" s="7"/>
      <c r="BD98" s="7"/>
      <c r="BE98" s="7"/>
      <c r="BF98" s="14"/>
      <c r="BG98" s="14"/>
      <c r="BH98" s="14"/>
      <c r="BI98" s="14"/>
      <c r="BJ98" s="14"/>
      <c r="BK98" s="7"/>
      <c r="BL98" s="14"/>
      <c r="BM98" s="7"/>
      <c r="BN98" s="103"/>
      <c r="BO98" s="14"/>
      <c r="BP98" s="7"/>
      <c r="BQ98" s="7"/>
      <c r="BR98" s="7"/>
      <c r="BS98" s="7"/>
      <c r="BT98" s="7"/>
      <c r="BU98" s="7"/>
      <c r="BV98" s="7"/>
      <c r="BW98" s="7"/>
      <c r="BX98" s="7"/>
      <c r="BY98" s="14"/>
      <c r="BZ98" s="14"/>
      <c r="CA98" s="7"/>
      <c r="CB98" s="7"/>
      <c r="CC98" s="14"/>
      <c r="CD98" s="7"/>
      <c r="CE98" s="7"/>
      <c r="CF98" s="14"/>
      <c r="CG98" s="14"/>
      <c r="CH98" s="7"/>
      <c r="CI98" s="14"/>
      <c r="CJ98" s="14"/>
      <c r="CK98" s="101"/>
      <c r="CL98" s="74"/>
      <c r="CM98" s="74"/>
      <c r="CN98" s="74"/>
      <c r="CO98" s="70">
        <f>(INDEX('Race 85'!$E$8:$E$200,(MATCH($B98,'Race 85'!$B$8:$B$200,0)),1))*100</f>
        <v>75.287635781903489</v>
      </c>
      <c r="CP98" s="74"/>
      <c r="CQ98" s="7">
        <f>(INDEX('Race 87'!$E$8:$E$200,(MATCH($B98,'Race 87'!$B$8:$B$200,0)),1))*100</f>
        <v>80.17374104734553</v>
      </c>
      <c r="CR98" s="74"/>
      <c r="CS98" s="74"/>
      <c r="CT98" s="74"/>
      <c r="CU98" s="74"/>
      <c r="CV98" s="7"/>
      <c r="CW98" s="14">
        <f>(INDEX('Race 93'!$E$8:$E$200,(MATCH($B98,'Race 93'!$B$8:$B$200,0)),1))*100</f>
        <v>78.228809367885148</v>
      </c>
      <c r="CX98" s="7"/>
      <c r="CY98" s="7"/>
      <c r="CZ98" s="7"/>
      <c r="DA98" s="7"/>
      <c r="DB98" s="7"/>
      <c r="DC98" s="7"/>
      <c r="DD98" s="7"/>
      <c r="DE98" s="74"/>
      <c r="DF98" s="7"/>
      <c r="DG98" s="7"/>
      <c r="DH98" s="7"/>
      <c r="DI98" s="7"/>
      <c r="DJ98" s="14"/>
      <c r="DK98" s="7"/>
      <c r="DL98" s="7"/>
      <c r="DM98" s="14"/>
      <c r="DN98" s="14"/>
      <c r="DO98" s="14"/>
      <c r="DP98" s="14"/>
      <c r="DQ98" s="14"/>
      <c r="DR98" s="7"/>
      <c r="DS98" s="7"/>
      <c r="DT98" s="14"/>
      <c r="DU98" s="14"/>
      <c r="DV98" s="14"/>
      <c r="DW98" s="14"/>
      <c r="DX98" s="14"/>
      <c r="DY98" s="14"/>
      <c r="DZ98" s="8">
        <f t="shared" si="15"/>
        <v>77.896728732378051</v>
      </c>
      <c r="EA98" s="3" t="str">
        <f t="shared" si="16"/>
        <v>Coneo, Steffen</v>
      </c>
      <c r="EB98" s="2">
        <f t="shared" si="17"/>
        <v>1</v>
      </c>
      <c r="EC98" s="112">
        <f t="shared" si="27"/>
        <v>0</v>
      </c>
      <c r="ED98" s="29">
        <f t="shared" si="19"/>
        <v>76.639835431304661</v>
      </c>
      <c r="EE98" s="2">
        <f t="shared" si="20"/>
        <v>0</v>
      </c>
      <c r="EF98" s="46">
        <f t="shared" si="21"/>
        <v>0</v>
      </c>
      <c r="EG98" s="46">
        <f t="shared" si="22"/>
        <v>3</v>
      </c>
      <c r="EH98" s="29" t="str">
        <f t="shared" si="23"/>
        <v>CA</v>
      </c>
      <c r="EI98" s="29">
        <f>IF(COUNT(I98:AD98)&lt;5,DZ98,SUMPRODUCT(LARGE(I98:AD98,{1,2,3,4,5}))/5)</f>
        <v>77.896728732378051</v>
      </c>
      <c r="EJ98" s="29">
        <f>IF(COUNT(I98:BE98)&lt;5,DZ98,SUMPRODUCT(LARGE(I98:BE98,{1,2,3,4,5}))/5)</f>
        <v>77.896728732378051</v>
      </c>
      <c r="EK98" s="29">
        <f>IF(COUNT(I98:DY98)&lt;5,AVERAGE(I98:DY98),SUMPRODUCT(LARGE(I98:DY98,{1,2,3,4,5}))/5)</f>
        <v>77.896728732378051</v>
      </c>
      <c r="EL98" s="29">
        <f t="shared" si="24"/>
        <v>76.639835431304661</v>
      </c>
      <c r="EM98" s="116" t="str">
        <f t="shared" si="25"/>
        <v>Coneo, Steffen</v>
      </c>
      <c r="EQ98"/>
    </row>
    <row r="99" spans="1:147" x14ac:dyDescent="0.25">
      <c r="A99" s="59">
        <f t="shared" si="26"/>
        <v>96</v>
      </c>
      <c r="B99" s="32" t="s">
        <v>1101</v>
      </c>
      <c r="C99" s="5" t="s">
        <v>6</v>
      </c>
      <c r="D99" s="6" t="s">
        <v>57</v>
      </c>
      <c r="E99" s="6">
        <v>0</v>
      </c>
      <c r="F99" s="6">
        <v>39.605289352824414</v>
      </c>
      <c r="G99" s="5">
        <f t="shared" si="14"/>
        <v>2</v>
      </c>
      <c r="H99" s="8">
        <v>0</v>
      </c>
      <c r="I99" s="36"/>
      <c r="J99" s="7"/>
      <c r="K99" s="14"/>
      <c r="L99" s="7"/>
      <c r="M99" s="14"/>
      <c r="N99" s="7"/>
      <c r="O99" s="7"/>
      <c r="P99" s="14"/>
      <c r="Q99" s="7"/>
      <c r="R99" s="7"/>
      <c r="S99" s="14"/>
      <c r="T99" s="7"/>
      <c r="U99" s="7"/>
      <c r="V99" s="14"/>
      <c r="W99" s="7"/>
      <c r="X99" s="14"/>
      <c r="Y99" s="227"/>
      <c r="Z99" s="228"/>
      <c r="AA99" s="7"/>
      <c r="AB99" s="7"/>
      <c r="AC99" s="14"/>
      <c r="AD99" s="14"/>
      <c r="AE99" s="7"/>
      <c r="AF99" s="14"/>
      <c r="AG99" s="7"/>
      <c r="AH99" s="7"/>
      <c r="AI99" s="7"/>
      <c r="AJ99" s="7"/>
      <c r="AK99" s="7"/>
      <c r="AL99" s="7"/>
      <c r="AM99" s="7"/>
      <c r="AN99" s="7"/>
      <c r="AO99" s="74"/>
      <c r="AP99" s="7"/>
      <c r="AQ99" s="74"/>
      <c r="AR99" s="101">
        <f>(INDEX('Race 36'!$E$8:$E$200,(MATCH($B99,'Race 36'!$B$8:$B$200,0)),1))*100</f>
        <v>39.605289352824414</v>
      </c>
      <c r="AS99" s="7"/>
      <c r="AT99" s="70"/>
      <c r="AU99" s="7"/>
      <c r="AV99" s="70"/>
      <c r="AW99" s="7"/>
      <c r="AX99" s="184"/>
      <c r="AY99" s="207"/>
      <c r="AZ99" s="14"/>
      <c r="BA99" s="14"/>
      <c r="BB99" s="14"/>
      <c r="BC99" s="7"/>
      <c r="BD99" s="7"/>
      <c r="BE99" s="7"/>
      <c r="BF99" s="14"/>
      <c r="BG99" s="14"/>
      <c r="BH99" s="7"/>
      <c r="BI99" s="14"/>
      <c r="BJ99" s="14"/>
      <c r="BK99" s="7"/>
      <c r="BL99" s="14"/>
      <c r="BM99" s="7"/>
      <c r="BN99" s="103"/>
      <c r="BO99" s="14"/>
      <c r="BP99" s="7"/>
      <c r="BQ99" s="7"/>
      <c r="BR99" s="7">
        <f>(INDEX('Race 62'!$E$8:$E$200,(MATCH($B99,'Race 62'!$B$8:$B$200,0)),1))*100</f>
        <v>43.24229222986196</v>
      </c>
      <c r="BS99" s="7"/>
      <c r="BT99" s="7"/>
      <c r="BU99" s="7"/>
      <c r="BV99" s="7"/>
      <c r="BW99" s="7"/>
      <c r="BX99" s="7"/>
      <c r="BY99" s="14"/>
      <c r="BZ99" s="14"/>
      <c r="CA99" s="7"/>
      <c r="CB99" s="7"/>
      <c r="CC99" s="14"/>
      <c r="CD99" s="7"/>
      <c r="CE99" s="7"/>
      <c r="CF99" s="103"/>
      <c r="CG99" s="103"/>
      <c r="CH99" s="7"/>
      <c r="CI99" s="14"/>
      <c r="CJ99" s="14"/>
      <c r="CK99" s="101"/>
      <c r="CL99" s="74"/>
      <c r="CM99" s="74"/>
      <c r="CN99" s="74"/>
      <c r="CO99" s="70"/>
      <c r="CP99" s="74"/>
      <c r="CQ99" s="7"/>
      <c r="CR99" s="74"/>
      <c r="CS99" s="74"/>
      <c r="CT99" s="74"/>
      <c r="CU99" s="74"/>
      <c r="CV99" s="7"/>
      <c r="CW99" s="7"/>
      <c r="CX99" s="7"/>
      <c r="CY99" s="7"/>
      <c r="CZ99" s="7"/>
      <c r="DA99" s="7"/>
      <c r="DB99" s="7"/>
      <c r="DC99" s="7"/>
      <c r="DD99" s="7"/>
      <c r="DE99" s="74"/>
      <c r="DF99" s="74"/>
      <c r="DG99" s="74"/>
      <c r="DH99" s="7"/>
      <c r="DI99" s="7"/>
      <c r="DJ99" s="14"/>
      <c r="DK99" s="7"/>
      <c r="DL99" s="7"/>
      <c r="DM99" s="14"/>
      <c r="DN99" s="14"/>
      <c r="DO99" s="14"/>
      <c r="DP99" s="14"/>
      <c r="DQ99" s="14"/>
      <c r="DR99" s="7"/>
      <c r="DS99" s="7"/>
      <c r="DT99" s="14"/>
      <c r="DU99" s="14"/>
      <c r="DV99" s="14"/>
      <c r="DW99" s="14"/>
      <c r="DX99" s="14"/>
      <c r="DY99" s="14"/>
      <c r="DZ99" s="8">
        <f t="shared" si="15"/>
        <v>41.423790791343187</v>
      </c>
      <c r="EA99" s="3" t="str">
        <f t="shared" si="16"/>
        <v>Connor, Jack</v>
      </c>
      <c r="EB99" s="2">
        <f t="shared" si="17"/>
        <v>1</v>
      </c>
      <c r="EC99" s="112">
        <f t="shared" si="27"/>
        <v>0</v>
      </c>
      <c r="ED99" s="29">
        <f t="shared" si="19"/>
        <v>40.75540219533962</v>
      </c>
      <c r="EE99" s="2">
        <f t="shared" si="20"/>
        <v>0</v>
      </c>
      <c r="EF99" s="46">
        <f t="shared" si="21"/>
        <v>1</v>
      </c>
      <c r="EG99" s="46">
        <f t="shared" si="22"/>
        <v>2</v>
      </c>
      <c r="EH99" s="29" t="str">
        <f t="shared" si="23"/>
        <v>NY</v>
      </c>
      <c r="EI99" s="29">
        <f>IF(COUNT(I99:Y99)&lt;5,DZ99,SUMPRODUCT(LARGE(I99:Y99,{1,2,3,4,5}))/5)</f>
        <v>41.423790791343187</v>
      </c>
      <c r="EJ99" s="29">
        <f>IF(COUNT(I99:AX99)&lt;5,DZ99,SUMPRODUCT(LARGE(I99:AX99,{1,2,3,4,5}))/5)</f>
        <v>41.423790791343187</v>
      </c>
      <c r="EK99" s="29">
        <f>IF(COUNT(I99:DY99)&lt;5,AVERAGE(I99:DY99),SUMPRODUCT(LARGE(I99:DY99,{1,2,3,4,5}))/5)</f>
        <v>41.423790791343187</v>
      </c>
      <c r="EL99" s="29">
        <f t="shared" si="24"/>
        <v>40.75540219533962</v>
      </c>
      <c r="EM99" s="116" t="str">
        <f t="shared" si="25"/>
        <v>Connor, Jack</v>
      </c>
      <c r="EQ99"/>
    </row>
    <row r="100" spans="1:147" x14ac:dyDescent="0.25">
      <c r="A100" s="59">
        <f t="shared" si="26"/>
        <v>97</v>
      </c>
      <c r="B100" s="32" t="s">
        <v>765</v>
      </c>
      <c r="C100" s="5" t="s">
        <v>16</v>
      </c>
      <c r="D100" s="6" t="s">
        <v>61</v>
      </c>
      <c r="E100" s="6">
        <v>87.331891379066732</v>
      </c>
      <c r="F100" s="6">
        <v>89.06928922635062</v>
      </c>
      <c r="G100" s="5">
        <f t="shared" si="14"/>
        <v>14</v>
      </c>
      <c r="H100" s="8">
        <v>87.998149406139206</v>
      </c>
      <c r="I100" s="36"/>
      <c r="J100" s="7"/>
      <c r="K100" s="14"/>
      <c r="L100" s="7"/>
      <c r="M100" s="14"/>
      <c r="N100" s="7"/>
      <c r="O100" s="7"/>
      <c r="P100" s="14"/>
      <c r="Q100" s="7">
        <f>(INDEX('Race 9'!$E$8:$E$200,(MATCH($B100,'Race 9'!$B$8:$B$200,0)),1))*100</f>
        <v>89.183924341312121</v>
      </c>
      <c r="R100" s="14"/>
      <c r="S100" s="7">
        <f>(INDEX('Race 11'!$E$8:$E$200,(MATCH($B100,'Race 11'!$B$8:$B$200,0)),1))*100</f>
        <v>88.446188397829928</v>
      </c>
      <c r="T100" s="7">
        <f>(INDEX('Race 12'!$E$8:$E$200,(MATCH($B100,'Race 12'!$B$8:$B$200,0)),1))*100</f>
        <v>85.447157683145306</v>
      </c>
      <c r="U100" s="7"/>
      <c r="V100" s="7">
        <f>(INDEX('Race 14'!$E$8:$E$200,(MATCH($B100,'Race 14'!$B$8:$B$200,0)),1))*100</f>
        <v>86.250295093979545</v>
      </c>
      <c r="W100" s="7"/>
      <c r="X100" s="14"/>
      <c r="Y100" s="227"/>
      <c r="Z100" s="228"/>
      <c r="AA100" s="7"/>
      <c r="AB100" s="7"/>
      <c r="AC100" s="14"/>
      <c r="AD100" s="14"/>
      <c r="AE100" s="74"/>
      <c r="AF100" s="14"/>
      <c r="AG100" s="7"/>
      <c r="AH100" s="7"/>
      <c r="AI100" s="7"/>
      <c r="AJ100" s="7"/>
      <c r="AK100" s="7"/>
      <c r="AL100" s="7"/>
      <c r="AM100" s="7"/>
      <c r="AN100" s="7"/>
      <c r="AO100" s="74"/>
      <c r="AP100" s="7"/>
      <c r="AQ100" s="74"/>
      <c r="AR100" s="70"/>
      <c r="AS100" s="7"/>
      <c r="AT100" s="70"/>
      <c r="AU100" s="7"/>
      <c r="AV100" s="70"/>
      <c r="AW100" s="7">
        <f>(INDEX('Race 41'!$E$8:$E$200,(MATCH($B100,'Race 41'!$B$8:$B$200,0)),1))*100</f>
        <v>87.089163890704341</v>
      </c>
      <c r="AX100" s="185">
        <f>(INDEX('Race 42'!$E$8:$E$200,(MATCH($B100,'Race 42'!$B$8:$B$200,0)),1))*100</f>
        <v>94.376874407927161</v>
      </c>
      <c r="AY100" s="208"/>
      <c r="AZ100" s="14"/>
      <c r="BA100" s="14">
        <f>(INDEX('Race 45'!$E$8:$E$200,(MATCH($B100,'Race 45'!$B$8:$B$200,0)),1))*100</f>
        <v>85.308083731314341</v>
      </c>
      <c r="BB100" s="14"/>
      <c r="BC100" s="7"/>
      <c r="BD100" s="7"/>
      <c r="BE100" s="7"/>
      <c r="BF100" s="14"/>
      <c r="BG100" s="14"/>
      <c r="BH100" s="14"/>
      <c r="BI100" s="14"/>
      <c r="BJ100" s="14"/>
      <c r="BK100" s="7"/>
      <c r="BL100" s="14"/>
      <c r="BM100" s="7"/>
      <c r="BN100" s="103"/>
      <c r="BO100" s="14"/>
      <c r="BP100" s="7"/>
      <c r="BQ100" s="7"/>
      <c r="BR100" s="7"/>
      <c r="BS100" s="7"/>
      <c r="BT100" s="7"/>
      <c r="BU100" s="7"/>
      <c r="BV100" s="7"/>
      <c r="BW100" s="7"/>
      <c r="BX100" s="7"/>
      <c r="BY100" s="14"/>
      <c r="BZ100" s="14"/>
      <c r="CA100" s="7"/>
      <c r="CB100" s="7"/>
      <c r="CC100" s="14"/>
      <c r="CD100" s="7">
        <f>(INDEX('Race 74'!$E$8:$E$200,(MATCH($B100,'Race 74'!$B$8:$B$200,0)),1))*100</f>
        <v>80.681507564166679</v>
      </c>
      <c r="CE100" s="7">
        <f>(INDEX('Race 75'!$E$8:$E$200,(MATCH($B100,'Race 75'!$B$8:$B$200,0)),1))*100</f>
        <v>87.204761642476953</v>
      </c>
      <c r="CF100" s="103">
        <f>(INDEX('Race 76'!$E$8:$E$200,(MATCH($B100,'Race 76'!$B$8:$B$200,0)),1))*100</f>
        <v>90.764309503412321</v>
      </c>
      <c r="CG100" s="14"/>
      <c r="CH100" s="7"/>
      <c r="CI100" s="14"/>
      <c r="CJ100" s="14"/>
      <c r="CK100" s="101"/>
      <c r="CL100" s="7"/>
      <c r="CM100" s="7"/>
      <c r="CN100" s="74">
        <f>(INDEX('Race 84'!$E$8:$E$200,(MATCH($B100,'Race 84'!$B$8:$B$200,0)),1))*100</f>
        <v>93.410451080631447</v>
      </c>
      <c r="CO100" s="70"/>
      <c r="CP100" s="74">
        <f>(INDEX('Race 86'!$E$8:$E$200,(MATCH($B100,'Race 86'!$B$8:$B$200,0)),1))*100</f>
        <v>94.522134120983367</v>
      </c>
      <c r="CQ100" s="7"/>
      <c r="CR100" s="74"/>
      <c r="CS100" s="74"/>
      <c r="CT100" s="74"/>
      <c r="CU100" s="74"/>
      <c r="CV100" s="7">
        <f>(INDEX('Race 92'!$E$8:$E$200,(MATCH($B100,'Race 92'!$B$8:$B$200,0)),1))*100</f>
        <v>84.733177698297141</v>
      </c>
      <c r="CW100" s="14"/>
      <c r="CX100" s="7"/>
      <c r="CY100" s="7"/>
      <c r="CZ100" s="7">
        <f>(INDEX('Race 96'!$E$8:$E$200,(MATCH($B100,'Race 96'!$B$8:$B$200,0)),1))*100</f>
        <v>95.268426310073849</v>
      </c>
      <c r="DA100" s="7"/>
      <c r="DB100" s="7"/>
      <c r="DC100" s="7"/>
      <c r="DD100" s="7"/>
      <c r="DE100" s="74"/>
      <c r="DF100" s="74"/>
      <c r="DG100" s="74"/>
      <c r="DH100" s="7"/>
      <c r="DI100" s="74"/>
      <c r="DJ100" s="7"/>
      <c r="DK100" s="74"/>
      <c r="DL100" s="7"/>
      <c r="DM100" s="103"/>
      <c r="DN100" s="14"/>
      <c r="DO100" s="103"/>
      <c r="DP100" s="7"/>
      <c r="DQ100" s="7"/>
      <c r="DR100" s="7"/>
      <c r="DS100" s="7"/>
      <c r="DT100" s="14"/>
      <c r="DU100" s="14"/>
      <c r="DV100" s="14"/>
      <c r="DW100" s="14"/>
      <c r="DX100" s="14"/>
      <c r="DY100" s="14"/>
      <c r="DZ100" s="8">
        <f t="shared" si="15"/>
        <v>88.763318247589609</v>
      </c>
      <c r="EA100" s="3" t="str">
        <f t="shared" si="16"/>
        <v>Cooper, Travis</v>
      </c>
      <c r="EB100" s="2">
        <f t="shared" si="17"/>
        <v>1</v>
      </c>
      <c r="EC100" s="112">
        <f t="shared" si="27"/>
        <v>87.998149406139206</v>
      </c>
      <c r="ED100" s="29">
        <f t="shared" si="19"/>
        <v>92.157063247349114</v>
      </c>
      <c r="EE100" s="2">
        <f t="shared" si="20"/>
        <v>4</v>
      </c>
      <c r="EF100" s="46">
        <f t="shared" si="21"/>
        <v>7</v>
      </c>
      <c r="EG100" s="46">
        <f t="shared" si="22"/>
        <v>14</v>
      </c>
      <c r="EH100" s="2" t="str">
        <f t="shared" si="23"/>
        <v>AK</v>
      </c>
      <c r="EI100" s="29">
        <f>IF(COUNT(I100:Y100)&lt;5,DZ100,SUMPRODUCT(LARGE(I100:Y100,{1,2,3,4,5}))/5)</f>
        <v>88.763318247589609</v>
      </c>
      <c r="EJ100" s="29">
        <f>IF(COUNT(I100:AX100)&lt;5,DZ100,SUMPRODUCT(LARGE(I100:AX100,{1,2,3,4,5}))/5)</f>
        <v>89.06928922635062</v>
      </c>
      <c r="EK100" s="29">
        <f>IF(COUNT(I100:DY100)&lt;5,AVERAGE(I100:DY100),SUMPRODUCT(LARGE(I100:DY100,{1,2,3,4,5}))/5)</f>
        <v>93.668439084605637</v>
      </c>
      <c r="EL100" s="29">
        <f t="shared" si="24"/>
        <v>92.157063247349114</v>
      </c>
      <c r="EM100" s="116" t="str">
        <f t="shared" si="25"/>
        <v>Cooper, Travis</v>
      </c>
      <c r="EQ100"/>
    </row>
    <row r="101" spans="1:147" x14ac:dyDescent="0.25">
      <c r="A101" s="59">
        <f t="shared" si="26"/>
        <v>98</v>
      </c>
      <c r="B101" s="32" t="s">
        <v>849</v>
      </c>
      <c r="C101" s="5" t="s">
        <v>16</v>
      </c>
      <c r="D101" s="6" t="s">
        <v>57</v>
      </c>
      <c r="E101" s="6">
        <v>47.982287697373508</v>
      </c>
      <c r="F101" s="6">
        <v>47.982287697373508</v>
      </c>
      <c r="G101" s="5">
        <f t="shared" si="14"/>
        <v>0</v>
      </c>
      <c r="H101" s="8">
        <v>47.982287697373508</v>
      </c>
      <c r="I101" s="36"/>
      <c r="J101" s="7"/>
      <c r="K101" s="14"/>
      <c r="L101" s="7"/>
      <c r="M101" s="14"/>
      <c r="N101" s="7"/>
      <c r="O101" s="7"/>
      <c r="P101" s="7"/>
      <c r="Q101" s="7"/>
      <c r="R101" s="14"/>
      <c r="S101" s="14"/>
      <c r="T101" s="7"/>
      <c r="U101" s="7"/>
      <c r="V101" s="14"/>
      <c r="W101" s="7"/>
      <c r="X101" s="14"/>
      <c r="Y101" s="227"/>
      <c r="Z101" s="228"/>
      <c r="AA101" s="7"/>
      <c r="AB101" s="7"/>
      <c r="AC101" s="14"/>
      <c r="AD101" s="14"/>
      <c r="AE101" s="7"/>
      <c r="AF101" s="14"/>
      <c r="AG101" s="14"/>
      <c r="AH101" s="7"/>
      <c r="AI101" s="7"/>
      <c r="AJ101" s="7"/>
      <c r="AK101" s="7"/>
      <c r="AL101" s="7"/>
      <c r="AM101" s="7"/>
      <c r="AN101" s="7"/>
      <c r="AO101" s="74"/>
      <c r="AP101" s="7"/>
      <c r="AQ101" s="74"/>
      <c r="AR101" s="70"/>
      <c r="AS101" s="7"/>
      <c r="AT101" s="7"/>
      <c r="AU101" s="7"/>
      <c r="AV101" s="7"/>
      <c r="AW101" s="7"/>
      <c r="AX101" s="184"/>
      <c r="AY101" s="207"/>
      <c r="AZ101" s="14"/>
      <c r="BA101" s="14"/>
      <c r="BB101" s="14"/>
      <c r="BC101" s="7"/>
      <c r="BD101" s="7"/>
      <c r="BE101" s="7"/>
      <c r="BF101" s="14"/>
      <c r="BG101" s="14"/>
      <c r="BH101" s="14"/>
      <c r="BI101" s="14"/>
      <c r="BJ101" s="14"/>
      <c r="BK101" s="7"/>
      <c r="BL101" s="14"/>
      <c r="BM101" s="7"/>
      <c r="BN101" s="103"/>
      <c r="BO101" s="14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14"/>
      <c r="CD101" s="7"/>
      <c r="CE101" s="7"/>
      <c r="CF101" s="14"/>
      <c r="CG101" s="14"/>
      <c r="CH101" s="7"/>
      <c r="CI101" s="14"/>
      <c r="CJ101" s="70"/>
      <c r="CK101" s="101"/>
      <c r="CL101" s="101"/>
      <c r="CM101" s="74"/>
      <c r="CN101" s="74"/>
      <c r="CO101" s="70"/>
      <c r="CP101" s="74"/>
      <c r="CQ101" s="7"/>
      <c r="CR101" s="74"/>
      <c r="CS101" s="74"/>
      <c r="CT101" s="74"/>
      <c r="CU101" s="74"/>
      <c r="CV101" s="7"/>
      <c r="CW101" s="14"/>
      <c r="CX101" s="7"/>
      <c r="CY101" s="7"/>
      <c r="CZ101" s="7"/>
      <c r="DA101" s="7"/>
      <c r="DB101" s="7"/>
      <c r="DC101" s="7"/>
      <c r="DD101" s="7"/>
      <c r="DE101" s="74"/>
      <c r="DF101" s="74"/>
      <c r="DG101" s="74"/>
      <c r="DH101" s="7"/>
      <c r="DI101" s="74"/>
      <c r="DJ101" s="7"/>
      <c r="DK101" s="7"/>
      <c r="DL101" s="7"/>
      <c r="DM101" s="14"/>
      <c r="DN101" s="14"/>
      <c r="DO101" s="14"/>
      <c r="DP101" s="14"/>
      <c r="DQ101" s="14"/>
      <c r="DR101" s="7"/>
      <c r="DS101" s="7"/>
      <c r="DT101" s="7"/>
      <c r="DU101" s="7"/>
      <c r="DV101" s="14"/>
      <c r="DW101" s="14"/>
      <c r="DX101" s="14"/>
      <c r="DY101" s="14"/>
      <c r="DZ101" s="8">
        <f t="shared" si="15"/>
        <v>47.982287697373508</v>
      </c>
      <c r="EA101" s="3" t="str">
        <f t="shared" si="16"/>
        <v>Coughlin, Joshua</v>
      </c>
      <c r="EB101" s="2">
        <f t="shared" si="17"/>
        <v>0</v>
      </c>
      <c r="EC101" s="112">
        <f t="shared" si="27"/>
        <v>47.982287697373508</v>
      </c>
      <c r="ED101" s="29">
        <f t="shared" si="19"/>
        <v>0</v>
      </c>
      <c r="EE101" s="2">
        <f t="shared" si="20"/>
        <v>0</v>
      </c>
      <c r="EF101" s="46">
        <f t="shared" si="21"/>
        <v>0</v>
      </c>
      <c r="EG101" s="46">
        <f t="shared" si="22"/>
        <v>0</v>
      </c>
      <c r="EH101" s="29" t="str">
        <f t="shared" si="23"/>
        <v>NY</v>
      </c>
      <c r="EI101" s="29">
        <f>IF(COUNT(I101:Y101)&lt;5,DZ101,SUMPRODUCT(LARGE(I101:Y101,{1,2,3,4,5}))/5)</f>
        <v>47.982287697373508</v>
      </c>
      <c r="EJ101" s="29">
        <f>IF(COUNT(I101:AX101)&lt;5,DZ101,SUMPRODUCT(LARGE(I101:AX101,{1,2,3,4,5}))/5)</f>
        <v>47.982287697373508</v>
      </c>
      <c r="EK101" s="112">
        <f>IF(EG101&lt;0,AVERAGE(I101:DY101),0)</f>
        <v>0</v>
      </c>
      <c r="EL101" s="29">
        <f t="shared" si="24"/>
        <v>0</v>
      </c>
      <c r="EM101" s="116" t="str">
        <f t="shared" si="25"/>
        <v>Coughlin, Joshua</v>
      </c>
      <c r="EQ101"/>
    </row>
    <row r="102" spans="1:147" x14ac:dyDescent="0.25">
      <c r="A102" s="59">
        <f t="shared" si="26"/>
        <v>99</v>
      </c>
      <c r="B102" s="32" t="s">
        <v>505</v>
      </c>
      <c r="C102" s="5" t="s">
        <v>6</v>
      </c>
      <c r="D102" s="6" t="s">
        <v>57</v>
      </c>
      <c r="E102" s="6">
        <v>31.311358388555671</v>
      </c>
      <c r="F102" s="6">
        <v>33.526338557928824</v>
      </c>
      <c r="G102" s="5">
        <f t="shared" si="14"/>
        <v>1</v>
      </c>
      <c r="H102" s="60">
        <v>31.311358388555671</v>
      </c>
      <c r="I102" s="107"/>
      <c r="J102" s="7"/>
      <c r="K102" s="103"/>
      <c r="L102" s="7"/>
      <c r="M102" s="103"/>
      <c r="N102" s="74"/>
      <c r="O102" s="7"/>
      <c r="P102" s="103"/>
      <c r="Q102" s="7"/>
      <c r="R102" s="103"/>
      <c r="S102" s="103"/>
      <c r="T102" s="7"/>
      <c r="U102" s="7"/>
      <c r="V102" s="103"/>
      <c r="W102" s="7"/>
      <c r="X102" s="103"/>
      <c r="Y102" s="227"/>
      <c r="Z102" s="228"/>
      <c r="AA102" s="74"/>
      <c r="AB102" s="74"/>
      <c r="AC102" s="103"/>
      <c r="AD102" s="103"/>
      <c r="AE102" s="7"/>
      <c r="AF102" s="103"/>
      <c r="AG102" s="74"/>
      <c r="AH102" s="7"/>
      <c r="AI102" s="7"/>
      <c r="AJ102" s="74">
        <f>(INDEX('Race 28'!$E$8:$E$200,(MATCH($B102,'Race 28'!$B$8:$B$200,0)),1))*100</f>
        <v>33.526338557928824</v>
      </c>
      <c r="AK102" s="74"/>
      <c r="AL102" s="7"/>
      <c r="AM102" s="7"/>
      <c r="AN102" s="7"/>
      <c r="AO102" s="74"/>
      <c r="AP102" s="7"/>
      <c r="AQ102" s="74"/>
      <c r="AR102" s="101"/>
      <c r="AS102" s="7"/>
      <c r="AT102" s="101"/>
      <c r="AU102" s="7"/>
      <c r="AV102" s="101"/>
      <c r="AW102" s="7"/>
      <c r="AX102" s="184"/>
      <c r="AY102" s="36"/>
      <c r="AZ102" s="103"/>
      <c r="BA102" s="103"/>
      <c r="BB102" s="103"/>
      <c r="BC102" s="74"/>
      <c r="BD102" s="7"/>
      <c r="BE102" s="7"/>
      <c r="BF102" s="14"/>
      <c r="BG102" s="103"/>
      <c r="BH102" s="103"/>
      <c r="BI102" s="103"/>
      <c r="BJ102" s="103"/>
      <c r="BK102" s="7"/>
      <c r="BL102" s="103"/>
      <c r="BM102" s="7"/>
      <c r="BN102" s="103"/>
      <c r="BO102" s="103"/>
      <c r="BP102" s="7"/>
      <c r="BQ102" s="7"/>
      <c r="BR102" s="74"/>
      <c r="BS102" s="7"/>
      <c r="BT102" s="7"/>
      <c r="BU102" s="74"/>
      <c r="BV102" s="74"/>
      <c r="BW102" s="74"/>
      <c r="BX102" s="74"/>
      <c r="BY102" s="103"/>
      <c r="BZ102" s="103"/>
      <c r="CA102" s="7"/>
      <c r="CB102" s="74"/>
      <c r="CC102" s="103"/>
      <c r="CD102" s="74"/>
      <c r="CE102" s="7"/>
      <c r="CF102" s="103"/>
      <c r="CG102" s="74"/>
      <c r="CH102" s="7"/>
      <c r="CI102" s="101"/>
      <c r="CJ102" s="103"/>
      <c r="CK102" s="101"/>
      <c r="CL102" s="74"/>
      <c r="CM102" s="74"/>
      <c r="CN102" s="74"/>
      <c r="CO102" s="101"/>
      <c r="CP102" s="74"/>
      <c r="CQ102" s="74"/>
      <c r="CR102" s="74"/>
      <c r="CS102" s="74"/>
      <c r="CT102" s="74"/>
      <c r="CU102" s="74"/>
      <c r="CV102" s="74"/>
      <c r="CW102" s="103"/>
      <c r="CX102" s="7"/>
      <c r="CY102" s="7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103"/>
      <c r="DK102" s="74"/>
      <c r="DL102" s="74"/>
      <c r="DM102" s="103"/>
      <c r="DN102" s="103"/>
      <c r="DO102" s="103"/>
      <c r="DP102" s="103"/>
      <c r="DQ102" s="103"/>
      <c r="DR102" s="7"/>
      <c r="DS102" s="7"/>
      <c r="DT102" s="103"/>
      <c r="DU102" s="103"/>
      <c r="DV102" s="103"/>
      <c r="DW102" s="103"/>
      <c r="DX102" s="103"/>
      <c r="DY102" s="103"/>
      <c r="DZ102" s="8">
        <f t="shared" si="15"/>
        <v>33.526338557928824</v>
      </c>
      <c r="EA102" s="3" t="str">
        <f t="shared" si="16"/>
        <v>Craven, Lee</v>
      </c>
      <c r="EB102" s="2">
        <f t="shared" si="17"/>
        <v>1</v>
      </c>
      <c r="EC102" s="112">
        <f t="shared" si="27"/>
        <v>31.311358388555671</v>
      </c>
      <c r="ED102" s="29">
        <f t="shared" si="19"/>
        <v>32.9853783529406</v>
      </c>
      <c r="EE102" s="2">
        <f t="shared" si="20"/>
        <v>0</v>
      </c>
      <c r="EF102" s="46">
        <f t="shared" si="21"/>
        <v>1</v>
      </c>
      <c r="EG102" s="46">
        <f t="shared" si="22"/>
        <v>1</v>
      </c>
      <c r="EH102" s="29" t="str">
        <f t="shared" si="23"/>
        <v>NY</v>
      </c>
      <c r="EI102" s="29">
        <f>IF(COUNT(I102:Y102)&lt;5,DZ102,SUMPRODUCT(LARGE(I102:Y102,{1,2,3,4,5}))/5)</f>
        <v>33.526338557928824</v>
      </c>
      <c r="EJ102" s="29">
        <f>IF(COUNT(I102:AX102)&lt;5,DZ102,SUMPRODUCT(LARGE(I102:AX102,{1,2,3,4,5}))/5)</f>
        <v>33.526338557928824</v>
      </c>
      <c r="EK102" s="29">
        <f>IF(COUNT(I102:DY102)&lt;5,AVERAGE(I102:DY102),SUMPRODUCT(LARGE(I102:DY102,{1,2,3,4,5}))/5)</f>
        <v>33.526338557928824</v>
      </c>
      <c r="EL102" s="29">
        <f t="shared" si="24"/>
        <v>32.9853783529406</v>
      </c>
      <c r="EM102" s="116" t="str">
        <f t="shared" si="25"/>
        <v>Craven, Lee</v>
      </c>
      <c r="EQ102"/>
    </row>
    <row r="103" spans="1:147" x14ac:dyDescent="0.25">
      <c r="A103" s="59">
        <f t="shared" si="26"/>
        <v>100</v>
      </c>
      <c r="B103" s="32" t="s">
        <v>859</v>
      </c>
      <c r="C103" s="5" t="s">
        <v>6</v>
      </c>
      <c r="D103" s="6" t="s">
        <v>59</v>
      </c>
      <c r="E103" s="6">
        <v>42.726926272293511</v>
      </c>
      <c r="F103" s="6">
        <v>42.726926272293511</v>
      </c>
      <c r="G103" s="5">
        <f t="shared" si="14"/>
        <v>2</v>
      </c>
      <c r="H103" s="8">
        <v>42.726926272293511</v>
      </c>
      <c r="I103" s="36"/>
      <c r="J103" s="7"/>
      <c r="K103" s="14"/>
      <c r="L103" s="7"/>
      <c r="M103" s="14"/>
      <c r="N103" s="7"/>
      <c r="O103" s="7"/>
      <c r="P103" s="14"/>
      <c r="Q103" s="7"/>
      <c r="R103" s="14"/>
      <c r="S103" s="14"/>
      <c r="T103" s="7"/>
      <c r="U103" s="7"/>
      <c r="V103" s="14"/>
      <c r="W103" s="7"/>
      <c r="X103" s="14"/>
      <c r="Y103" s="227"/>
      <c r="Z103" s="228"/>
      <c r="AA103" s="7"/>
      <c r="AB103" s="7"/>
      <c r="AC103" s="7"/>
      <c r="AD103" s="7"/>
      <c r="AE103" s="7"/>
      <c r="AF103" s="14"/>
      <c r="AG103" s="7"/>
      <c r="AH103" s="7"/>
      <c r="AI103" s="7"/>
      <c r="AJ103" s="7"/>
      <c r="AK103" s="7"/>
      <c r="AL103" s="7"/>
      <c r="AM103" s="7"/>
      <c r="AN103" s="7"/>
      <c r="AO103" s="74"/>
      <c r="AP103" s="7"/>
      <c r="AQ103" s="74"/>
      <c r="AR103" s="70"/>
      <c r="AS103" s="7"/>
      <c r="AT103" s="70"/>
      <c r="AU103" s="7"/>
      <c r="AV103" s="70"/>
      <c r="AW103" s="7">
        <f>(INDEX('Race 41'!$E$8:$E$200,(MATCH($B103,'Race 41'!$B$8:$B$200,0)),1))*100</f>
        <v>45.99058720159011</v>
      </c>
      <c r="AX103" s="184">
        <f>(INDEX('Race 42'!$E$8:$E$200,(MATCH($B103,'Race 42'!$B$8:$B$200,0)),1))*100</f>
        <v>52.21698626380725</v>
      </c>
      <c r="AY103" s="208"/>
      <c r="AZ103" s="14"/>
      <c r="BA103" s="14"/>
      <c r="BB103" s="14"/>
      <c r="BC103" s="7"/>
      <c r="BD103" s="7"/>
      <c r="BE103" s="7"/>
      <c r="BF103" s="14"/>
      <c r="BG103" s="14"/>
      <c r="BH103" s="70"/>
      <c r="BI103" s="14"/>
      <c r="BJ103" s="14"/>
      <c r="BK103" s="7"/>
      <c r="BL103" s="14"/>
      <c r="BM103" s="7"/>
      <c r="BN103" s="103"/>
      <c r="BO103" s="14"/>
      <c r="BP103" s="7"/>
      <c r="BQ103" s="7"/>
      <c r="BR103" s="7"/>
      <c r="BS103" s="7"/>
      <c r="BT103" s="7"/>
      <c r="BU103" s="7"/>
      <c r="BV103" s="7"/>
      <c r="BW103" s="7"/>
      <c r="BX103" s="7"/>
      <c r="BY103" s="14"/>
      <c r="BZ103" s="14"/>
      <c r="CA103" s="7"/>
      <c r="CB103" s="7"/>
      <c r="CC103" s="14"/>
      <c r="CD103" s="7"/>
      <c r="CE103" s="7"/>
      <c r="CF103" s="14"/>
      <c r="CG103" s="14"/>
      <c r="CH103" s="7"/>
      <c r="CI103" s="14"/>
      <c r="CJ103" s="14"/>
      <c r="CK103" s="101"/>
      <c r="CL103" s="74"/>
      <c r="CM103" s="74"/>
      <c r="CN103" s="74"/>
      <c r="CO103" s="70"/>
      <c r="CP103" s="74"/>
      <c r="CQ103" s="7"/>
      <c r="CR103" s="74"/>
      <c r="CS103" s="74"/>
      <c r="CT103" s="74"/>
      <c r="CU103" s="74"/>
      <c r="CV103" s="7"/>
      <c r="CW103" s="7"/>
      <c r="CX103" s="7"/>
      <c r="CY103" s="7"/>
      <c r="CZ103" s="7"/>
      <c r="DA103" s="7"/>
      <c r="DB103" s="7"/>
      <c r="DC103" s="7"/>
      <c r="DD103" s="7"/>
      <c r="DE103" s="74"/>
      <c r="DF103" s="74"/>
      <c r="DG103" s="74"/>
      <c r="DH103" s="7"/>
      <c r="DI103" s="74"/>
      <c r="DJ103" s="14"/>
      <c r="DK103" s="7"/>
      <c r="DL103" s="7"/>
      <c r="DM103" s="14"/>
      <c r="DN103" s="14"/>
      <c r="DO103" s="14"/>
      <c r="DP103" s="14"/>
      <c r="DQ103" s="14"/>
      <c r="DR103" s="7"/>
      <c r="DS103" s="7"/>
      <c r="DT103" s="14"/>
      <c r="DU103" s="14"/>
      <c r="DV103" s="14"/>
      <c r="DW103" s="14"/>
      <c r="DX103" s="14"/>
      <c r="DY103" s="14"/>
      <c r="DZ103" s="8">
        <f t="shared" si="15"/>
        <v>49.10378673269868</v>
      </c>
      <c r="EA103" s="3" t="str">
        <f t="shared" si="16"/>
        <v>CROMWELL, Charles</v>
      </c>
      <c r="EB103" s="2">
        <f t="shared" si="17"/>
        <v>1</v>
      </c>
      <c r="EC103" s="112">
        <f t="shared" si="27"/>
        <v>42.726926272293511</v>
      </c>
      <c r="ED103" s="29">
        <f t="shared" si="19"/>
        <v>48.311478485535893</v>
      </c>
      <c r="EE103" s="2">
        <f t="shared" si="20"/>
        <v>0</v>
      </c>
      <c r="EF103" s="46">
        <f t="shared" si="21"/>
        <v>2</v>
      </c>
      <c r="EG103" s="46">
        <f t="shared" si="22"/>
        <v>2</v>
      </c>
      <c r="EH103" s="29" t="str">
        <f t="shared" si="23"/>
        <v>MT</v>
      </c>
      <c r="EI103" s="29">
        <f>IF(COUNT(I103:Y103)&lt;5,DZ103,SUMPRODUCT(LARGE(I103:Y103,{1,2,3,4,5}))/5)</f>
        <v>49.10378673269868</v>
      </c>
      <c r="EJ103" s="29">
        <f>IF(COUNT(I103:AX103)&lt;5,DZ103,SUMPRODUCT(LARGE(I103:AX103,{1,2,3,4,5}))/5)</f>
        <v>49.10378673269868</v>
      </c>
      <c r="EK103" s="29">
        <f>IF(COUNT(I103:DY103)&lt;5,AVERAGE(I103:DY103),SUMPRODUCT(LARGE(I103:DY103,{1,2,3,4,5}))/5)</f>
        <v>49.10378673269868</v>
      </c>
      <c r="EL103" s="29">
        <f t="shared" si="24"/>
        <v>48.311478485535893</v>
      </c>
      <c r="EM103" s="116" t="str">
        <f t="shared" si="25"/>
        <v>CROMWELL, Charles</v>
      </c>
      <c r="EQ103"/>
    </row>
    <row r="104" spans="1:147" x14ac:dyDescent="0.25">
      <c r="A104" s="59">
        <f t="shared" si="26"/>
        <v>101</v>
      </c>
      <c r="B104" s="186" t="s">
        <v>971</v>
      </c>
      <c r="C104" s="106" t="s">
        <v>16</v>
      </c>
      <c r="D104" s="187" t="s">
        <v>87</v>
      </c>
      <c r="E104" s="6">
        <v>46.260700403476264</v>
      </c>
      <c r="F104" s="6">
        <v>46.260700403476264</v>
      </c>
      <c r="G104" s="5">
        <f t="shared" si="14"/>
        <v>4</v>
      </c>
      <c r="H104" s="8">
        <v>46.260700403476264</v>
      </c>
      <c r="I104" s="107"/>
      <c r="J104" s="74"/>
      <c r="K104" s="103"/>
      <c r="L104" s="74"/>
      <c r="M104" s="103"/>
      <c r="N104" s="74"/>
      <c r="O104" s="74"/>
      <c r="P104" s="103"/>
      <c r="Q104" s="74"/>
      <c r="R104" s="103"/>
      <c r="S104" s="103"/>
      <c r="T104" s="74"/>
      <c r="U104" s="74"/>
      <c r="V104" s="103"/>
      <c r="W104" s="74"/>
      <c r="X104" s="103"/>
      <c r="Y104" s="229"/>
      <c r="Z104" s="230"/>
      <c r="AA104" s="74"/>
      <c r="AB104" s="74"/>
      <c r="AC104" s="103"/>
      <c r="AD104" s="103"/>
      <c r="AE104" s="74"/>
      <c r="AF104" s="103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101"/>
      <c r="AS104" s="74"/>
      <c r="AT104" s="101"/>
      <c r="AU104" s="74"/>
      <c r="AV104" s="101"/>
      <c r="AW104" s="74"/>
      <c r="AX104" s="184"/>
      <c r="AY104" s="208"/>
      <c r="AZ104" s="103"/>
      <c r="BA104" s="103"/>
      <c r="BB104" s="103"/>
      <c r="BC104" s="74"/>
      <c r="BD104" s="7"/>
      <c r="BE104" s="7"/>
      <c r="BF104" s="103"/>
      <c r="BG104" s="103"/>
      <c r="BH104" s="103"/>
      <c r="BI104" s="103"/>
      <c r="BJ104" s="103"/>
      <c r="BK104" s="74"/>
      <c r="BL104" s="103"/>
      <c r="BM104" s="74"/>
      <c r="BN104" s="103"/>
      <c r="BO104" s="103"/>
      <c r="BP104" s="7"/>
      <c r="BQ104" s="7"/>
      <c r="BR104" s="74"/>
      <c r="BS104" s="7"/>
      <c r="BT104" s="7"/>
      <c r="BU104" s="74"/>
      <c r="BV104" s="74"/>
      <c r="BW104" s="74"/>
      <c r="BX104" s="74"/>
      <c r="BY104" s="103"/>
      <c r="BZ104" s="103"/>
      <c r="CA104" s="7"/>
      <c r="CB104" s="74"/>
      <c r="CC104" s="74"/>
      <c r="CD104" s="74"/>
      <c r="CE104" s="74"/>
      <c r="CF104" s="103"/>
      <c r="CG104" s="103"/>
      <c r="CH104" s="74"/>
      <c r="CI104" s="103"/>
      <c r="CJ104" s="103"/>
      <c r="CK104" s="101"/>
      <c r="CL104" s="74"/>
      <c r="CM104" s="74"/>
      <c r="CN104" s="74"/>
      <c r="CO104" s="101"/>
      <c r="CP104" s="74"/>
      <c r="CQ104" s="74"/>
      <c r="CR104" s="74">
        <f>(INDEX('Race 88'!$E$8:$E$200,(MATCH($B104,'Race 88'!$B$8:$B$200,0)),1))*100</f>
        <v>78.545559741241135</v>
      </c>
      <c r="CS104" s="74">
        <f>(INDEX('Race 89'!$E$8:$E$200,(MATCH($B104,'Race 89'!$B$8:$B$200,0)),1))*100</f>
        <v>82.949633388565076</v>
      </c>
      <c r="CT104" s="74">
        <f>(INDEX('Race 90'!$E$8:$E$200,(MATCH($B104,'Race 90'!$B$8:$B$200,0)),1))*100</f>
        <v>61.635621772591165</v>
      </c>
      <c r="CU104" s="74">
        <f>(INDEX('Race 91'!$E$8:$E$200,(MATCH($B104,'Race 91'!$B$8:$B$200,0)),1))*100</f>
        <v>65.72493809246609</v>
      </c>
      <c r="CV104" s="74"/>
      <c r="CW104" s="103"/>
      <c r="CX104" s="7"/>
      <c r="CY104" s="7"/>
      <c r="CZ104" s="74"/>
      <c r="DA104" s="74"/>
      <c r="DB104" s="74"/>
      <c r="DC104" s="74"/>
      <c r="DD104" s="74"/>
      <c r="DE104" s="74"/>
      <c r="DF104" s="74"/>
      <c r="DG104" s="74"/>
      <c r="DH104" s="74"/>
      <c r="DI104" s="74"/>
      <c r="DJ104" s="103"/>
      <c r="DK104" s="74"/>
      <c r="DL104" s="74"/>
      <c r="DM104" s="103"/>
      <c r="DN104" s="103"/>
      <c r="DO104" s="103"/>
      <c r="DP104" s="103"/>
      <c r="DQ104" s="103"/>
      <c r="DR104" s="74"/>
      <c r="DS104" s="74"/>
      <c r="DT104" s="103"/>
      <c r="DU104" s="74"/>
      <c r="DV104" s="103"/>
      <c r="DW104" s="103"/>
      <c r="DX104" s="103"/>
      <c r="DY104" s="103"/>
      <c r="DZ104" s="8">
        <f t="shared" si="15"/>
        <v>72.213938248715863</v>
      </c>
      <c r="EA104" s="3" t="str">
        <f t="shared" si="16"/>
        <v>Cuneo, Steffen</v>
      </c>
      <c r="EB104" s="2">
        <f t="shared" si="17"/>
        <v>1</v>
      </c>
      <c r="EC104" s="112">
        <f t="shared" si="27"/>
        <v>46.260700403476264</v>
      </c>
      <c r="ED104" s="29">
        <f t="shared" si="19"/>
        <v>71.048738930259603</v>
      </c>
      <c r="EE104" s="2">
        <f t="shared" si="20"/>
        <v>0</v>
      </c>
      <c r="EF104" s="46">
        <f t="shared" si="21"/>
        <v>0</v>
      </c>
      <c r="EG104" s="46">
        <f t="shared" si="22"/>
        <v>4</v>
      </c>
      <c r="EH104" s="29" t="str">
        <f t="shared" si="23"/>
        <v>CA</v>
      </c>
      <c r="EI104" s="29">
        <f>IF(COUNT(I104:Y104)&lt;5,DZ104,SUMPRODUCT(LARGE(I104:Y104,{1,2,3,4,5}))/5)</f>
        <v>72.213938248715863</v>
      </c>
      <c r="EJ104" s="29">
        <f>IF(COUNT(I104:AX104)&lt;5,DZ104,SUMPRODUCT(LARGE(I104:AX104,{1,2,3,4,5}))/5)</f>
        <v>72.213938248715863</v>
      </c>
      <c r="EK104" s="29">
        <f>IF(COUNT(I104:DY104)&lt;5,AVERAGE(I104:DY104),SUMPRODUCT(LARGE(I104:DY104,{1,2,3,4,5}))/5)</f>
        <v>72.213938248715863</v>
      </c>
      <c r="EL104" s="29">
        <f t="shared" si="24"/>
        <v>71.048738930259603</v>
      </c>
      <c r="EM104" s="116" t="str">
        <f t="shared" si="25"/>
        <v>Cuneo, Steffen</v>
      </c>
      <c r="EQ104"/>
    </row>
    <row r="105" spans="1:147" x14ac:dyDescent="0.25">
      <c r="A105" s="59">
        <f t="shared" si="26"/>
        <v>102</v>
      </c>
      <c r="B105" s="54" t="s">
        <v>224</v>
      </c>
      <c r="C105" s="55" t="s">
        <v>6</v>
      </c>
      <c r="D105" s="55" t="s">
        <v>61</v>
      </c>
      <c r="E105" s="6">
        <v>62.293008941503402</v>
      </c>
      <c r="F105" s="6">
        <v>65.577983659208627</v>
      </c>
      <c r="G105" s="5">
        <f t="shared" si="14"/>
        <v>2</v>
      </c>
      <c r="H105" s="60">
        <v>62.293008941503402</v>
      </c>
      <c r="I105" s="107"/>
      <c r="J105" s="7"/>
      <c r="K105" s="103"/>
      <c r="L105" s="7"/>
      <c r="M105" s="103"/>
      <c r="N105" s="74"/>
      <c r="O105" s="7"/>
      <c r="P105" s="14"/>
      <c r="Q105" s="74"/>
      <c r="R105" s="14"/>
      <c r="S105" s="14"/>
      <c r="T105" s="7"/>
      <c r="U105" s="7"/>
      <c r="V105" s="74"/>
      <c r="W105" s="74"/>
      <c r="X105" s="103"/>
      <c r="Y105" s="227"/>
      <c r="Z105" s="228"/>
      <c r="AA105" s="74"/>
      <c r="AB105" s="74"/>
      <c r="AC105" s="74"/>
      <c r="AD105" s="74"/>
      <c r="AE105" s="7"/>
      <c r="AF105" s="103"/>
      <c r="AG105" s="74"/>
      <c r="AH105" s="7"/>
      <c r="AI105" s="7"/>
      <c r="AJ105" s="7"/>
      <c r="AK105" s="7"/>
      <c r="AL105" s="7"/>
      <c r="AM105" s="7"/>
      <c r="AN105" s="7"/>
      <c r="AO105" s="74"/>
      <c r="AP105" s="7"/>
      <c r="AQ105" s="74"/>
      <c r="AR105" s="101"/>
      <c r="AS105" s="7"/>
      <c r="AT105" s="101"/>
      <c r="AU105" s="7"/>
      <c r="AV105" s="101"/>
      <c r="AW105" s="7">
        <f>(INDEX('Race 41'!$E$8:$E$200,(MATCH($B105,'Race 41'!$B$8:$B$200,0)),1))*100</f>
        <v>66.899371976849835</v>
      </c>
      <c r="AX105" s="185">
        <f>(INDEX('Race 42'!$E$8:$E$200,(MATCH($B105,'Race 42'!$B$8:$B$200,0)),1))*100</f>
        <v>64.256595341567419</v>
      </c>
      <c r="AY105" s="208"/>
      <c r="AZ105" s="103"/>
      <c r="BA105" s="103"/>
      <c r="BB105" s="103"/>
      <c r="BC105" s="74"/>
      <c r="BD105" s="7"/>
      <c r="BE105" s="7"/>
      <c r="BF105" s="103"/>
      <c r="BG105" s="103"/>
      <c r="BH105" s="103"/>
      <c r="BI105" s="103"/>
      <c r="BJ105" s="103"/>
      <c r="BK105" s="7"/>
      <c r="BL105" s="103"/>
      <c r="BM105" s="7"/>
      <c r="BN105" s="103"/>
      <c r="BO105" s="103"/>
      <c r="BP105" s="7"/>
      <c r="BQ105" s="7"/>
      <c r="BR105" s="74"/>
      <c r="BS105" s="7"/>
      <c r="BT105" s="7"/>
      <c r="BU105" s="74"/>
      <c r="BV105" s="74"/>
      <c r="BW105" s="74"/>
      <c r="BX105" s="74"/>
      <c r="BY105" s="103"/>
      <c r="BZ105" s="103"/>
      <c r="CA105" s="7"/>
      <c r="CB105" s="103"/>
      <c r="CC105" s="103"/>
      <c r="CD105" s="74"/>
      <c r="CE105" s="7"/>
      <c r="CF105" s="103"/>
      <c r="CG105" s="103"/>
      <c r="CH105" s="7"/>
      <c r="CI105" s="103"/>
      <c r="CJ105" s="103"/>
      <c r="CK105" s="101"/>
      <c r="CL105" s="74"/>
      <c r="CM105" s="74"/>
      <c r="CN105" s="74"/>
      <c r="CO105" s="101"/>
      <c r="CP105" s="74"/>
      <c r="CQ105" s="74"/>
      <c r="CR105" s="74"/>
      <c r="CS105" s="74"/>
      <c r="CT105" s="74"/>
      <c r="CU105" s="74"/>
      <c r="CV105" s="74"/>
      <c r="CW105" s="103"/>
      <c r="CX105" s="7"/>
      <c r="CY105" s="7"/>
      <c r="CZ105" s="74"/>
      <c r="DA105" s="74"/>
      <c r="DB105" s="74"/>
      <c r="DC105" s="74"/>
      <c r="DD105" s="74"/>
      <c r="DE105" s="74"/>
      <c r="DF105" s="74"/>
      <c r="DG105" s="74"/>
      <c r="DH105" s="74"/>
      <c r="DI105" s="74"/>
      <c r="DJ105" s="103"/>
      <c r="DK105" s="74"/>
      <c r="DL105" s="74"/>
      <c r="DM105" s="103"/>
      <c r="DN105" s="103"/>
      <c r="DO105" s="103"/>
      <c r="DP105" s="74"/>
      <c r="DQ105" s="103"/>
      <c r="DR105" s="7"/>
      <c r="DS105" s="7"/>
      <c r="DT105" s="103"/>
      <c r="DU105" s="103"/>
      <c r="DV105" s="103"/>
      <c r="DW105" s="103"/>
      <c r="DX105" s="103"/>
      <c r="DY105" s="103"/>
      <c r="DZ105" s="8">
        <f t="shared" si="15"/>
        <v>65.577983659208627</v>
      </c>
      <c r="EA105" s="3" t="str">
        <f t="shared" si="16"/>
        <v>Cunningham, David</v>
      </c>
      <c r="EB105" s="2">
        <f t="shared" si="17"/>
        <v>1</v>
      </c>
      <c r="EC105" s="112">
        <f t="shared" si="27"/>
        <v>62.293008941503402</v>
      </c>
      <c r="ED105" s="29">
        <f t="shared" si="19"/>
        <v>64.519857988202119</v>
      </c>
      <c r="EE105" s="2">
        <f t="shared" si="20"/>
        <v>0</v>
      </c>
      <c r="EF105" s="46">
        <f t="shared" si="21"/>
        <v>2</v>
      </c>
      <c r="EG105" s="46">
        <f t="shared" si="22"/>
        <v>2</v>
      </c>
      <c r="EH105" s="2" t="str">
        <f t="shared" si="23"/>
        <v>AK</v>
      </c>
      <c r="EI105" s="29">
        <f>IF(COUNT(I105:Y105)&lt;5,DZ105,SUMPRODUCT(LARGE(I105:Y105,{1,2,3,4,5}))/5)</f>
        <v>65.577983659208627</v>
      </c>
      <c r="EJ105" s="29">
        <f>IF(COUNT(I105:AX105)&lt;5,DZ105,SUMPRODUCT(LARGE(I105:AX105,{1,2,3,4,5}))/5)</f>
        <v>65.577983659208627</v>
      </c>
      <c r="EK105" s="29">
        <f>IF(COUNT(I105:DY105)&lt;5,AVERAGE(I105:DY105),SUMPRODUCT(LARGE(I105:DY105,{1,2,3,4,5}))/5)</f>
        <v>65.577983659208627</v>
      </c>
      <c r="EL105" s="29">
        <f t="shared" si="24"/>
        <v>64.519857988202119</v>
      </c>
      <c r="EM105" s="116" t="str">
        <f t="shared" si="25"/>
        <v>Cunningham, David</v>
      </c>
      <c r="EQ105"/>
    </row>
    <row r="106" spans="1:147" x14ac:dyDescent="0.25">
      <c r="A106" s="59">
        <f t="shared" si="26"/>
        <v>103</v>
      </c>
      <c r="B106" s="32" t="s">
        <v>1034</v>
      </c>
      <c r="C106" s="5" t="s">
        <v>16</v>
      </c>
      <c r="D106" s="6" t="s">
        <v>63</v>
      </c>
      <c r="E106" s="6">
        <v>84.278844281290986</v>
      </c>
      <c r="F106" s="6">
        <v>84.278844281290986</v>
      </c>
      <c r="G106" s="5">
        <f t="shared" si="14"/>
        <v>6</v>
      </c>
      <c r="H106" s="8">
        <v>0</v>
      </c>
      <c r="I106" s="36"/>
      <c r="J106" s="7"/>
      <c r="K106" s="14"/>
      <c r="L106" s="7"/>
      <c r="M106" s="14"/>
      <c r="N106" s="7"/>
      <c r="O106" s="7"/>
      <c r="P106" s="14"/>
      <c r="Q106" s="7"/>
      <c r="R106" s="14"/>
      <c r="S106" s="14"/>
      <c r="T106" s="7"/>
      <c r="U106" s="7"/>
      <c r="V106" s="14"/>
      <c r="W106" s="7"/>
      <c r="X106" s="14">
        <f>(INDEX('Race 16'!$E$8:$E$200,(MATCH($B106,'Race 16'!$B$8:$B$200,0)),1))*100</f>
        <v>86.613049158229089</v>
      </c>
      <c r="Y106" s="227">
        <f>(INDEX('Race 17'!$E$8:$E$200,(MATCH($B106,'Race 17'!$B$8:$B$200,0)),1))*100</f>
        <v>81.94463940435287</v>
      </c>
      <c r="Z106" s="228"/>
      <c r="AA106" s="7"/>
      <c r="AB106" s="7"/>
      <c r="AC106" s="14"/>
      <c r="AD106" s="7"/>
      <c r="AE106" s="7"/>
      <c r="AF106" s="14"/>
      <c r="AG106" s="14"/>
      <c r="AH106" s="7"/>
      <c r="AI106" s="7"/>
      <c r="AJ106" s="7"/>
      <c r="AK106" s="7"/>
      <c r="AL106" s="7"/>
      <c r="AM106" s="7"/>
      <c r="AN106" s="7"/>
      <c r="AO106" s="74"/>
      <c r="AP106" s="7"/>
      <c r="AQ106" s="74"/>
      <c r="AR106" s="70"/>
      <c r="AS106" s="7"/>
      <c r="AT106" s="70"/>
      <c r="AU106" s="7"/>
      <c r="AV106" s="70"/>
      <c r="AW106" s="7"/>
      <c r="AX106" s="184"/>
      <c r="AY106" s="36"/>
      <c r="AZ106" s="14"/>
      <c r="BA106" s="14"/>
      <c r="BB106" s="14"/>
      <c r="BC106" s="7"/>
      <c r="BD106" s="7">
        <f>(INDEX('Race 48'!$E$8:$E$200,(MATCH($B106,'Race 48'!$B$8:$B$200,0)),1))*100</f>
        <v>77.057721283351796</v>
      </c>
      <c r="BE106" s="7"/>
      <c r="BF106" s="14"/>
      <c r="BG106" s="14"/>
      <c r="BH106" s="14"/>
      <c r="BI106" s="14"/>
      <c r="BJ106" s="74"/>
      <c r="BK106" s="74"/>
      <c r="BL106" s="7"/>
      <c r="BM106" s="74">
        <f>(INDEX('Race 57'!$E$8:$E$200,(MATCH($B106,'Race 57'!$B$8:$B$200,0)),1))*100</f>
        <v>85.908515466699384</v>
      </c>
      <c r="BN106" s="103"/>
      <c r="BO106" s="14"/>
      <c r="BP106" s="7"/>
      <c r="BQ106" s="7"/>
      <c r="BR106" s="7"/>
      <c r="BS106" s="7"/>
      <c r="BT106" s="7"/>
      <c r="BU106" s="7"/>
      <c r="BV106" s="7"/>
      <c r="BW106" s="7"/>
      <c r="BX106" s="7"/>
      <c r="BY106" s="14">
        <f>(INDEX('Race 69'!$E$8:$E$200,(MATCH($B106,'Race 69'!$B$8:$B$200,0)),1))*100</f>
        <v>89.475931510271934</v>
      </c>
      <c r="BZ106" s="7"/>
      <c r="CA106" s="7"/>
      <c r="CB106" s="14">
        <f>(INDEX('Race 72'!$E$8:$E$200,(MATCH($B106,'Race 72'!$B$8:$B$200,0)),1))*100</f>
        <v>81.778072171528919</v>
      </c>
      <c r="CC106" s="14"/>
      <c r="CD106" s="7"/>
      <c r="CE106" s="74"/>
      <c r="CF106" s="103"/>
      <c r="CG106" s="14"/>
      <c r="CH106" s="7"/>
      <c r="CI106" s="14"/>
      <c r="CJ106" s="14"/>
      <c r="CK106" s="101"/>
      <c r="CL106" s="74"/>
      <c r="CM106" s="74"/>
      <c r="CN106" s="74"/>
      <c r="CO106" s="70"/>
      <c r="CP106" s="74"/>
      <c r="CQ106" s="7"/>
      <c r="CR106" s="74"/>
      <c r="CS106" s="74"/>
      <c r="CT106" s="74"/>
      <c r="CU106" s="74"/>
      <c r="CV106" s="7"/>
      <c r="CW106" s="7"/>
      <c r="CX106" s="7"/>
      <c r="CY106" s="7"/>
      <c r="CZ106" s="7"/>
      <c r="DA106" s="7"/>
      <c r="DB106" s="7"/>
      <c r="DC106" s="7"/>
      <c r="DD106" s="7"/>
      <c r="DE106" s="74"/>
      <c r="DF106" s="7"/>
      <c r="DG106" s="7"/>
      <c r="DH106" s="7"/>
      <c r="DI106" s="7"/>
      <c r="DJ106" s="14"/>
      <c r="DK106" s="7"/>
      <c r="DL106" s="7"/>
      <c r="DM106" s="14"/>
      <c r="DN106" s="14"/>
      <c r="DO106" s="14"/>
      <c r="DP106" s="14"/>
      <c r="DQ106" s="14"/>
      <c r="DR106" s="7"/>
      <c r="DS106" s="7"/>
      <c r="DT106" s="14"/>
      <c r="DU106" s="14"/>
      <c r="DV106" s="14"/>
      <c r="DW106" s="14"/>
      <c r="DX106" s="14"/>
      <c r="DY106" s="14"/>
      <c r="DZ106" s="8">
        <f t="shared" si="15"/>
        <v>83.796321499072334</v>
      </c>
      <c r="EA106" s="3" t="str">
        <f t="shared" si="16"/>
        <v>Cunningham, Timothy</v>
      </c>
      <c r="EB106" s="2">
        <f t="shared" si="17"/>
        <v>1</v>
      </c>
      <c r="EC106" s="112">
        <f t="shared" si="27"/>
        <v>0</v>
      </c>
      <c r="ED106" s="29">
        <f t="shared" si="19"/>
        <v>83.7702100966317</v>
      </c>
      <c r="EE106" s="2">
        <f t="shared" si="20"/>
        <v>2</v>
      </c>
      <c r="EF106" s="46">
        <f t="shared" si="21"/>
        <v>4</v>
      </c>
      <c r="EG106" s="46">
        <f t="shared" si="22"/>
        <v>6</v>
      </c>
      <c r="EH106" s="29" t="str">
        <f t="shared" si="23"/>
        <v>VT</v>
      </c>
      <c r="EI106" s="29">
        <f>IF(COUNT(I106:Y106)&lt;5,DZ106,SUMPRODUCT(LARGE(I106:Y106,{1,2,3,4,5}))/5)</f>
        <v>83.796321499072334</v>
      </c>
      <c r="EJ106" s="29">
        <f>IF(COUNT(I106:AX106)&lt;5,DZ106,SUMPRODUCT(LARGE(I106:AX106,{1,2,3,4,5}))/5)</f>
        <v>83.796321499072334</v>
      </c>
      <c r="EK106" s="29">
        <f>IF(COUNT(I106:DY106)&lt;5,AVERAGE(I106:DY106),SUMPRODUCT(LARGE(I106:DY106,{1,2,3,4,5}))/5)</f>
        <v>85.144041542216456</v>
      </c>
      <c r="EL106" s="29">
        <f t="shared" si="24"/>
        <v>83.7702100966317</v>
      </c>
      <c r="EM106" s="116" t="str">
        <f t="shared" si="25"/>
        <v>Cunningham, Timothy</v>
      </c>
      <c r="EQ106"/>
    </row>
    <row r="107" spans="1:147" x14ac:dyDescent="0.25">
      <c r="A107" s="59">
        <f t="shared" si="26"/>
        <v>104</v>
      </c>
      <c r="B107" s="32" t="s">
        <v>50</v>
      </c>
      <c r="C107" s="5" t="s">
        <v>6</v>
      </c>
      <c r="D107" s="6" t="s">
        <v>64</v>
      </c>
      <c r="E107" s="6">
        <v>93.897339942251477</v>
      </c>
      <c r="F107" s="6">
        <v>95.089327975174797</v>
      </c>
      <c r="G107" s="5">
        <f t="shared" si="14"/>
        <v>11</v>
      </c>
      <c r="H107" s="8">
        <v>94.460912223772951</v>
      </c>
      <c r="I107" s="107"/>
      <c r="J107" s="7"/>
      <c r="K107" s="14"/>
      <c r="L107" s="7"/>
      <c r="M107" s="103"/>
      <c r="N107" s="7"/>
      <c r="O107" s="7"/>
      <c r="P107" s="14"/>
      <c r="Q107" s="7">
        <f>(INDEX('Race 9'!$E$8:$E$200,(MATCH($B107,'Race 9'!$B$8:$B$200,0)),1))*100</f>
        <v>94.037902318109417</v>
      </c>
      <c r="R107" s="103"/>
      <c r="S107" s="14">
        <f>(INDEX('Race 11'!$E$8:$E$200,(MATCH($B107,'Race 11'!$B$8:$B$200,0)),1))*100</f>
        <v>92.006496940657627</v>
      </c>
      <c r="T107" s="7">
        <f>(INDEX('Race 12'!$E$8:$E$200,(MATCH($B107,'Race 12'!$B$8:$B$200,0)),1))*100</f>
        <v>95.421016209722524</v>
      </c>
      <c r="U107" s="7"/>
      <c r="V107" s="14">
        <f>(INDEX('Race 14'!$E$8:$E$200,(MATCH($B107,'Race 14'!$B$8:$B$200,0)),1))*100</f>
        <v>94.123944300516328</v>
      </c>
      <c r="W107" s="7"/>
      <c r="X107" s="14"/>
      <c r="Y107" s="227"/>
      <c r="Z107" s="228"/>
      <c r="AA107" s="14">
        <f>(INDEX('Race 19'!$E$8:$E$200,(MATCH($B107,'Race 19'!$B$8:$B$200,0)),1))*100</f>
        <v>95.895638809869283</v>
      </c>
      <c r="AB107" s="7">
        <f>(INDEX('Race 20'!$E$8:$E$200,(MATCH($B107,'Race 20'!$B$8:$B$200,0)),1))*100</f>
        <v>94.145777651422947</v>
      </c>
      <c r="AC107" s="74"/>
      <c r="AD107" s="74"/>
      <c r="AE107" s="7"/>
      <c r="AF107" s="103">
        <f>(INDEX('Race 24'!$E$8:$E$200,(MATCH($B107,'Race 24'!$B$8:$B$200,0)),1))*100</f>
        <v>92.093042998108118</v>
      </c>
      <c r="AG107" s="7"/>
      <c r="AH107" s="74">
        <f>(INDEX('Race 26'!$E$8:$E$200,(MATCH($B107,'Race 26'!$B$8:$B$200,0)),1))*100</f>
        <v>95.860262904342974</v>
      </c>
      <c r="AI107" s="7"/>
      <c r="AJ107" s="7"/>
      <c r="AK107" s="7"/>
      <c r="AL107" s="74"/>
      <c r="AM107" s="7"/>
      <c r="AN107" s="7"/>
      <c r="AO107" s="74"/>
      <c r="AP107" s="7"/>
      <c r="AQ107" s="74"/>
      <c r="AR107" s="101"/>
      <c r="AS107" s="7"/>
      <c r="AT107" s="101"/>
      <c r="AU107" s="7"/>
      <c r="AV107" s="101"/>
      <c r="AW107" s="7"/>
      <c r="AX107" s="185"/>
      <c r="AY107" s="208"/>
      <c r="AZ107" s="14"/>
      <c r="BA107" s="103"/>
      <c r="BB107" s="103"/>
      <c r="BC107" s="74"/>
      <c r="BD107" s="7"/>
      <c r="BE107" s="7"/>
      <c r="BF107" s="103"/>
      <c r="BG107" s="14"/>
      <c r="BH107" s="14"/>
      <c r="BI107" s="103"/>
      <c r="BJ107" s="103"/>
      <c r="BK107" s="7"/>
      <c r="BL107" s="103"/>
      <c r="BM107" s="7"/>
      <c r="BN107" s="103"/>
      <c r="BO107" s="103"/>
      <c r="BP107" s="7"/>
      <c r="BQ107" s="7"/>
      <c r="BR107" s="7"/>
      <c r="BS107" s="7"/>
      <c r="BT107" s="7"/>
      <c r="BU107" s="74"/>
      <c r="BV107" s="74"/>
      <c r="BW107" s="74"/>
      <c r="BX107" s="74"/>
      <c r="BY107" s="103"/>
      <c r="BZ107" s="103"/>
      <c r="CA107" s="7"/>
      <c r="CB107" s="103"/>
      <c r="CC107" s="103"/>
      <c r="CD107" s="74"/>
      <c r="CE107" s="7"/>
      <c r="CF107" s="14"/>
      <c r="CG107" s="14"/>
      <c r="CH107" s="7"/>
      <c r="CI107" s="14"/>
      <c r="CJ107" s="14"/>
      <c r="CK107" s="101"/>
      <c r="CL107" s="74"/>
      <c r="CM107" s="74"/>
      <c r="CN107" s="74">
        <f>(INDEX('Race 84'!$E$8:$E$200,(MATCH($B107,'Race 84'!$B$8:$B$200,0)),1))*100</f>
        <v>97.45161243943889</v>
      </c>
      <c r="CO107" s="101"/>
      <c r="CP107" s="74">
        <f>(INDEX('Race 86'!$E$8:$E$200,(MATCH($B107,'Race 86'!$B$8:$B$200,0)),1))*100</f>
        <v>97.215593691460654</v>
      </c>
      <c r="CQ107" s="7"/>
      <c r="CR107" s="74"/>
      <c r="CS107" s="7"/>
      <c r="CT107" s="74"/>
      <c r="CU107" s="74"/>
      <c r="CV107" s="7">
        <f>(INDEX('Race 92'!$E$8:$E$200,(MATCH($B107,'Race 92'!$B$8:$B$200,0)),1))*100</f>
        <v>95.41411171532431</v>
      </c>
      <c r="CW107" s="14"/>
      <c r="CX107" s="7"/>
      <c r="CY107" s="7"/>
      <c r="CZ107" s="74"/>
      <c r="DA107" s="74"/>
      <c r="DB107" s="74"/>
      <c r="DC107" s="74"/>
      <c r="DD107" s="74"/>
      <c r="DE107" s="74"/>
      <c r="DF107" s="74"/>
      <c r="DG107" s="74"/>
      <c r="DH107" s="74"/>
      <c r="DI107" s="74"/>
      <c r="DJ107" s="103"/>
      <c r="DK107" s="74"/>
      <c r="DL107" s="74"/>
      <c r="DM107" s="103"/>
      <c r="DN107" s="103"/>
      <c r="DO107" s="103"/>
      <c r="DP107" s="103"/>
      <c r="DQ107" s="103"/>
      <c r="DR107" s="7"/>
      <c r="DS107" s="7"/>
      <c r="DT107" s="105"/>
      <c r="DU107" s="103"/>
      <c r="DV107" s="103"/>
      <c r="DW107" s="103"/>
      <c r="DX107" s="103"/>
      <c r="DY107" s="103"/>
      <c r="DZ107" s="15">
        <f t="shared" si="15"/>
        <v>94.878672725361184</v>
      </c>
      <c r="EA107" s="3" t="str">
        <f t="shared" si="16"/>
        <v>Currier, Russell</v>
      </c>
      <c r="EB107" s="2">
        <f t="shared" si="17"/>
        <v>1</v>
      </c>
      <c r="EC107" s="112">
        <f t="shared" si="27"/>
        <v>94.460912223772951</v>
      </c>
      <c r="ED107" s="29">
        <f t="shared" si="19"/>
        <v>94.813877224485296</v>
      </c>
      <c r="EE107" s="2">
        <f t="shared" si="20"/>
        <v>8</v>
      </c>
      <c r="EF107" s="46">
        <f t="shared" si="21"/>
        <v>8</v>
      </c>
      <c r="EG107" s="46">
        <f t="shared" si="22"/>
        <v>11</v>
      </c>
      <c r="EH107" s="29" t="str">
        <f t="shared" si="23"/>
        <v>ME</v>
      </c>
      <c r="EI107" s="29">
        <f>IF(COUNT(I107:Y107)&lt;5,DZ107,SUMPRODUCT(LARGE(I107:Y107,{1,2,3,4,5}))/5)</f>
        <v>94.878672725361184</v>
      </c>
      <c r="EJ107" s="29">
        <f>IF(COUNT(I107:AX107)&lt;5,DZ107,SUMPRODUCT(LARGE(I107:AX107,{1,2,3,4,5}))/5)</f>
        <v>95.089327975174797</v>
      </c>
      <c r="EK107" s="29">
        <f>IF(COUNT(I107:DY107)&lt;5,AVERAGE(I107:DY107),SUMPRODUCT(LARGE(I107:DY107,{1,2,3,4,5}))/5)</f>
        <v>96.368824810966856</v>
      </c>
      <c r="EL107" s="29">
        <f t="shared" si="24"/>
        <v>94.813877224485296</v>
      </c>
      <c r="EM107" s="116" t="str">
        <f t="shared" si="25"/>
        <v>Currier, Russell</v>
      </c>
      <c r="EQ107"/>
    </row>
    <row r="108" spans="1:147" x14ac:dyDescent="0.25">
      <c r="A108" s="59">
        <f t="shared" si="26"/>
        <v>105</v>
      </c>
      <c r="B108" s="32" t="s">
        <v>662</v>
      </c>
      <c r="C108" s="5" t="s">
        <v>6</v>
      </c>
      <c r="D108" s="6" t="s">
        <v>57</v>
      </c>
      <c r="E108" s="6">
        <v>47.416718777744791</v>
      </c>
      <c r="F108" s="6">
        <v>49.241069579723636</v>
      </c>
      <c r="G108" s="5">
        <f t="shared" si="14"/>
        <v>5</v>
      </c>
      <c r="H108" s="60">
        <v>47.416718777744791</v>
      </c>
      <c r="I108" s="36"/>
      <c r="J108" s="7"/>
      <c r="K108" s="14"/>
      <c r="L108" s="7"/>
      <c r="M108" s="14"/>
      <c r="N108" s="14"/>
      <c r="O108" s="7"/>
      <c r="P108" s="14"/>
      <c r="Q108" s="14"/>
      <c r="R108" s="14"/>
      <c r="S108" s="14"/>
      <c r="T108" s="7"/>
      <c r="U108" s="7"/>
      <c r="V108" s="14"/>
      <c r="W108" s="7"/>
      <c r="X108" s="14"/>
      <c r="Y108" s="227"/>
      <c r="Z108" s="228"/>
      <c r="AA108" s="14"/>
      <c r="AB108" s="14"/>
      <c r="AC108" s="7"/>
      <c r="AD108" s="14"/>
      <c r="AE108" s="7"/>
      <c r="AF108" s="14"/>
      <c r="AG108" s="7"/>
      <c r="AH108" s="7"/>
      <c r="AI108" s="7"/>
      <c r="AJ108" s="74">
        <f>(INDEX('Race 28'!$E$8:$E$200,(MATCH($B108,'Race 28'!$B$8:$B$200,0)),1))*100</f>
        <v>46.881676716473848</v>
      </c>
      <c r="AK108" s="74">
        <f>(INDEX('Race 29'!$E$8:$E$200,(MATCH($B108,'Race 29'!$B$8:$B$200,0)),1))*100</f>
        <v>47.860753292912008</v>
      </c>
      <c r="AL108" s="7"/>
      <c r="AM108" s="7"/>
      <c r="AN108" s="7"/>
      <c r="AO108" s="7"/>
      <c r="AP108" s="7"/>
      <c r="AQ108" s="74"/>
      <c r="AR108" s="70"/>
      <c r="AS108" s="7"/>
      <c r="AT108" s="70"/>
      <c r="AU108" s="7"/>
      <c r="AV108" s="70"/>
      <c r="AW108" s="7"/>
      <c r="AX108" s="185"/>
      <c r="AY108" s="208">
        <f>(INDEX('Race 43'!$E$8:$E$200,(MATCH($B108,'Race 43'!$B$8:$B$200,0)),1))*100</f>
        <v>53.659291466251993</v>
      </c>
      <c r="AZ108" s="7"/>
      <c r="BA108" s="7"/>
      <c r="BB108" s="14"/>
      <c r="BC108" s="7"/>
      <c r="BD108" s="7"/>
      <c r="BE108" s="7"/>
      <c r="BF108" s="14"/>
      <c r="BG108" s="14"/>
      <c r="BH108" s="14"/>
      <c r="BI108" s="7"/>
      <c r="BJ108" s="14"/>
      <c r="BK108" s="7"/>
      <c r="BL108" s="103">
        <f>(INDEX('Race 56'!$E$8:$E$200,(MATCH($B108,'Race 56'!$B$8:$B$200,0)),1))*100</f>
        <v>54.812178493093256</v>
      </c>
      <c r="BM108" s="7"/>
      <c r="BN108" s="103">
        <f>(INDEX('Race 58'!$E$8:$E$200,(MATCH($B108,'Race 58'!$B$8:$B$200,0)),1))*100</f>
        <v>50.393439402279782</v>
      </c>
      <c r="BO108" s="14"/>
      <c r="BP108" s="7"/>
      <c r="BQ108" s="7"/>
      <c r="BR108" s="7"/>
      <c r="BS108" s="7"/>
      <c r="BT108" s="7"/>
      <c r="BU108" s="7"/>
      <c r="BV108" s="7"/>
      <c r="BW108" s="7"/>
      <c r="BX108" s="7"/>
      <c r="BY108" s="14"/>
      <c r="BZ108" s="14"/>
      <c r="CA108" s="7"/>
      <c r="CB108" s="14"/>
      <c r="CC108" s="14"/>
      <c r="CD108" s="7"/>
      <c r="CE108" s="7"/>
      <c r="CF108" s="14"/>
      <c r="CG108" s="14"/>
      <c r="CH108" s="7"/>
      <c r="CI108" s="14"/>
      <c r="CJ108" s="14"/>
      <c r="CK108" s="101"/>
      <c r="CL108" s="74"/>
      <c r="CM108" s="74"/>
      <c r="CN108" s="74"/>
      <c r="CO108" s="7"/>
      <c r="CP108" s="101"/>
      <c r="CQ108" s="7"/>
      <c r="CR108" s="74"/>
      <c r="CS108" s="74"/>
      <c r="CT108" s="74"/>
      <c r="CU108" s="74"/>
      <c r="CV108" s="74"/>
      <c r="CW108" s="14"/>
      <c r="CX108" s="7"/>
      <c r="CY108" s="7"/>
      <c r="CZ108" s="7"/>
      <c r="DA108" s="7"/>
      <c r="DB108" s="7"/>
      <c r="DC108" s="7"/>
      <c r="DD108" s="7"/>
      <c r="DE108" s="74"/>
      <c r="DF108" s="74"/>
      <c r="DG108" s="74"/>
      <c r="DH108" s="74"/>
      <c r="DI108" s="74"/>
      <c r="DJ108" s="7"/>
      <c r="DK108" s="7"/>
      <c r="DL108" s="7"/>
      <c r="DM108" s="14"/>
      <c r="DN108" s="14"/>
      <c r="DO108" s="14"/>
      <c r="DP108" s="14"/>
      <c r="DQ108" s="14"/>
      <c r="DR108" s="7"/>
      <c r="DS108" s="7"/>
      <c r="DT108" s="14"/>
      <c r="DU108" s="14"/>
      <c r="DV108" s="14"/>
      <c r="DW108" s="14"/>
      <c r="DX108" s="7"/>
      <c r="DY108" s="14"/>
      <c r="DZ108" s="8">
        <f t="shared" si="15"/>
        <v>50.721467874202176</v>
      </c>
      <c r="EA108" s="3" t="str">
        <f t="shared" si="16"/>
        <v>Dadekian, Robert</v>
      </c>
      <c r="EB108" s="2">
        <f t="shared" si="17"/>
        <v>1</v>
      </c>
      <c r="EC108" s="112">
        <f t="shared" si="27"/>
        <v>47.416718777744791</v>
      </c>
      <c r="ED108" s="29">
        <f t="shared" si="19"/>
        <v>49.903057727471655</v>
      </c>
      <c r="EE108" s="2">
        <f t="shared" si="20"/>
        <v>0</v>
      </c>
      <c r="EF108" s="46">
        <f t="shared" si="21"/>
        <v>5</v>
      </c>
      <c r="EG108" s="46">
        <f t="shared" si="22"/>
        <v>5</v>
      </c>
      <c r="EH108" s="2" t="str">
        <f t="shared" si="23"/>
        <v>NY</v>
      </c>
      <c r="EI108" s="29">
        <f>IF(COUNT(I108:Y108)&lt;5,DZ108,SUMPRODUCT(LARGE(I108:Y108,{1,2,3,4,5}))/5)</f>
        <v>50.721467874202176</v>
      </c>
      <c r="EJ108" s="29">
        <f>IF(COUNT(I108:AX108)&lt;5,DZ108,SUMPRODUCT(LARGE(I108:AX108,{1,2,3,4,5}))/5)</f>
        <v>50.721467874202176</v>
      </c>
      <c r="EK108" s="29">
        <f>IF(COUNT(I108:DY108)&lt;5,AVERAGE(I108:DY108),SUMPRODUCT(LARGE(I108:DY108,{1,2,3,4,5}))/5)</f>
        <v>50.72146787420219</v>
      </c>
      <c r="EL108" s="29">
        <f t="shared" si="24"/>
        <v>49.903057727471655</v>
      </c>
      <c r="EM108" s="116" t="str">
        <f t="shared" si="25"/>
        <v>Dadekian, Robert</v>
      </c>
      <c r="EQ108"/>
    </row>
    <row r="109" spans="1:147" x14ac:dyDescent="0.25">
      <c r="A109" s="59">
        <f t="shared" si="26"/>
        <v>106</v>
      </c>
      <c r="B109" s="32" t="s">
        <v>394</v>
      </c>
      <c r="C109" s="5" t="s">
        <v>6</v>
      </c>
      <c r="D109" s="6" t="s">
        <v>58</v>
      </c>
      <c r="E109" s="6">
        <v>75.70114602398391</v>
      </c>
      <c r="F109" s="6">
        <v>76.465649687424957</v>
      </c>
      <c r="G109" s="5">
        <f t="shared" si="14"/>
        <v>6</v>
      </c>
      <c r="H109" s="8">
        <v>77.891993104385335</v>
      </c>
      <c r="I109" s="36"/>
      <c r="J109" s="7"/>
      <c r="K109" s="14"/>
      <c r="L109" s="7"/>
      <c r="M109" s="14"/>
      <c r="N109" s="14"/>
      <c r="O109" s="7"/>
      <c r="P109" s="14"/>
      <c r="Q109" s="14"/>
      <c r="R109" s="14"/>
      <c r="S109" s="14">
        <f>(INDEX('Race 11'!$E$8:$E$200,(MATCH($B109,'Race 11'!$B$8:$B$200,0)),1))*100</f>
        <v>75.81945754457486</v>
      </c>
      <c r="T109" s="7"/>
      <c r="U109" s="7"/>
      <c r="V109" s="14"/>
      <c r="W109" s="7">
        <f>(INDEX('Race 15'!$E$8:$E$200,(MATCH($B109,'Race 15'!$B$8:$B$200,0)),1))*100</f>
        <v>75.582834503392959</v>
      </c>
      <c r="X109" s="14"/>
      <c r="Y109" s="227"/>
      <c r="Z109" s="228"/>
      <c r="AA109" s="14"/>
      <c r="AB109" s="14"/>
      <c r="AC109" s="14"/>
      <c r="AD109" s="103"/>
      <c r="AE109" s="74"/>
      <c r="AF109" s="14"/>
      <c r="AG109" s="7"/>
      <c r="AH109" s="7"/>
      <c r="AI109" s="7"/>
      <c r="AJ109" s="7"/>
      <c r="AK109" s="7"/>
      <c r="AL109" s="7"/>
      <c r="AM109" s="7"/>
      <c r="AN109" s="7"/>
      <c r="AO109" s="74"/>
      <c r="AP109" s="7"/>
      <c r="AQ109" s="74"/>
      <c r="AR109" s="70"/>
      <c r="AS109" s="7"/>
      <c r="AT109" s="70"/>
      <c r="AU109" s="7"/>
      <c r="AV109" s="70"/>
      <c r="AW109" s="7">
        <f>(INDEX('Race 41'!$E$8:$E$200,(MATCH($B109,'Race 41'!$B$8:$B$200,0)),1))*100</f>
        <v>76.079512701928095</v>
      </c>
      <c r="AX109" s="184">
        <f>(INDEX('Race 42'!$E$8:$E$200,(MATCH($B109,'Race 42'!$B$8:$B$200,0)),1))*100</f>
        <v>78.380793999803927</v>
      </c>
      <c r="AY109" s="207"/>
      <c r="AZ109" s="14"/>
      <c r="BA109" s="14"/>
      <c r="BB109" s="14"/>
      <c r="BC109" s="7"/>
      <c r="BD109" s="7"/>
      <c r="BE109" s="7"/>
      <c r="BF109" s="14"/>
      <c r="BG109" s="14"/>
      <c r="BH109" s="7"/>
      <c r="BI109" s="14"/>
      <c r="BJ109" s="14"/>
      <c r="BK109" s="7"/>
      <c r="BL109" s="14"/>
      <c r="BM109" s="7"/>
      <c r="BN109" s="14"/>
      <c r="BO109" s="14"/>
      <c r="BP109" s="7"/>
      <c r="BQ109" s="7"/>
      <c r="BR109" s="7"/>
      <c r="BS109" s="7"/>
      <c r="BT109" s="7"/>
      <c r="BU109" s="7"/>
      <c r="BV109" s="7"/>
      <c r="BW109" s="7"/>
      <c r="BX109" s="7"/>
      <c r="BY109" s="14"/>
      <c r="BZ109" s="14"/>
      <c r="CA109" s="7"/>
      <c r="CB109" s="14"/>
      <c r="CC109" s="14"/>
      <c r="CD109" s="7"/>
      <c r="CE109" s="7">
        <f>(INDEX('Race 75'!$E$8:$E$200,(MATCH($B109,'Race 75'!$B$8:$B$200,0)),1))*100</f>
        <v>84.164239537731831</v>
      </c>
      <c r="CF109" s="14">
        <f>(INDEX('Race 76'!$E$8:$E$200,(MATCH($B109,'Race 76'!$B$8:$B$200,0)),1))*100</f>
        <v>80.203968578241842</v>
      </c>
      <c r="CG109" s="14"/>
      <c r="CH109" s="7"/>
      <c r="CI109" s="14"/>
      <c r="CJ109" s="70"/>
      <c r="CK109" s="101"/>
      <c r="CL109" s="74"/>
      <c r="CM109" s="74"/>
      <c r="CN109" s="74"/>
      <c r="CO109" s="232"/>
      <c r="CP109" s="74"/>
      <c r="CQ109" s="7"/>
      <c r="CR109" s="74"/>
      <c r="CS109" s="74"/>
      <c r="CT109" s="74"/>
      <c r="CU109" s="74"/>
      <c r="CV109" s="74"/>
      <c r="CW109" s="14"/>
      <c r="CX109" s="7"/>
      <c r="CY109" s="7"/>
      <c r="CZ109" s="74"/>
      <c r="DA109" s="7"/>
      <c r="DB109" s="74"/>
      <c r="DC109" s="7"/>
      <c r="DD109" s="7"/>
      <c r="DE109" s="74"/>
      <c r="DF109" s="74"/>
      <c r="DG109" s="74"/>
      <c r="DH109" s="74"/>
      <c r="DI109" s="74"/>
      <c r="DJ109" s="14"/>
      <c r="DK109" s="74"/>
      <c r="DL109" s="74"/>
      <c r="DM109" s="103"/>
      <c r="DN109" s="14"/>
      <c r="DO109" s="103"/>
      <c r="DP109" s="14"/>
      <c r="DQ109" s="14"/>
      <c r="DR109" s="7"/>
      <c r="DS109" s="7"/>
      <c r="DT109" s="103"/>
      <c r="DU109" s="14"/>
      <c r="DV109" s="14"/>
      <c r="DW109" s="14"/>
      <c r="DX109" s="14"/>
      <c r="DY109" s="14"/>
      <c r="DZ109" s="15">
        <f t="shared" si="15"/>
        <v>78.371801144278905</v>
      </c>
      <c r="EA109" s="3" t="str">
        <f t="shared" si="16"/>
        <v>Dalberg, Jacob</v>
      </c>
      <c r="EB109" s="2">
        <f t="shared" si="17"/>
        <v>1</v>
      </c>
      <c r="EC109" s="112">
        <f t="shared" si="27"/>
        <v>77.891993104385335</v>
      </c>
      <c r="ED109" s="29">
        <f t="shared" si="19"/>
        <v>77.656035490413316</v>
      </c>
      <c r="EE109" s="2">
        <f t="shared" si="20"/>
        <v>2</v>
      </c>
      <c r="EF109" s="46">
        <f t="shared" si="21"/>
        <v>4</v>
      </c>
      <c r="EG109" s="46">
        <f t="shared" si="22"/>
        <v>6</v>
      </c>
      <c r="EH109" s="2" t="str">
        <f t="shared" si="23"/>
        <v>MN</v>
      </c>
      <c r="EI109" s="29">
        <f>IF(COUNT(I109:Y109)&lt;5,DZ109,SUMPRODUCT(LARGE(I109:Y109,{1,2,3,4,5}))/5)</f>
        <v>78.371801144278905</v>
      </c>
      <c r="EJ109" s="29">
        <f>IF(COUNT(I109:AX109)&lt;5,DZ109,SUMPRODUCT(LARGE(I109:AX109,{1,2,3,4,5}))/5)</f>
        <v>78.371801144278905</v>
      </c>
      <c r="EK109" s="29">
        <f>IF(COUNT(I109:DY109)&lt;5,AVERAGE(I109:DY109),SUMPRODUCT(LARGE(I109:DY109,{1,2,3,4,5}))/5)</f>
        <v>78.929594472456102</v>
      </c>
      <c r="EL109" s="29">
        <f t="shared" si="24"/>
        <v>77.656035490413316</v>
      </c>
      <c r="EM109" s="116" t="str">
        <f t="shared" si="25"/>
        <v>Dalberg, Jacob</v>
      </c>
      <c r="EQ109"/>
    </row>
    <row r="110" spans="1:147" x14ac:dyDescent="0.25">
      <c r="A110" s="59">
        <f t="shared" si="26"/>
        <v>107</v>
      </c>
      <c r="B110" s="32" t="s">
        <v>806</v>
      </c>
      <c r="C110" s="5" t="s">
        <v>16</v>
      </c>
      <c r="D110" s="6" t="s">
        <v>61</v>
      </c>
      <c r="E110" s="6">
        <v>67.297156904055669</v>
      </c>
      <c r="F110" s="6">
        <v>67.297156904055669</v>
      </c>
      <c r="G110" s="5">
        <f t="shared" si="14"/>
        <v>4</v>
      </c>
      <c r="H110" s="8">
        <v>66.849948914111152</v>
      </c>
      <c r="I110" s="36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>
        <f>(INDEX('Race 16'!$E$8:$E$200,(MATCH($B110,'Race 16'!$B$8:$B$200,0)),1))*100</f>
        <v>69.794598957881732</v>
      </c>
      <c r="Y110" s="227">
        <f>(INDEX('Race 17'!$E$8:$E$200,(MATCH($B110,'Race 17'!$B$8:$B$200,0)),1))*100</f>
        <v>64.799714850229606</v>
      </c>
      <c r="Z110" s="228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4"/>
      <c r="AP110" s="7"/>
      <c r="AQ110" s="74"/>
      <c r="AR110" s="70"/>
      <c r="AS110" s="7"/>
      <c r="AT110" s="70"/>
      <c r="AU110" s="7"/>
      <c r="AV110" s="70"/>
      <c r="AW110" s="7"/>
      <c r="AX110" s="185"/>
      <c r="AY110" s="208"/>
      <c r="AZ110" s="7"/>
      <c r="BA110" s="14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103"/>
      <c r="BO110" s="14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14"/>
      <c r="CA110" s="7"/>
      <c r="CB110" s="7"/>
      <c r="CC110" s="7"/>
      <c r="CD110" s="7"/>
      <c r="CE110" s="7">
        <f>(INDEX('Race 75'!$E$8:$E$200,(MATCH($B110,'Race 75'!$B$8:$B$200,0)),1))*100</f>
        <v>71.376781942033645</v>
      </c>
      <c r="CF110" s="74">
        <f>(INDEX('Race 76'!$E$8:$E$200,(MATCH($B110,'Race 76'!$B$8:$B$200,0)),1))*100</f>
        <v>62.495784816342606</v>
      </c>
      <c r="CG110" s="7"/>
      <c r="CH110" s="7"/>
      <c r="CI110" s="7"/>
      <c r="CJ110" s="7"/>
      <c r="CK110" s="101"/>
      <c r="CL110" s="74"/>
      <c r="CM110" s="74"/>
      <c r="CN110" s="74"/>
      <c r="CO110" s="70"/>
      <c r="CP110" s="74"/>
      <c r="CQ110" s="7"/>
      <c r="CR110" s="74"/>
      <c r="CS110" s="74"/>
      <c r="CT110" s="74"/>
      <c r="CU110" s="74"/>
      <c r="CV110" s="7"/>
      <c r="CW110" s="7"/>
      <c r="CX110" s="7"/>
      <c r="CY110" s="7"/>
      <c r="CZ110" s="7"/>
      <c r="DA110" s="7"/>
      <c r="DB110" s="7"/>
      <c r="DC110" s="7"/>
      <c r="DD110" s="7"/>
      <c r="DE110" s="74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8">
        <f t="shared" si="15"/>
        <v>67.116720141621897</v>
      </c>
      <c r="EA110" s="3" t="str">
        <f t="shared" si="16"/>
        <v>Darrow, Everett</v>
      </c>
      <c r="EB110" s="2">
        <f t="shared" si="17"/>
        <v>1</v>
      </c>
      <c r="EC110" s="112">
        <f t="shared" si="27"/>
        <v>66.849948914111152</v>
      </c>
      <c r="ED110" s="29">
        <f t="shared" si="19"/>
        <v>66.033766373103006</v>
      </c>
      <c r="EE110" s="2">
        <f t="shared" si="20"/>
        <v>2</v>
      </c>
      <c r="EF110" s="46">
        <f t="shared" si="21"/>
        <v>2</v>
      </c>
      <c r="EG110" s="46">
        <f t="shared" si="22"/>
        <v>4</v>
      </c>
      <c r="EH110" s="29" t="str">
        <f t="shared" si="23"/>
        <v>AK</v>
      </c>
      <c r="EI110" s="29">
        <f>IF(COUNT(I110:Y110)&lt;5,DZ110,SUMPRODUCT(LARGE(I110:Y110,{1,2,3,4,5}))/5)</f>
        <v>67.116720141621897</v>
      </c>
      <c r="EJ110" s="29">
        <f>IF(COUNT(I110:AX110)&lt;5,DZ110,SUMPRODUCT(LARGE(I110:AX110,{1,2,3,4,5}))/5)</f>
        <v>67.116720141621897</v>
      </c>
      <c r="EK110" s="29">
        <f>IF(COUNT(I110:DY110)&lt;5,AVERAGE(I110:DY110),SUMPRODUCT(LARGE(I110:DY110,{1,2,3,4,5}))/5)</f>
        <v>67.116720141621897</v>
      </c>
      <c r="EL110" s="29">
        <f t="shared" si="24"/>
        <v>66.033766373103006</v>
      </c>
      <c r="EM110" s="116" t="str">
        <f t="shared" si="25"/>
        <v>Darrow, Everett</v>
      </c>
      <c r="EQ110"/>
    </row>
    <row r="111" spans="1:147" x14ac:dyDescent="0.25">
      <c r="A111" s="59">
        <f t="shared" si="26"/>
        <v>108</v>
      </c>
      <c r="B111" s="32" t="s">
        <v>929</v>
      </c>
      <c r="C111" s="5" t="s">
        <v>6</v>
      </c>
      <c r="D111" s="6" t="s">
        <v>781</v>
      </c>
      <c r="E111" s="6">
        <v>29.450581986879591</v>
      </c>
      <c r="F111" s="6">
        <v>44.45267019273949</v>
      </c>
      <c r="G111" s="5">
        <f t="shared" si="14"/>
        <v>2</v>
      </c>
      <c r="H111" s="8">
        <v>0</v>
      </c>
      <c r="I111" s="36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227"/>
      <c r="Z111" s="228"/>
      <c r="AA111" s="7"/>
      <c r="AB111" s="3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4"/>
      <c r="AP111" s="7"/>
      <c r="AQ111" s="74"/>
      <c r="AR111" s="70"/>
      <c r="AS111" s="7"/>
      <c r="AT111" s="7"/>
      <c r="AU111" s="7"/>
      <c r="AV111" s="7"/>
      <c r="AW111" s="7"/>
      <c r="AX111" s="184">
        <f>(INDEX('Race 42'!$E$8:$E$200,(MATCH($B111,'Race 42'!$B$8:$B$200,0)),1))*100</f>
        <v>44.45267019273949</v>
      </c>
      <c r="AY111" s="207"/>
      <c r="AZ111" s="7"/>
      <c r="BA111" s="14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4"/>
      <c r="BO111" s="14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14"/>
      <c r="CA111" s="7"/>
      <c r="CB111" s="7"/>
      <c r="CC111" s="7"/>
      <c r="CD111" s="7"/>
      <c r="CE111" s="7">
        <f>(INDEX('Race 75'!$E$8:$E$200,(MATCH($B111,'Race 75'!$B$8:$B$200,0)),1))*100</f>
        <v>60.203446482813739</v>
      </c>
      <c r="CF111" s="74"/>
      <c r="CG111" s="7"/>
      <c r="CH111" s="7"/>
      <c r="CI111" s="7"/>
      <c r="CJ111" s="7"/>
      <c r="CK111" s="101"/>
      <c r="CL111" s="74"/>
      <c r="CM111" s="74"/>
      <c r="CN111" s="74"/>
      <c r="CO111" s="70"/>
      <c r="CP111" s="74"/>
      <c r="CQ111" s="7"/>
      <c r="CR111" s="74"/>
      <c r="CS111" s="74"/>
      <c r="CT111" s="74"/>
      <c r="CU111" s="74"/>
      <c r="CV111" s="7"/>
      <c r="CW111" s="7"/>
      <c r="CX111" s="7"/>
      <c r="CY111" s="7"/>
      <c r="CZ111" s="7"/>
      <c r="DA111" s="7"/>
      <c r="DB111" s="7"/>
      <c r="DC111" s="7"/>
      <c r="DD111" s="7"/>
      <c r="DE111" s="74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8">
        <f t="shared" si="15"/>
        <v>52.328058337776611</v>
      </c>
      <c r="EA111" s="3" t="str">
        <f t="shared" si="16"/>
        <v>Daugherty, Joshua</v>
      </c>
      <c r="EB111" s="2">
        <f t="shared" si="17"/>
        <v>1</v>
      </c>
      <c r="EC111" s="112">
        <f t="shared" ref="EC111:EC146" si="28">H111</f>
        <v>0</v>
      </c>
      <c r="ED111" s="29">
        <f t="shared" si="19"/>
        <v>51.483725243778643</v>
      </c>
      <c r="EE111" s="2">
        <f t="shared" si="20"/>
        <v>0</v>
      </c>
      <c r="EF111" s="46">
        <f t="shared" si="21"/>
        <v>1</v>
      </c>
      <c r="EG111" s="46">
        <f t="shared" si="22"/>
        <v>2</v>
      </c>
      <c r="EH111" s="29" t="str">
        <f t="shared" si="23"/>
        <v>KY</v>
      </c>
      <c r="EI111" s="29">
        <f>IF(COUNT(I111:AD111)&lt;5,DZ111,SUMPRODUCT(LARGE(I111:AD111,{1,2,3,4,5}))/5)</f>
        <v>52.328058337776611</v>
      </c>
      <c r="EJ111" s="29">
        <f>IF(COUNT(I111:AX111)&lt;5,DZ111,SUMPRODUCT(LARGE(I111:AX111,{1,2,3,4,5}))/5)</f>
        <v>52.328058337776611</v>
      </c>
      <c r="EK111" s="29">
        <f>IF(COUNT(I111:DY111)&lt;5,AVERAGE(I111:DY111),SUMPRODUCT(LARGE(I111:DY111,{1,2,3,4,5}))/5)</f>
        <v>52.328058337776611</v>
      </c>
      <c r="EL111" s="29">
        <f t="shared" si="24"/>
        <v>51.483725243778643</v>
      </c>
      <c r="EM111" s="116" t="str">
        <f t="shared" si="25"/>
        <v>Daugherty, Joshua</v>
      </c>
      <c r="EQ111"/>
    </row>
    <row r="112" spans="1:147" x14ac:dyDescent="0.25">
      <c r="A112" s="59">
        <f t="shared" si="26"/>
        <v>109</v>
      </c>
      <c r="B112" s="32" t="s">
        <v>1173</v>
      </c>
      <c r="C112" s="5" t="s">
        <v>6</v>
      </c>
      <c r="D112" s="6" t="s">
        <v>88</v>
      </c>
      <c r="E112" s="6">
        <v>0</v>
      </c>
      <c r="F112" s="6">
        <v>35.803496804277643</v>
      </c>
      <c r="G112" s="5">
        <f t="shared" ref="G112:G175" si="29">COUNT(I112:DY112)</f>
        <v>2</v>
      </c>
      <c r="H112" s="8">
        <v>0</v>
      </c>
      <c r="I112" s="36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227"/>
      <c r="Z112" s="228"/>
      <c r="AA112" s="7"/>
      <c r="AB112" s="7"/>
      <c r="AC112" s="240">
        <f>(INDEX('Race 21'!$E$8:$E$200,(MATCH($B112,'Race 21'!$B$8:$B$200,0)),1))*100</f>
        <v>35.803496804277643</v>
      </c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4"/>
      <c r="AP112" s="7"/>
      <c r="AQ112" s="74"/>
      <c r="AR112" s="70"/>
      <c r="AS112" s="7"/>
      <c r="AT112" s="70"/>
      <c r="AU112" s="7"/>
      <c r="AV112" s="70"/>
      <c r="AW112" s="7"/>
      <c r="AX112" s="8"/>
      <c r="AY112" s="36"/>
      <c r="AZ112" s="7"/>
      <c r="BA112" s="14"/>
      <c r="BB112" s="7"/>
      <c r="BC112" s="7"/>
      <c r="BD112" s="7"/>
      <c r="BE112" s="7"/>
      <c r="BF112" s="7"/>
      <c r="BG112" s="7">
        <f>(INDEX('Race 51'!$E$8:$E$200,(MATCH($B112,'Race 51'!$B$8:$B$200,0)),1))*100</f>
        <v>30.803726405718397</v>
      </c>
      <c r="BH112" s="7"/>
      <c r="BI112" s="7"/>
      <c r="BJ112" s="7"/>
      <c r="BK112" s="7"/>
      <c r="BL112" s="7"/>
      <c r="BM112" s="7"/>
      <c r="BN112" s="14"/>
      <c r="BO112" s="14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101"/>
      <c r="CL112" s="101"/>
      <c r="CM112" s="74"/>
      <c r="CN112" s="74"/>
      <c r="CO112" s="70"/>
      <c r="CP112" s="74"/>
      <c r="CQ112" s="7"/>
      <c r="CR112" s="74"/>
      <c r="CS112" s="74"/>
      <c r="CT112" s="74"/>
      <c r="CU112" s="74"/>
      <c r="CV112" s="74"/>
      <c r="CW112" s="7"/>
      <c r="CX112" s="7"/>
      <c r="CY112" s="7"/>
      <c r="CZ112" s="7"/>
      <c r="DA112" s="7"/>
      <c r="DB112" s="7"/>
      <c r="DC112" s="7"/>
      <c r="DD112" s="7"/>
      <c r="DE112" s="74"/>
      <c r="DF112" s="74"/>
      <c r="DG112" s="74"/>
      <c r="DH112" s="74"/>
      <c r="DI112" s="74"/>
      <c r="DJ112" s="7"/>
      <c r="DK112" s="7"/>
      <c r="DL112" s="7"/>
      <c r="DM112" s="7"/>
      <c r="DN112" s="7"/>
      <c r="DO112" s="7"/>
      <c r="DP112" s="7"/>
      <c r="DQ112" s="74"/>
      <c r="DR112" s="7"/>
      <c r="DS112" s="7"/>
      <c r="DT112" s="7"/>
      <c r="DU112" s="7"/>
      <c r="DV112" s="7"/>
      <c r="DW112" s="7"/>
      <c r="DX112" s="7"/>
      <c r="DY112" s="7"/>
      <c r="DZ112" s="8">
        <f t="shared" ref="DZ112:DZ175" si="30">IF(EB112&gt;0,AVERAGE(I112:DY112),H112)</f>
        <v>33.303611604998018</v>
      </c>
      <c r="EA112" s="3" t="str">
        <f t="shared" ref="EA112:EA175" si="31">B112</f>
        <v>Davenport, Thomas</v>
      </c>
      <c r="EB112" s="2">
        <f t="shared" ref="EB112:EB175" si="32">IF(G112&gt;0,1,0)</f>
        <v>1</v>
      </c>
      <c r="EC112" s="112">
        <f t="shared" si="28"/>
        <v>0</v>
      </c>
      <c r="ED112" s="29">
        <f t="shared" ref="ED112:ED175" si="33">EL112</f>
        <v>32.766245183980736</v>
      </c>
      <c r="EE112" s="2">
        <f t="shared" ref="EE112:EE175" si="34">COUNT(I112:AH112)</f>
        <v>1</v>
      </c>
      <c r="EF112" s="46">
        <f t="shared" ref="EF112:EF175" si="35">COUNT(I112:BQ112)</f>
        <v>2</v>
      </c>
      <c r="EG112" s="46">
        <f t="shared" ref="EG112:EG175" si="36">COUNT(I112:DY112)</f>
        <v>2</v>
      </c>
      <c r="EH112" s="2" t="str">
        <f t="shared" ref="EH112:EH175" si="37">D112</f>
        <v>WI</v>
      </c>
      <c r="EI112" s="29">
        <f>IF(COUNT(I112:AD112)&lt;5,DZ112,SUMPRODUCT(LARGE(I112:AD112,{1,2,3,4,5}))/5)</f>
        <v>33.303611604998018</v>
      </c>
      <c r="EJ112" s="29">
        <f>IF(COUNT(I112:AX112)&lt;5,DZ112,SUMPRODUCT(LARGE(I112:AX112,{1,2,3,4,5}))/5)</f>
        <v>33.303611604998018</v>
      </c>
      <c r="EK112" s="29">
        <f>IF(COUNT(I112:DY112)&lt;5,AVERAGE(I112:DY112),SUMPRODUCT(LARGE(I112:DY112,{1,2,3,4,5}))/5)</f>
        <v>33.303611604998018</v>
      </c>
      <c r="EL112" s="29">
        <f t="shared" ref="EL112:EL175" si="38">(EK112*100)/101.64</f>
        <v>32.766245183980736</v>
      </c>
      <c r="EM112" s="116" t="str">
        <f t="shared" ref="EM112:EM175" si="39">B112</f>
        <v>Davenport, Thomas</v>
      </c>
      <c r="EQ112"/>
    </row>
    <row r="113" spans="1:147" x14ac:dyDescent="0.25">
      <c r="A113" s="59">
        <f t="shared" si="26"/>
        <v>110</v>
      </c>
      <c r="B113" s="32" t="s">
        <v>786</v>
      </c>
      <c r="C113" s="5" t="s">
        <v>6</v>
      </c>
      <c r="D113" s="6" t="s">
        <v>69</v>
      </c>
      <c r="E113" s="6">
        <v>63.534035635326788</v>
      </c>
      <c r="F113" s="6">
        <v>61.662453318181292</v>
      </c>
      <c r="G113" s="5">
        <f t="shared" si="29"/>
        <v>7</v>
      </c>
      <c r="H113" s="60">
        <v>63.534035635326788</v>
      </c>
      <c r="I113" s="36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227"/>
      <c r="Z113" s="228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4">
        <f>(INDEX('Race 31'!$E$8:$E$200,(MATCH($B113,'Race 31'!$B$8:$B$200,0)),1))*100</f>
        <v>65.124612349474077</v>
      </c>
      <c r="AN113" s="74">
        <f>(INDEX('Race 32'!$E$8:$E$200,(MATCH($B113,'Race 32'!$B$8:$B$200,0)),1))*100</f>
        <v>58.200294286888507</v>
      </c>
      <c r="AO113" s="74"/>
      <c r="AP113" s="7"/>
      <c r="AQ113" s="74"/>
      <c r="AR113" s="70"/>
      <c r="AS113" s="7"/>
      <c r="AT113" s="70"/>
      <c r="AU113" s="7"/>
      <c r="AV113" s="70"/>
      <c r="AW113" s="7"/>
      <c r="AX113" s="8"/>
      <c r="AY113" s="36"/>
      <c r="AZ113" s="7"/>
      <c r="BA113" s="14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103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14"/>
      <c r="CA113" s="7">
        <f>(INDEX('Race 71'!$E$8:$E$200,(MATCH($B113,'Race 71'!$B$8:$B$200,0)),1))*100</f>
        <v>73.429904738810279</v>
      </c>
      <c r="CB113" s="7"/>
      <c r="CC113" s="7"/>
      <c r="CD113" s="7"/>
      <c r="CE113" s="74"/>
      <c r="CF113" s="74"/>
      <c r="CG113" s="7"/>
      <c r="CH113" s="7"/>
      <c r="CI113" s="7"/>
      <c r="CJ113" s="70"/>
      <c r="CK113" s="101">
        <f>(INDEX('Race 81'!$E$8:$E$200,(MATCH($B113,'Race 81'!$B$8:$B$200,0)),1))*100</f>
        <v>62.021567589740478</v>
      </c>
      <c r="CL113" s="101">
        <f>(INDEX('Race 82'!$E$8:$E$200,(MATCH($B113,'Race 82'!$B$8:$B$200,0)),1))*100</f>
        <v>80.483062069358368</v>
      </c>
      <c r="CM113" s="74"/>
      <c r="CN113" s="74"/>
      <c r="CO113" s="70">
        <f>(INDEX('Race 85'!$E$8:$E$200,(MATCH($B113,'Race 85'!$B$8:$B$200,0)),1))*100</f>
        <v>53.17637824631948</v>
      </c>
      <c r="CP113" s="74"/>
      <c r="CQ113" s="7">
        <f>(INDEX('Race 87'!$E$8:$E$200,(MATCH($B113,'Race 87'!$B$8:$B$200,0)),1))*100</f>
        <v>51.277932908414606</v>
      </c>
      <c r="CR113" s="74"/>
      <c r="CS113" s="74"/>
      <c r="CT113" s="74"/>
      <c r="CU113" s="74"/>
      <c r="CV113" s="7"/>
      <c r="CW113" s="7"/>
      <c r="CX113" s="7"/>
      <c r="CY113" s="7"/>
      <c r="CZ113" s="7"/>
      <c r="DA113" s="7"/>
      <c r="DB113" s="7"/>
      <c r="DC113" s="7"/>
      <c r="DD113" s="7"/>
      <c r="DE113" s="74"/>
      <c r="DF113" s="74"/>
      <c r="DG113" s="74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8">
        <f t="shared" si="30"/>
        <v>63.387678884143682</v>
      </c>
      <c r="EA113" s="3" t="str">
        <f t="shared" si="31"/>
        <v>Davies, Thomas</v>
      </c>
      <c r="EB113" s="2">
        <f t="shared" si="32"/>
        <v>1</v>
      </c>
      <c r="EC113" s="112">
        <f t="shared" si="28"/>
        <v>63.534035635326788</v>
      </c>
      <c r="ED113" s="29">
        <f t="shared" si="33"/>
        <v>66.757072222406862</v>
      </c>
      <c r="EE113" s="2">
        <f t="shared" si="34"/>
        <v>0</v>
      </c>
      <c r="EF113" s="46">
        <f t="shared" si="35"/>
        <v>2</v>
      </c>
      <c r="EG113" s="46">
        <f t="shared" si="36"/>
        <v>7</v>
      </c>
      <c r="EH113" s="2" t="str">
        <f t="shared" si="37"/>
        <v>WA</v>
      </c>
      <c r="EI113" s="29">
        <f>IF(COUNT(I113:Y113)&lt;5,DZ113,SUMPRODUCT(LARGE(I113:Y113,{1,2,3,4,5}))/5)</f>
        <v>63.387678884143682</v>
      </c>
      <c r="EJ113" s="29">
        <f>IF(COUNT(I113:AX113)&lt;5,DZ113,SUMPRODUCT(LARGE(I113:AX113,{1,2,3,4,5}))/5)</f>
        <v>63.387678884143682</v>
      </c>
      <c r="EK113" s="29">
        <f>IF(COUNT(I113:DY113)&lt;5,AVERAGE(I113:DY113),SUMPRODUCT(LARGE(I113:DY113,{1,2,3,4,5}))/5)</f>
        <v>67.851888206854341</v>
      </c>
      <c r="EL113" s="29">
        <f t="shared" si="38"/>
        <v>66.757072222406862</v>
      </c>
      <c r="EM113" s="116" t="str">
        <f t="shared" si="39"/>
        <v>Davies, Thomas</v>
      </c>
      <c r="EQ113"/>
    </row>
    <row r="114" spans="1:147" x14ac:dyDescent="0.25">
      <c r="A114" s="59">
        <f t="shared" si="26"/>
        <v>111</v>
      </c>
      <c r="B114" s="32" t="s">
        <v>775</v>
      </c>
      <c r="C114" s="5" t="s">
        <v>6</v>
      </c>
      <c r="D114" s="6" t="s">
        <v>64</v>
      </c>
      <c r="E114" s="6">
        <v>49.093852101969105</v>
      </c>
      <c r="F114" s="6">
        <v>49.093852101969105</v>
      </c>
      <c r="G114" s="5">
        <f t="shared" si="29"/>
        <v>0</v>
      </c>
      <c r="H114" s="8">
        <v>49.093852101969105</v>
      </c>
      <c r="I114" s="36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227"/>
      <c r="Z114" s="228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4"/>
      <c r="AP114" s="7"/>
      <c r="AQ114" s="74"/>
      <c r="AR114" s="70"/>
      <c r="AS114" s="7"/>
      <c r="AT114" s="70"/>
      <c r="AU114" s="7"/>
      <c r="AV114" s="70"/>
      <c r="AW114" s="7"/>
      <c r="AX114" s="8"/>
      <c r="AY114" s="36"/>
      <c r="AZ114" s="7"/>
      <c r="BA114" s="14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103"/>
      <c r="BO114" s="14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14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101"/>
      <c r="CL114" s="74"/>
      <c r="CM114" s="74"/>
      <c r="CN114" s="74"/>
      <c r="CO114" s="70"/>
      <c r="CP114" s="74"/>
      <c r="CQ114" s="7"/>
      <c r="CR114" s="74"/>
      <c r="CS114" s="74"/>
      <c r="CT114" s="74"/>
      <c r="CU114" s="74"/>
      <c r="CV114" s="7"/>
      <c r="CW114" s="7"/>
      <c r="CX114" s="7"/>
      <c r="CY114" s="7"/>
      <c r="CZ114" s="7"/>
      <c r="DA114" s="7"/>
      <c r="DB114" s="7"/>
      <c r="DC114" s="7"/>
      <c r="DD114" s="7"/>
      <c r="DE114" s="74"/>
      <c r="DF114" s="74"/>
      <c r="DG114" s="74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8">
        <f t="shared" si="30"/>
        <v>49.093852101969105</v>
      </c>
      <c r="EA114" s="3" t="str">
        <f t="shared" si="31"/>
        <v>Delaney, Mathieu</v>
      </c>
      <c r="EB114" s="2">
        <f t="shared" si="32"/>
        <v>0</v>
      </c>
      <c r="EC114" s="112">
        <f t="shared" si="28"/>
        <v>49.093852101969105</v>
      </c>
      <c r="ED114" s="29">
        <f t="shared" si="33"/>
        <v>0</v>
      </c>
      <c r="EE114" s="2">
        <f t="shared" si="34"/>
        <v>0</v>
      </c>
      <c r="EF114" s="46">
        <f t="shared" si="35"/>
        <v>0</v>
      </c>
      <c r="EG114" s="46">
        <f t="shared" si="36"/>
        <v>0</v>
      </c>
      <c r="EH114" s="2" t="str">
        <f t="shared" si="37"/>
        <v>ME</v>
      </c>
      <c r="EI114" s="29">
        <f>IF(COUNT(I114:Y114)&lt;5,DZ114,SUMPRODUCT(LARGE(I114:Y114,{1,2,3,4,5}))/5)</f>
        <v>49.093852101969105</v>
      </c>
      <c r="EJ114" s="29">
        <f>IF(COUNT(I114:AX114)&lt;5,DZ114,SUMPRODUCT(LARGE(I114:AX114,{1,2,3,4,5}))/5)</f>
        <v>49.093852101969105</v>
      </c>
      <c r="EK114" s="112">
        <f>IF(EG114&lt;0,AVERAGE(I114:DY114),0)</f>
        <v>0</v>
      </c>
      <c r="EL114" s="29">
        <f t="shared" si="38"/>
        <v>0</v>
      </c>
      <c r="EM114" s="116" t="str">
        <f t="shared" si="39"/>
        <v>Delaney, Mathieu</v>
      </c>
      <c r="EQ114"/>
    </row>
    <row r="115" spans="1:147" x14ac:dyDescent="0.25">
      <c r="A115" s="59">
        <f t="shared" si="26"/>
        <v>112</v>
      </c>
      <c r="B115" s="32" t="s">
        <v>1137</v>
      </c>
      <c r="C115" s="5" t="s">
        <v>6</v>
      </c>
      <c r="D115" s="6" t="s">
        <v>64</v>
      </c>
      <c r="E115" s="6">
        <v>0</v>
      </c>
      <c r="F115" s="6">
        <v>45.071504375300378</v>
      </c>
      <c r="G115" s="5">
        <f t="shared" si="29"/>
        <v>4</v>
      </c>
      <c r="H115" s="8">
        <v>0</v>
      </c>
      <c r="I115" s="36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227"/>
      <c r="Z115" s="228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4"/>
      <c r="AP115" s="7"/>
      <c r="AQ115" s="74"/>
      <c r="AR115" s="70"/>
      <c r="AS115" s="7"/>
      <c r="AT115" s="70"/>
      <c r="AU115" s="7"/>
      <c r="AV115" s="70"/>
      <c r="AW115" s="7">
        <f>(INDEX('Race 41'!$E$8:$E$200,(MATCH($B115,'Race 41'!$B$8:$B$200,0)),1))*100</f>
        <v>42.112194381360318</v>
      </c>
      <c r="AX115" s="8">
        <f>(INDEX('Race 42'!$E$8:$E$200,(MATCH($B115,'Race 42'!$B$8:$B$200,0)),1))*100</f>
        <v>48.030814369240431</v>
      </c>
      <c r="AY115" s="36"/>
      <c r="AZ115" s="7"/>
      <c r="BA115" s="14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103"/>
      <c r="BO115" s="14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14"/>
      <c r="CA115" s="7"/>
      <c r="CB115" s="7"/>
      <c r="CC115" s="7"/>
      <c r="CD115" s="7"/>
      <c r="CE115" s="7">
        <f>(INDEX('Race 75'!$E$8:$E$200,(MATCH($B115,'Race 75'!$B$8:$B$200,0)),1))*100</f>
        <v>51.441122147749937</v>
      </c>
      <c r="CF115" s="7">
        <f>(INDEX('Race 76'!$E$8:$E$200,(MATCH($B115,'Race 76'!$B$8:$B$200,0)),1))*100</f>
        <v>50.609719412979025</v>
      </c>
      <c r="CG115" s="7"/>
      <c r="CH115" s="7"/>
      <c r="CI115" s="7"/>
      <c r="CJ115" s="7"/>
      <c r="CK115" s="101"/>
      <c r="CL115" s="74"/>
      <c r="CM115" s="74"/>
      <c r="CN115" s="74"/>
      <c r="CO115" s="70"/>
      <c r="CP115" s="74"/>
      <c r="CQ115" s="7"/>
      <c r="CR115" s="74"/>
      <c r="CS115" s="74"/>
      <c r="CT115" s="74"/>
      <c r="CU115" s="74"/>
      <c r="CV115" s="7"/>
      <c r="CW115" s="7"/>
      <c r="CX115" s="7"/>
      <c r="CY115" s="7"/>
      <c r="CZ115" s="7"/>
      <c r="DA115" s="7"/>
      <c r="DB115" s="7"/>
      <c r="DC115" s="7"/>
      <c r="DD115" s="7"/>
      <c r="DE115" s="74"/>
      <c r="DF115" s="74"/>
      <c r="DG115" s="74"/>
      <c r="DH115" s="74"/>
      <c r="DI115" s="74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8">
        <f t="shared" si="30"/>
        <v>48.048462577832424</v>
      </c>
      <c r="EA115" s="3" t="str">
        <f t="shared" si="31"/>
        <v>Delaney, Matt</v>
      </c>
      <c r="EB115" s="2">
        <f t="shared" si="32"/>
        <v>1</v>
      </c>
      <c r="EC115" s="112">
        <f t="shared" si="28"/>
        <v>0</v>
      </c>
      <c r="ED115" s="29">
        <f t="shared" si="33"/>
        <v>0</v>
      </c>
      <c r="EE115" s="2">
        <f t="shared" si="34"/>
        <v>0</v>
      </c>
      <c r="EF115" s="46">
        <f t="shared" si="35"/>
        <v>2</v>
      </c>
      <c r="EG115" s="46">
        <f t="shared" si="36"/>
        <v>4</v>
      </c>
      <c r="EH115" s="29" t="str">
        <f t="shared" si="37"/>
        <v>ME</v>
      </c>
      <c r="EI115" s="29">
        <f>IF(COUNT(I115:AD115)&lt;5,DZ115,SUMPRODUCT(LARGE(I115:AD115,{1,2,3,4,5}))/5)</f>
        <v>48.048462577832424</v>
      </c>
      <c r="EJ115" s="29">
        <f>IF(COUNT(I115:AX115)&lt;5,DZ115,SUMPRODUCT(LARGE(I115:AX115,{1,2,3,4,5}))/5)</f>
        <v>48.048462577832424</v>
      </c>
      <c r="EK115" s="29">
        <f>IF(EG115&lt;0,AVERAGE(I115:DY115),0)</f>
        <v>0</v>
      </c>
      <c r="EL115" s="29">
        <f t="shared" si="38"/>
        <v>0</v>
      </c>
      <c r="EM115" s="116" t="str">
        <f t="shared" si="39"/>
        <v>Delaney, Matt</v>
      </c>
      <c r="EQ115"/>
    </row>
    <row r="116" spans="1:147" x14ac:dyDescent="0.25">
      <c r="A116" s="59">
        <f t="shared" si="26"/>
        <v>113</v>
      </c>
      <c r="B116" s="32" t="s">
        <v>913</v>
      </c>
      <c r="C116" s="5" t="s">
        <v>6</v>
      </c>
      <c r="D116" s="6" t="s">
        <v>931</v>
      </c>
      <c r="E116" s="6">
        <v>51.500741645093136</v>
      </c>
      <c r="F116" s="6">
        <v>59.906850173155213</v>
      </c>
      <c r="G116" s="5">
        <f t="shared" si="29"/>
        <v>4</v>
      </c>
      <c r="H116" s="8">
        <v>51.500741645093136</v>
      </c>
      <c r="I116" s="36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227"/>
      <c r="Z116" s="228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4"/>
      <c r="AP116" s="7"/>
      <c r="AQ116" s="74"/>
      <c r="AR116" s="70"/>
      <c r="AS116" s="7"/>
      <c r="AT116" s="70"/>
      <c r="AU116" s="7"/>
      <c r="AV116" s="70"/>
      <c r="AW116" s="7">
        <f>(INDEX('Race 41'!$E$8:$E$200,(MATCH($B116,'Race 41'!$B$8:$B$200,0)),1))*100</f>
        <v>57.478848167864861</v>
      </c>
      <c r="AX116" s="8">
        <f>(INDEX('Race 42'!$E$8:$E$200,(MATCH($B116,'Race 42'!$B$8:$B$200,0)),1))*100</f>
        <v>62.334852178445566</v>
      </c>
      <c r="AY116" s="36"/>
      <c r="AZ116" s="7"/>
      <c r="BA116" s="14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103"/>
      <c r="BO116" s="14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4">
        <f>(INDEX('Race 75'!$E$8:$E$200,(MATCH($B116,'Race 75'!$B$8:$B$200,0)),1))*100</f>
        <v>61.743344161557836</v>
      </c>
      <c r="CF116" s="74">
        <f>(INDEX('Race 76'!$E$8:$E$200,(MATCH($B116,'Race 76'!$B$8:$B$200,0)),1))*100</f>
        <v>63.162209062010696</v>
      </c>
      <c r="CG116" s="7"/>
      <c r="CH116" s="7"/>
      <c r="CI116" s="7"/>
      <c r="CJ116" s="7"/>
      <c r="CK116" s="101"/>
      <c r="CL116" s="74"/>
      <c r="CM116" s="74"/>
      <c r="CN116" s="74"/>
      <c r="CO116" s="70"/>
      <c r="CP116" s="74"/>
      <c r="CQ116" s="7"/>
      <c r="CR116" s="74"/>
      <c r="CS116" s="74"/>
      <c r="CT116" s="74"/>
      <c r="CU116" s="74"/>
      <c r="CV116" s="7"/>
      <c r="CW116" s="7"/>
      <c r="CX116" s="7"/>
      <c r="CY116" s="7"/>
      <c r="CZ116" s="7"/>
      <c r="DA116" s="7"/>
      <c r="DB116" s="7"/>
      <c r="DC116" s="7"/>
      <c r="DD116" s="7"/>
      <c r="DE116" s="74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8">
        <f t="shared" si="30"/>
        <v>61.17981339246974</v>
      </c>
      <c r="EA116" s="3" t="str">
        <f t="shared" si="31"/>
        <v>Dellinger, Chris</v>
      </c>
      <c r="EB116" s="2">
        <f t="shared" si="32"/>
        <v>1</v>
      </c>
      <c r="EC116" s="112">
        <f t="shared" si="28"/>
        <v>51.500741645093136</v>
      </c>
      <c r="ED116" s="29">
        <f t="shared" si="33"/>
        <v>60.192653869017846</v>
      </c>
      <c r="EE116" s="2">
        <f t="shared" si="34"/>
        <v>0</v>
      </c>
      <c r="EF116" s="46">
        <f t="shared" si="35"/>
        <v>2</v>
      </c>
      <c r="EG116" s="46">
        <f t="shared" si="36"/>
        <v>4</v>
      </c>
      <c r="EH116" s="29" t="str">
        <f t="shared" si="37"/>
        <v xml:space="preserve">WY </v>
      </c>
      <c r="EI116" s="29">
        <f>IF(COUNT(I116:Y116)&lt;5,DZ116,SUMPRODUCT(LARGE(I116:Y116,{1,2,3,4,5}))/5)</f>
        <v>61.17981339246974</v>
      </c>
      <c r="EJ116" s="29">
        <f>IF(COUNT(I116:AX116)&lt;5,DZ116,SUMPRODUCT(LARGE(I116:AX116,{1,2,3,4,5}))/5)</f>
        <v>61.17981339246974</v>
      </c>
      <c r="EK116" s="29">
        <f>IF(COUNT(I116:DY116)&lt;5,AVERAGE(I116:DY116),SUMPRODUCT(LARGE(I116:DY116,{1,2,3,4,5}))/5)</f>
        <v>61.17981339246974</v>
      </c>
      <c r="EL116" s="29">
        <f t="shared" si="38"/>
        <v>60.192653869017846</v>
      </c>
      <c r="EM116" s="116" t="str">
        <f t="shared" si="39"/>
        <v>Dellinger, Chris</v>
      </c>
      <c r="EQ116"/>
    </row>
    <row r="117" spans="1:147" x14ac:dyDescent="0.25">
      <c r="A117" s="59">
        <f t="shared" si="26"/>
        <v>114</v>
      </c>
      <c r="B117" s="32" t="s">
        <v>842</v>
      </c>
      <c r="C117" s="5" t="s">
        <v>6</v>
      </c>
      <c r="D117" s="6" t="s">
        <v>59</v>
      </c>
      <c r="E117" s="6">
        <v>47.587615197789901</v>
      </c>
      <c r="F117" s="6">
        <v>47.587615197789901</v>
      </c>
      <c r="G117" s="5">
        <f t="shared" si="29"/>
        <v>0</v>
      </c>
      <c r="H117" s="8">
        <v>47.587615197789901</v>
      </c>
      <c r="I117" s="36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227"/>
      <c r="Z117" s="228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4"/>
      <c r="AP117" s="7"/>
      <c r="AQ117" s="74"/>
      <c r="AR117" s="70"/>
      <c r="AS117" s="7"/>
      <c r="AT117" s="70"/>
      <c r="AU117" s="7"/>
      <c r="AV117" s="70"/>
      <c r="AW117" s="7"/>
      <c r="AX117" s="8"/>
      <c r="AY117" s="36"/>
      <c r="AZ117" s="7"/>
      <c r="BA117" s="14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103"/>
      <c r="BO117" s="14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14"/>
      <c r="CA117" s="7"/>
      <c r="CB117" s="7"/>
      <c r="CC117" s="7"/>
      <c r="CD117" s="7"/>
      <c r="CE117" s="74"/>
      <c r="CF117" s="74"/>
      <c r="CG117" s="7"/>
      <c r="CH117" s="7"/>
      <c r="CI117" s="7"/>
      <c r="CJ117" s="7"/>
      <c r="CK117" s="101"/>
      <c r="CL117" s="74"/>
      <c r="CM117" s="74"/>
      <c r="CN117" s="74"/>
      <c r="CO117" s="70"/>
      <c r="CP117" s="74"/>
      <c r="CQ117" s="7"/>
      <c r="CR117" s="74"/>
      <c r="CS117" s="74"/>
      <c r="CT117" s="74"/>
      <c r="CU117" s="74"/>
      <c r="CV117" s="7"/>
      <c r="CW117" s="7"/>
      <c r="CX117" s="7"/>
      <c r="CY117" s="7"/>
      <c r="CZ117" s="7"/>
      <c r="DA117" s="7"/>
      <c r="DB117" s="7"/>
      <c r="DC117" s="7"/>
      <c r="DD117" s="7"/>
      <c r="DE117" s="74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8">
        <f t="shared" si="30"/>
        <v>47.587615197789901</v>
      </c>
      <c r="EA117" s="3" t="str">
        <f t="shared" si="31"/>
        <v xml:space="preserve">DELLINGER, Christopher </v>
      </c>
      <c r="EB117" s="2">
        <f t="shared" si="32"/>
        <v>0</v>
      </c>
      <c r="EC117" s="112">
        <f t="shared" si="28"/>
        <v>47.587615197789901</v>
      </c>
      <c r="ED117" s="29">
        <f t="shared" si="33"/>
        <v>0</v>
      </c>
      <c r="EE117" s="2">
        <f t="shared" si="34"/>
        <v>0</v>
      </c>
      <c r="EF117" s="46">
        <f t="shared" si="35"/>
        <v>0</v>
      </c>
      <c r="EG117" s="46">
        <f t="shared" si="36"/>
        <v>0</v>
      </c>
      <c r="EH117" s="29" t="str">
        <f t="shared" si="37"/>
        <v>MT</v>
      </c>
      <c r="EI117" s="29">
        <f>IF(COUNT(I117:Y117)&lt;5,DZ117,SUMPRODUCT(LARGE(I117:Y117,{1,2,3,4,5}))/5)</f>
        <v>47.587615197789901</v>
      </c>
      <c r="EJ117" s="29">
        <f>IF(COUNT(I117:AX117)&lt;5,DZ117,SUMPRODUCT(LARGE(I117:AX117,{1,2,3,4,5}))/5)</f>
        <v>47.587615197789901</v>
      </c>
      <c r="EK117" s="112">
        <f>IF(EG117&lt;0,AVERAGE(I117:DY117),0)</f>
        <v>0</v>
      </c>
      <c r="EL117" s="29">
        <f t="shared" si="38"/>
        <v>0</v>
      </c>
      <c r="EM117" s="116" t="str">
        <f t="shared" si="39"/>
        <v xml:space="preserve">DELLINGER, Christopher </v>
      </c>
      <c r="EQ117"/>
    </row>
    <row r="118" spans="1:147" x14ac:dyDescent="0.25">
      <c r="A118" s="59">
        <f t="shared" si="26"/>
        <v>115</v>
      </c>
      <c r="B118" s="32" t="s">
        <v>1065</v>
      </c>
      <c r="C118" s="5" t="s">
        <v>6</v>
      </c>
      <c r="D118" s="6" t="s">
        <v>62</v>
      </c>
      <c r="E118" s="6">
        <v>0</v>
      </c>
      <c r="F118" s="6">
        <v>59.895148023052933</v>
      </c>
      <c r="G118" s="5">
        <f t="shared" si="29"/>
        <v>1</v>
      </c>
      <c r="H118" s="8">
        <v>0</v>
      </c>
      <c r="I118" s="107"/>
      <c r="J118" s="7"/>
      <c r="K118" s="74"/>
      <c r="L118" s="7"/>
      <c r="M118" s="74"/>
      <c r="N118" s="74"/>
      <c r="O118" s="7"/>
      <c r="P118" s="74"/>
      <c r="Q118" s="74"/>
      <c r="R118" s="74"/>
      <c r="S118" s="74"/>
      <c r="T118" s="7"/>
      <c r="U118" s="7"/>
      <c r="V118" s="74"/>
      <c r="W118" s="7"/>
      <c r="X118" s="74"/>
      <c r="Y118" s="227"/>
      <c r="Z118" s="228"/>
      <c r="AA118" s="7"/>
      <c r="AB118" s="7"/>
      <c r="AC118" s="7"/>
      <c r="AD118" s="74"/>
      <c r="AE118" s="7"/>
      <c r="AF118" s="74"/>
      <c r="AG118" s="74">
        <f>(INDEX('Race 25'!$E$8:$E$200,(MATCH($B118,'Race 25'!$B$8:$B$200,0)),1))*100</f>
        <v>59.895148023052933</v>
      </c>
      <c r="AH118" s="7"/>
      <c r="AI118" s="7"/>
      <c r="AJ118" s="7"/>
      <c r="AK118" s="7"/>
      <c r="AL118" s="7"/>
      <c r="AM118" s="7"/>
      <c r="AN118" s="7"/>
      <c r="AO118" s="7"/>
      <c r="AP118" s="7"/>
      <c r="AQ118" s="74"/>
      <c r="AR118" s="101"/>
      <c r="AS118" s="7"/>
      <c r="AT118" s="101"/>
      <c r="AU118" s="7"/>
      <c r="AV118" s="101"/>
      <c r="AW118" s="7"/>
      <c r="AX118" s="8"/>
      <c r="AY118" s="36"/>
      <c r="AZ118" s="74"/>
      <c r="BA118" s="103"/>
      <c r="BB118" s="74"/>
      <c r="BC118" s="74"/>
      <c r="BD118" s="7"/>
      <c r="BE118" s="7"/>
      <c r="BF118" s="74"/>
      <c r="BG118" s="74"/>
      <c r="BH118" s="74"/>
      <c r="BI118" s="74"/>
      <c r="BJ118" s="74"/>
      <c r="BK118" s="7"/>
      <c r="BL118" s="74"/>
      <c r="BM118" s="7"/>
      <c r="BN118" s="103"/>
      <c r="BO118" s="103"/>
      <c r="BP118" s="7"/>
      <c r="BQ118" s="7"/>
      <c r="BR118" s="74"/>
      <c r="BS118" s="7"/>
      <c r="BT118" s="7"/>
      <c r="BU118" s="74"/>
      <c r="BV118" s="74"/>
      <c r="BW118" s="74"/>
      <c r="BX118" s="74"/>
      <c r="BY118" s="74"/>
      <c r="BZ118" s="103"/>
      <c r="CA118" s="7"/>
      <c r="CB118" s="74"/>
      <c r="CC118" s="74"/>
      <c r="CD118" s="74"/>
      <c r="CE118" s="7"/>
      <c r="CF118" s="74"/>
      <c r="CG118" s="74"/>
      <c r="CH118" s="7"/>
      <c r="CI118" s="74"/>
      <c r="CJ118" s="74"/>
      <c r="CK118" s="101"/>
      <c r="CL118" s="74"/>
      <c r="CM118" s="74"/>
      <c r="CN118" s="74"/>
      <c r="CO118" s="101"/>
      <c r="CP118" s="74"/>
      <c r="CQ118" s="74"/>
      <c r="CR118" s="74"/>
      <c r="CS118" s="74"/>
      <c r="CT118" s="74"/>
      <c r="CU118" s="74"/>
      <c r="CV118" s="74"/>
      <c r="CW118" s="74"/>
      <c r="CX118" s="7"/>
      <c r="CY118" s="7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8">
        <f t="shared" si="30"/>
        <v>59.895148023052933</v>
      </c>
      <c r="EA118" s="3" t="str">
        <f t="shared" si="31"/>
        <v>Dempsey, Pete</v>
      </c>
      <c r="EB118" s="2">
        <f t="shared" si="32"/>
        <v>1</v>
      </c>
      <c r="EC118" s="112">
        <f t="shared" si="28"/>
        <v>0</v>
      </c>
      <c r="ED118" s="29">
        <f t="shared" si="33"/>
        <v>58.92871706321619</v>
      </c>
      <c r="EE118" s="2">
        <f t="shared" si="34"/>
        <v>1</v>
      </c>
      <c r="EF118" s="46">
        <f t="shared" si="35"/>
        <v>1</v>
      </c>
      <c r="EG118" s="46">
        <f t="shared" si="36"/>
        <v>1</v>
      </c>
      <c r="EH118" s="2" t="str">
        <f t="shared" si="37"/>
        <v>CO</v>
      </c>
      <c r="EI118" s="29">
        <f>IF(COUNT(I118:AD118)&lt;5,DZ118,SUMPRODUCT(LARGE(I118:AD118,{1,2,3,4,5}))/5)</f>
        <v>59.895148023052933</v>
      </c>
      <c r="EJ118" s="29">
        <f>IF(COUNT(I118:AX118)&lt;5,DZ118,SUMPRODUCT(LARGE(I118:AX118,{1,2,3,4,5}))/5)</f>
        <v>59.895148023052933</v>
      </c>
      <c r="EK118" s="29">
        <f>IF(COUNT(I118:DY118)&lt;5,AVERAGE(I118:DY118),SUMPRODUCT(LARGE(I118:DY118,{1,2,3,4,5}))/5)</f>
        <v>59.895148023052933</v>
      </c>
      <c r="EL118" s="29">
        <f t="shared" si="38"/>
        <v>58.92871706321619</v>
      </c>
      <c r="EM118" s="116" t="str">
        <f t="shared" si="39"/>
        <v>Dempsey, Pete</v>
      </c>
      <c r="EQ118"/>
    </row>
    <row r="119" spans="1:147" x14ac:dyDescent="0.25">
      <c r="A119" s="59">
        <f t="shared" si="26"/>
        <v>116</v>
      </c>
      <c r="B119" s="33" t="s">
        <v>1149</v>
      </c>
      <c r="C119" s="5" t="s">
        <v>6</v>
      </c>
      <c r="D119" s="6" t="s">
        <v>66</v>
      </c>
      <c r="E119" s="6">
        <v>0</v>
      </c>
      <c r="F119" s="6">
        <v>48.449587624618452</v>
      </c>
      <c r="G119" s="5">
        <f t="shared" si="29"/>
        <v>4</v>
      </c>
      <c r="H119" s="8">
        <v>0</v>
      </c>
      <c r="I119" s="107"/>
      <c r="J119" s="7"/>
      <c r="K119" s="74"/>
      <c r="L119" s="7"/>
      <c r="M119" s="74"/>
      <c r="N119" s="74"/>
      <c r="O119" s="7"/>
      <c r="P119" s="74"/>
      <c r="Q119" s="74"/>
      <c r="R119" s="7"/>
      <c r="S119" s="74"/>
      <c r="T119" s="7"/>
      <c r="U119" s="7"/>
      <c r="V119" s="74"/>
      <c r="W119" s="7"/>
      <c r="X119" s="74"/>
      <c r="Y119" s="227"/>
      <c r="Z119" s="228"/>
      <c r="AA119" s="74"/>
      <c r="AB119" s="7"/>
      <c r="AC119" s="7"/>
      <c r="AD119" s="74"/>
      <c r="AE119" s="7"/>
      <c r="AF119" s="74"/>
      <c r="AG119" s="74"/>
      <c r="AH119" s="7"/>
      <c r="AI119" s="7"/>
      <c r="AJ119" s="7"/>
      <c r="AK119" s="7"/>
      <c r="AL119" s="7"/>
      <c r="AM119" s="7"/>
      <c r="AN119" s="7"/>
      <c r="AO119" s="74"/>
      <c r="AP119" s="7"/>
      <c r="AQ119" s="74"/>
      <c r="AR119" s="101"/>
      <c r="AS119" s="7"/>
      <c r="AT119" s="101"/>
      <c r="AU119" s="7"/>
      <c r="AV119" s="101"/>
      <c r="AW119" s="7">
        <f>(INDEX('Race 41'!$E$8:$E$200,(MATCH($B119,'Race 41'!$B$8:$B$200,0)),1))*100</f>
        <v>43.437130786942916</v>
      </c>
      <c r="AX119" s="8">
        <f>(INDEX('Race 42'!$E$8:$E$200,(MATCH($B119,'Race 42'!$B$8:$B$200,0)),1))*100</f>
        <v>53.462044462293989</v>
      </c>
      <c r="AY119" s="36"/>
      <c r="AZ119" s="74"/>
      <c r="BA119" s="103"/>
      <c r="BB119" s="74"/>
      <c r="BC119" s="74"/>
      <c r="BD119" s="7"/>
      <c r="BE119" s="7"/>
      <c r="BF119" s="74"/>
      <c r="BG119" s="74"/>
      <c r="BH119" s="74"/>
      <c r="BI119" s="74"/>
      <c r="BJ119" s="74"/>
      <c r="BK119" s="7"/>
      <c r="BL119" s="74"/>
      <c r="BM119" s="7"/>
      <c r="BN119" s="103"/>
      <c r="BO119" s="103"/>
      <c r="BP119" s="7"/>
      <c r="BQ119" s="7"/>
      <c r="BR119" s="74"/>
      <c r="BS119" s="7"/>
      <c r="BT119" s="7"/>
      <c r="BU119" s="74"/>
      <c r="BV119" s="74"/>
      <c r="BW119" s="74"/>
      <c r="BX119" s="74"/>
      <c r="BY119" s="74"/>
      <c r="BZ119" s="103"/>
      <c r="CA119" s="7"/>
      <c r="CB119" s="7"/>
      <c r="CC119" s="74"/>
      <c r="CD119" s="74"/>
      <c r="CE119" s="7">
        <f>(INDEX('Race 75'!$E$8:$E$200,(MATCH($B119,'Race 75'!$B$8:$B$200,0)),1))*100</f>
        <v>50.688437349206971</v>
      </c>
      <c r="CF119" s="74">
        <f>(INDEX('Race 76'!$E$8:$E$200,(MATCH($B119,'Race 76'!$B$8:$B$200,0)),1))*100</f>
        <v>49.759400542944469</v>
      </c>
      <c r="CG119" s="74"/>
      <c r="CH119" s="7"/>
      <c r="CI119" s="7"/>
      <c r="CJ119" s="74"/>
      <c r="CK119" s="101"/>
      <c r="CL119" s="74"/>
      <c r="CM119" s="74"/>
      <c r="CN119" s="74"/>
      <c r="CO119" s="101"/>
      <c r="CP119" s="74"/>
      <c r="CQ119" s="74"/>
      <c r="CR119" s="74"/>
      <c r="CS119" s="74"/>
      <c r="CT119" s="74"/>
      <c r="CU119" s="74"/>
      <c r="CV119" s="74"/>
      <c r="CW119" s="74"/>
      <c r="CX119" s="7"/>
      <c r="CY119" s="7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8">
        <f t="shared" si="30"/>
        <v>49.336753285347086</v>
      </c>
      <c r="EA119" s="3" t="str">
        <f t="shared" si="31"/>
        <v>Derksen, Frank</v>
      </c>
      <c r="EB119" s="2">
        <f t="shared" si="32"/>
        <v>1</v>
      </c>
      <c r="EC119" s="112">
        <f t="shared" si="28"/>
        <v>0</v>
      </c>
      <c r="ED119" s="29">
        <f t="shared" si="33"/>
        <v>48.540686034383199</v>
      </c>
      <c r="EE119" s="2">
        <f t="shared" si="34"/>
        <v>0</v>
      </c>
      <c r="EF119" s="46">
        <f t="shared" si="35"/>
        <v>2</v>
      </c>
      <c r="EG119" s="46">
        <f t="shared" si="36"/>
        <v>4</v>
      </c>
      <c r="EH119" s="2" t="str">
        <f t="shared" si="37"/>
        <v>WY</v>
      </c>
      <c r="EI119" s="29">
        <f>IF(COUNT(I119:AD119)&lt;5,DZ119,SUMPRODUCT(LARGE(I119:AD119,{1,2,3,4,5}))/5)</f>
        <v>49.336753285347086</v>
      </c>
      <c r="EJ119" s="29">
        <f>IF(COUNT(I119:AX119)&lt;5,DZ119,SUMPRODUCT(LARGE(I119:AX119,{1,2,3,4,5}))/5)</f>
        <v>49.336753285347086</v>
      </c>
      <c r="EK119" s="29">
        <f>IF(COUNT(I119:DY119)&lt;5,AVERAGE(I119:DY119),SUMPRODUCT(LARGE(I119:DY119,{1,2,3,4,5}))/5)</f>
        <v>49.336753285347086</v>
      </c>
      <c r="EL119" s="29">
        <f t="shared" si="38"/>
        <v>48.540686034383199</v>
      </c>
      <c r="EM119" s="116" t="str">
        <f t="shared" si="39"/>
        <v>Derksen, Frank</v>
      </c>
      <c r="EQ119"/>
    </row>
    <row r="120" spans="1:147" x14ac:dyDescent="0.25">
      <c r="A120" s="59">
        <f t="shared" si="26"/>
        <v>117</v>
      </c>
      <c r="B120" s="4" t="s">
        <v>1189</v>
      </c>
      <c r="C120" s="5" t="s">
        <v>16</v>
      </c>
      <c r="D120" s="5" t="s">
        <v>63</v>
      </c>
      <c r="E120" s="6">
        <v>0</v>
      </c>
      <c r="F120" s="6">
        <v>0</v>
      </c>
      <c r="G120" s="5">
        <f t="shared" si="29"/>
        <v>2</v>
      </c>
      <c r="H120" s="8">
        <v>0</v>
      </c>
      <c r="I120" s="107"/>
      <c r="J120" s="7"/>
      <c r="K120" s="74"/>
      <c r="L120" s="7"/>
      <c r="M120" s="74"/>
      <c r="N120" s="74"/>
      <c r="O120" s="7"/>
      <c r="P120" s="74"/>
      <c r="Q120" s="7"/>
      <c r="R120" s="74"/>
      <c r="S120" s="74"/>
      <c r="T120" s="7"/>
      <c r="U120" s="7"/>
      <c r="V120" s="74"/>
      <c r="W120" s="7"/>
      <c r="X120" s="74"/>
      <c r="Y120" s="227"/>
      <c r="Z120" s="228"/>
      <c r="AA120" s="74"/>
      <c r="AB120" s="7"/>
      <c r="AC120" s="74"/>
      <c r="AD120" s="74"/>
      <c r="AE120" s="7"/>
      <c r="AF120" s="74"/>
      <c r="AG120" s="74"/>
      <c r="AH120" s="7"/>
      <c r="AI120" s="7"/>
      <c r="AJ120" s="7"/>
      <c r="AK120" s="7"/>
      <c r="AL120" s="7"/>
      <c r="AM120" s="7"/>
      <c r="AN120" s="7"/>
      <c r="AO120" s="74"/>
      <c r="AP120" s="7"/>
      <c r="AQ120" s="74"/>
      <c r="AR120" s="101"/>
      <c r="AS120" s="7"/>
      <c r="AT120" s="70"/>
      <c r="AU120" s="7"/>
      <c r="AV120" s="70"/>
      <c r="AW120" s="7"/>
      <c r="AX120" s="8"/>
      <c r="AY120" s="36"/>
      <c r="AZ120" s="74"/>
      <c r="BA120" s="103"/>
      <c r="BB120" s="74"/>
      <c r="BC120" s="74"/>
      <c r="BD120" s="7"/>
      <c r="BE120" s="7"/>
      <c r="BF120" s="74"/>
      <c r="BG120" s="74"/>
      <c r="BH120" s="74"/>
      <c r="BI120" s="74"/>
      <c r="BJ120" s="74"/>
      <c r="BK120" s="7"/>
      <c r="BL120" s="74"/>
      <c r="BM120" s="7"/>
      <c r="BN120" s="103"/>
      <c r="BO120" s="103"/>
      <c r="BP120" s="7">
        <f>(INDEX('Race 60'!$E$8:$E$200,(MATCH($B120,'Race 60'!$B$8:$B$200,0)),1))*100</f>
        <v>72.728093095809939</v>
      </c>
      <c r="BQ120" s="7">
        <f>(INDEX('Race 61'!$E$8:$E$200,(MATCH($B120,'Race 61'!$B$8:$B$200,0)),1))*100</f>
        <v>51.431886954642515</v>
      </c>
      <c r="BR120" s="7"/>
      <c r="BS120" s="7"/>
      <c r="BT120" s="7"/>
      <c r="BU120" s="74"/>
      <c r="BV120" s="7"/>
      <c r="BW120" s="74"/>
      <c r="BX120" s="74"/>
      <c r="BY120" s="74"/>
      <c r="BZ120" s="103"/>
      <c r="CA120" s="7"/>
      <c r="CB120" s="74"/>
      <c r="CC120" s="74"/>
      <c r="CD120" s="74"/>
      <c r="CE120" s="7"/>
      <c r="CF120" s="74"/>
      <c r="CG120" s="74"/>
      <c r="CH120" s="7"/>
      <c r="CI120" s="74"/>
      <c r="CJ120" s="74"/>
      <c r="CK120" s="101"/>
      <c r="CL120" s="74"/>
      <c r="CM120" s="74"/>
      <c r="CN120" s="74"/>
      <c r="CO120" s="101"/>
      <c r="CP120" s="74"/>
      <c r="CQ120" s="74"/>
      <c r="CR120" s="74"/>
      <c r="CS120" s="74"/>
      <c r="CT120" s="74"/>
      <c r="CU120" s="74"/>
      <c r="CV120" s="74"/>
      <c r="CW120" s="74"/>
      <c r="CX120" s="7"/>
      <c r="CY120" s="7"/>
      <c r="CZ120" s="74"/>
      <c r="DA120" s="74"/>
      <c r="DB120" s="74"/>
      <c r="DC120" s="74"/>
      <c r="DD120" s="7"/>
      <c r="DE120" s="74"/>
      <c r="DF120" s="74"/>
      <c r="DG120" s="74"/>
      <c r="DH120" s="74"/>
      <c r="DI120" s="74"/>
      <c r="DJ120" s="7"/>
      <c r="DK120" s="74"/>
      <c r="DL120" s="74"/>
      <c r="DM120" s="74"/>
      <c r="DN120" s="74"/>
      <c r="DO120" s="74"/>
      <c r="DP120" s="74"/>
      <c r="DQ120" s="74"/>
      <c r="DR120" s="74"/>
      <c r="DS120" s="74"/>
      <c r="DT120" s="74"/>
      <c r="DU120" s="74"/>
      <c r="DV120" s="74"/>
      <c r="DW120" s="74"/>
      <c r="DX120" s="74"/>
      <c r="DY120" s="74"/>
      <c r="DZ120" s="8">
        <f t="shared" si="30"/>
        <v>62.079990025226223</v>
      </c>
      <c r="EA120" s="3" t="str">
        <f t="shared" si="31"/>
        <v>Despers, Thomas</v>
      </c>
      <c r="EB120" s="2">
        <f t="shared" si="32"/>
        <v>1</v>
      </c>
      <c r="EC120" s="112">
        <f t="shared" si="28"/>
        <v>0</v>
      </c>
      <c r="ED120" s="29">
        <f t="shared" si="33"/>
        <v>61.07830580994316</v>
      </c>
      <c r="EE120" s="2">
        <f t="shared" si="34"/>
        <v>0</v>
      </c>
      <c r="EF120" s="46">
        <f t="shared" si="35"/>
        <v>2</v>
      </c>
      <c r="EG120" s="46">
        <f t="shared" si="36"/>
        <v>2</v>
      </c>
      <c r="EH120" s="29" t="str">
        <f t="shared" si="37"/>
        <v>VT</v>
      </c>
      <c r="EI120" s="29">
        <f>IF(COUNT(I120:AD120)&lt;5,DZ120,SUMPRODUCT(LARGE(I120:AD120,{1,2,3,4,5}))/5)</f>
        <v>62.079990025226223</v>
      </c>
      <c r="EJ120" s="29">
        <f>IF(COUNT(I120:AX120)&lt;5,DZ120,SUMPRODUCT(LARGE(I120:AX120,{1,2,3,4,5}))/5)</f>
        <v>62.079990025226223</v>
      </c>
      <c r="EK120" s="29">
        <f>IF(COUNT(I120:DY120)&lt;5,AVERAGE(I120:DY120),SUMPRODUCT(LARGE(I120:DY120,{1,2,3,4,5}))/5)</f>
        <v>62.079990025226223</v>
      </c>
      <c r="EL120" s="29">
        <f t="shared" si="38"/>
        <v>61.07830580994316</v>
      </c>
      <c r="EM120" s="116" t="str">
        <f t="shared" si="39"/>
        <v>Despers, Thomas</v>
      </c>
      <c r="EQ120"/>
    </row>
    <row r="121" spans="1:147" x14ac:dyDescent="0.25">
      <c r="A121" s="59">
        <f t="shared" si="26"/>
        <v>118</v>
      </c>
      <c r="B121" s="32" t="s">
        <v>777</v>
      </c>
      <c r="C121" s="5" t="s">
        <v>6</v>
      </c>
      <c r="D121" s="6" t="s">
        <v>87</v>
      </c>
      <c r="E121" s="6">
        <v>38.483057955341728</v>
      </c>
      <c r="F121" s="6">
        <v>38.483057955341728</v>
      </c>
      <c r="G121" s="5">
        <f t="shared" si="29"/>
        <v>0</v>
      </c>
      <c r="H121" s="60">
        <v>38.483057955341728</v>
      </c>
      <c r="I121" s="36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227"/>
      <c r="Z121" s="228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4"/>
      <c r="AP121" s="7"/>
      <c r="AQ121" s="74"/>
      <c r="AR121" s="70"/>
      <c r="AS121" s="7"/>
      <c r="AT121" s="70"/>
      <c r="AU121" s="7"/>
      <c r="AV121" s="70"/>
      <c r="AW121" s="7"/>
      <c r="AX121" s="8"/>
      <c r="AY121" s="36"/>
      <c r="AZ121" s="7"/>
      <c r="BA121" s="14"/>
      <c r="BB121" s="7"/>
      <c r="BC121" s="74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14"/>
      <c r="BO121" s="14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14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101"/>
      <c r="CL121" s="74"/>
      <c r="CM121" s="74"/>
      <c r="CN121" s="74"/>
      <c r="CO121" s="70"/>
      <c r="CP121" s="74"/>
      <c r="CQ121" s="7"/>
      <c r="CR121" s="74"/>
      <c r="CS121" s="74"/>
      <c r="CT121" s="74"/>
      <c r="CU121" s="74"/>
      <c r="CV121" s="74"/>
      <c r="CW121" s="7"/>
      <c r="CX121" s="7"/>
      <c r="CY121" s="7"/>
      <c r="CZ121" s="7"/>
      <c r="DA121" s="7"/>
      <c r="DB121" s="7"/>
      <c r="DC121" s="7"/>
      <c r="DD121" s="7"/>
      <c r="DE121" s="74"/>
      <c r="DF121" s="74"/>
      <c r="DG121" s="74"/>
      <c r="DH121" s="74"/>
      <c r="DI121" s="74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8">
        <f t="shared" si="30"/>
        <v>38.483057955341728</v>
      </c>
      <c r="EA121" s="3" t="str">
        <f t="shared" si="31"/>
        <v>Devemark, Leif</v>
      </c>
      <c r="EB121" s="2">
        <f t="shared" si="32"/>
        <v>0</v>
      </c>
      <c r="EC121" s="112">
        <f t="shared" si="28"/>
        <v>38.483057955341728</v>
      </c>
      <c r="ED121" s="29">
        <f t="shared" si="33"/>
        <v>0</v>
      </c>
      <c r="EE121" s="2">
        <f t="shared" si="34"/>
        <v>0</v>
      </c>
      <c r="EF121" s="46">
        <f t="shared" si="35"/>
        <v>0</v>
      </c>
      <c r="EG121" s="46">
        <f t="shared" si="36"/>
        <v>0</v>
      </c>
      <c r="EH121" s="2" t="str">
        <f t="shared" si="37"/>
        <v>CA</v>
      </c>
      <c r="EI121" s="29">
        <f>IF(COUNT(I121:Y121)&lt;5,DZ121,SUMPRODUCT(LARGE(I121:Y121,{1,2,3,4,5}))/5)</f>
        <v>38.483057955341728</v>
      </c>
      <c r="EJ121" s="29">
        <f>IF(COUNT(I121:AX121)&lt;5,DZ121,SUMPRODUCT(LARGE(I121:AX121,{1,2,3,4,5}))/5)</f>
        <v>38.483057955341728</v>
      </c>
      <c r="EK121" s="112">
        <f>IF(EG121&lt;0,AVERAGE(I121:DY121),0)</f>
        <v>0</v>
      </c>
      <c r="EL121" s="29">
        <f t="shared" si="38"/>
        <v>0</v>
      </c>
      <c r="EM121" s="116" t="str">
        <f t="shared" si="39"/>
        <v>Devemark, Leif</v>
      </c>
      <c r="EQ121"/>
    </row>
    <row r="122" spans="1:147" x14ac:dyDescent="0.25">
      <c r="A122" s="59">
        <f t="shared" si="26"/>
        <v>119</v>
      </c>
      <c r="B122" s="32" t="s">
        <v>398</v>
      </c>
      <c r="C122" s="5" t="s">
        <v>6</v>
      </c>
      <c r="D122" s="6" t="s">
        <v>57</v>
      </c>
      <c r="E122" s="6">
        <v>60.636529782048591</v>
      </c>
      <c r="F122" s="6">
        <v>62.171754655505893</v>
      </c>
      <c r="G122" s="5">
        <f t="shared" si="29"/>
        <v>6</v>
      </c>
      <c r="H122" s="60">
        <v>60.636529782048591</v>
      </c>
      <c r="I122" s="36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227"/>
      <c r="Z122" s="228"/>
      <c r="AA122" s="7"/>
      <c r="AB122" s="7"/>
      <c r="AC122" s="7"/>
      <c r="AD122" s="7"/>
      <c r="AE122" s="7"/>
      <c r="AF122" s="7"/>
      <c r="AG122" s="7"/>
      <c r="AH122" s="7"/>
      <c r="AI122" s="7"/>
      <c r="AJ122" s="74">
        <f>(INDEX('Race 28'!$E$8:$E$200,(MATCH($B122,'Race 28'!$B$8:$B$200,0)),1))*100</f>
        <v>61.409941277931523</v>
      </c>
      <c r="AK122" s="74">
        <f>(INDEX('Race 29'!$E$8:$E$200,(MATCH($B122,'Race 29'!$B$8:$B$200,0)),1))*100</f>
        <v>62.008656093090629</v>
      </c>
      <c r="AL122" s="7"/>
      <c r="AM122" s="7"/>
      <c r="AN122" s="7"/>
      <c r="AO122" s="7"/>
      <c r="AP122" s="7"/>
      <c r="AQ122" s="74"/>
      <c r="AR122" s="101">
        <f>(INDEX('Race 36'!$E$8:$E$200,(MATCH($B122,'Race 36'!$B$8:$B$200,0)),1))*100</f>
        <v>63.297250134424068</v>
      </c>
      <c r="AS122" s="7"/>
      <c r="AT122" s="70"/>
      <c r="AU122" s="7"/>
      <c r="AV122" s="70">
        <f>(INDEX('Race 40'!$E$8:$E$200,(MATCH($B122,'Race 40'!$B$8:$B$200,0)),1))*100</f>
        <v>62.038017525113652</v>
      </c>
      <c r="AW122" s="7"/>
      <c r="AX122" s="8"/>
      <c r="AY122" s="36">
        <f>(INDEX('Race 43'!$E$8:$E$200,(MATCH($B122,'Race 43'!$B$8:$B$200,0)),1))*100</f>
        <v>62.900271626915362</v>
      </c>
      <c r="AZ122" s="7"/>
      <c r="BA122" s="14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14"/>
      <c r="BO122" s="7"/>
      <c r="BP122" s="7"/>
      <c r="BQ122" s="7"/>
      <c r="BR122" s="74">
        <f>(INDEX('Race 62'!$E$8:$E$200,(MATCH($B122,'Race 62'!$B$8:$B$200,0)),1))*100</f>
        <v>64.306192310902972</v>
      </c>
      <c r="BS122" s="7"/>
      <c r="BT122" s="7"/>
      <c r="BU122" s="7"/>
      <c r="BV122" s="74"/>
      <c r="BW122" s="74"/>
      <c r="BX122" s="7"/>
      <c r="BY122" s="7"/>
      <c r="BZ122" s="14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101"/>
      <c r="CL122" s="7"/>
      <c r="CM122" s="74"/>
      <c r="CN122" s="74"/>
      <c r="CO122" s="101"/>
      <c r="CP122" s="74"/>
      <c r="CQ122" s="74"/>
      <c r="CR122" s="74"/>
      <c r="CS122" s="74"/>
      <c r="CT122" s="74"/>
      <c r="CU122" s="74"/>
      <c r="CV122" s="74"/>
      <c r="CW122" s="7"/>
      <c r="CX122" s="7"/>
      <c r="CY122" s="7"/>
      <c r="CZ122" s="74"/>
      <c r="DA122" s="7"/>
      <c r="DB122" s="7"/>
      <c r="DC122" s="7"/>
      <c r="DD122" s="7"/>
      <c r="DE122" s="74"/>
      <c r="DF122" s="74"/>
      <c r="DG122" s="74"/>
      <c r="DH122" s="74"/>
      <c r="DI122" s="74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8">
        <f t="shared" si="30"/>
        <v>62.660054828063039</v>
      </c>
      <c r="EA122" s="3" t="str">
        <f t="shared" si="31"/>
        <v>Diehl, Douglas</v>
      </c>
      <c r="EB122" s="2">
        <f t="shared" si="32"/>
        <v>1</v>
      </c>
      <c r="EC122" s="112">
        <f t="shared" si="28"/>
        <v>60.636529782048591</v>
      </c>
      <c r="ED122" s="29">
        <f t="shared" si="33"/>
        <v>61.89499954554244</v>
      </c>
      <c r="EE122" s="2">
        <f t="shared" si="34"/>
        <v>0</v>
      </c>
      <c r="EF122" s="46">
        <f t="shared" si="35"/>
        <v>5</v>
      </c>
      <c r="EG122" s="46">
        <f t="shared" si="36"/>
        <v>6</v>
      </c>
      <c r="EH122" s="2" t="str">
        <f t="shared" si="37"/>
        <v>NY</v>
      </c>
      <c r="EI122" s="29">
        <f>IF(COUNT(I122:Y122)&lt;5,DZ122,SUMPRODUCT(LARGE(I122:Y122,{1,2,3,4,5}))/5)</f>
        <v>62.660054828063039</v>
      </c>
      <c r="EJ122" s="29">
        <f>IF(COUNT(I122:AX122)&lt;5,DZ122,SUMPRODUCT(LARGE(I122:AX122,{1,2,3,4,5}))/5)</f>
        <v>62.660054828063039</v>
      </c>
      <c r="EK122" s="29">
        <f>IF(COUNT(I122:DY122)&lt;5,AVERAGE(I122:DY122),SUMPRODUCT(LARGE(I122:DY122,{1,2,3,4,5}))/5)</f>
        <v>62.910077538089332</v>
      </c>
      <c r="EL122" s="29">
        <f t="shared" si="38"/>
        <v>61.89499954554244</v>
      </c>
      <c r="EM122" s="116" t="str">
        <f t="shared" si="39"/>
        <v>Diehl, Douglas</v>
      </c>
      <c r="EQ122"/>
    </row>
    <row r="123" spans="1:147" x14ac:dyDescent="0.25">
      <c r="A123" s="59">
        <f t="shared" si="26"/>
        <v>120</v>
      </c>
      <c r="B123" s="32" t="s">
        <v>189</v>
      </c>
      <c r="C123" s="5" t="s">
        <v>6</v>
      </c>
      <c r="D123" s="6" t="s">
        <v>65</v>
      </c>
      <c r="E123" s="6">
        <v>98.261207131612366</v>
      </c>
      <c r="F123" s="6">
        <v>98.820210613063381</v>
      </c>
      <c r="G123" s="5">
        <f t="shared" si="29"/>
        <v>18</v>
      </c>
      <c r="H123" s="8">
        <v>93.909537275665315</v>
      </c>
      <c r="I123" s="107"/>
      <c r="J123" s="7">
        <f>(INDEX('Race 2'!$E$8:$E$200,(MATCH($B123,'Race 2'!$B$8:$B$200,0)),1))*100</f>
        <v>97.716837918579714</v>
      </c>
      <c r="K123" s="7">
        <f>(INDEX('Race 3'!$E$8:$E$200,(MATCH($B123,'Race 3'!$B$8:$B$200,0)),1))*100</f>
        <v>93.895027364463374</v>
      </c>
      <c r="L123" s="7"/>
      <c r="M123" s="7">
        <f>(INDEX('Race 5'!$E$8:$E$200,(MATCH($B123,'Race 5'!$B$8:$B$200,0)),1))*100</f>
        <v>101.90118292805236</v>
      </c>
      <c r="N123" s="7">
        <f>(INDEX('Race 6'!$E$8:$E$200,(MATCH($B123,'Race 6'!$B$8:$B$200,0)),1))*100</f>
        <v>97.277956516793608</v>
      </c>
      <c r="O123" s="7"/>
      <c r="P123" s="7">
        <f>(INDEX('Race 8'!$E$8:$E$200,(MATCH($B123,'Race 8'!$B$8:$B$200,0)),1))*100</f>
        <v>98.273866676871563</v>
      </c>
      <c r="Q123" s="74"/>
      <c r="R123" s="7">
        <f>(INDEX('Race 10'!$E$8:$E$200,(MATCH($B123,'Race 10'!$B$8:$B$200,0)),1))*100</f>
        <v>96.136191617764624</v>
      </c>
      <c r="S123" s="74"/>
      <c r="T123" s="7"/>
      <c r="U123" s="7">
        <f>(INDEX('Race 13'!$E$8:$E$200,(MATCH($B123,'Race 13'!$B$8:$B$200,0)),1))*100</f>
        <v>95.133360103949784</v>
      </c>
      <c r="V123" s="7"/>
      <c r="W123" s="7"/>
      <c r="X123" s="7"/>
      <c r="Y123" s="227"/>
      <c r="Z123" s="228">
        <f>(INDEX('Race 18'!$E$8:$E$200,(MATCH($B123,'Race 18'!$B$8:$B$200,0)),1))*100</f>
        <v>92.673058071641307</v>
      </c>
      <c r="AA123" s="7"/>
      <c r="AB123" s="74"/>
      <c r="AC123" s="74"/>
      <c r="AD123" s="7"/>
      <c r="AE123" s="74">
        <f>(INDEX('Race 23'!$E$8:$E$200,(MATCH($B123,'Race 23'!$B$8:$B$200,0)),1))*100</f>
        <v>98.931209025019655</v>
      </c>
      <c r="AF123" s="74"/>
      <c r="AG123" s="7"/>
      <c r="AH123" s="74">
        <f>(INDEX('Race 26'!$E$8:$E$200,(MATCH($B123,'Race 26'!$B$8:$B$200,0)),1))*100</f>
        <v>94.628357569877693</v>
      </c>
      <c r="AI123" s="74"/>
      <c r="AJ123" s="7"/>
      <c r="AK123" s="7"/>
      <c r="AL123" s="74"/>
      <c r="AM123" s="7"/>
      <c r="AN123" s="7"/>
      <c r="AO123" s="74"/>
      <c r="AP123" s="7"/>
      <c r="AQ123" s="7"/>
      <c r="AR123" s="70"/>
      <c r="AS123" s="7"/>
      <c r="AT123" s="101"/>
      <c r="AU123" s="7"/>
      <c r="AV123" s="101"/>
      <c r="AW123" s="7"/>
      <c r="AX123" s="183"/>
      <c r="AY123" s="107"/>
      <c r="AZ123" s="74"/>
      <c r="BA123" s="74"/>
      <c r="BB123" s="74"/>
      <c r="BC123" s="74">
        <f>(INDEX('Race 47'!$E$8:$E$200,(MATCH($B123,'Race 47'!$B$8:$B$200,0)),1))*100</f>
        <v>96.974441345499372</v>
      </c>
      <c r="BD123" s="7"/>
      <c r="BE123" s="74"/>
      <c r="BF123" s="74"/>
      <c r="BG123" s="74"/>
      <c r="BH123" s="74">
        <f>(INDEX('Race 53'!$E$8:$E$200,(MATCH($B123,'Race 53'!$B$8:$B$200,0)),1))*100</f>
        <v>99.340785743372734</v>
      </c>
      <c r="BI123" s="7"/>
      <c r="BJ123" s="74"/>
      <c r="BK123" s="7"/>
      <c r="BL123" s="74"/>
      <c r="BM123" s="7"/>
      <c r="BN123" s="14"/>
      <c r="BO123" s="103"/>
      <c r="BP123" s="7"/>
      <c r="BQ123" s="7"/>
      <c r="BR123" s="74"/>
      <c r="BS123" s="7"/>
      <c r="BT123" s="7"/>
      <c r="BU123" s="74"/>
      <c r="BV123" s="7"/>
      <c r="BW123" s="74"/>
      <c r="BX123" s="74"/>
      <c r="BY123" s="74"/>
      <c r="BZ123" s="103"/>
      <c r="CA123" s="7"/>
      <c r="CB123" s="74"/>
      <c r="CC123" s="74"/>
      <c r="CD123" s="74"/>
      <c r="CE123" s="7"/>
      <c r="CF123" s="7"/>
      <c r="CG123" s="70">
        <f>(INDEX('Race 77'!$E$8:$E$200,(MATCH($B123,'Race 77'!$B$8:$B$200,0)),1))*100</f>
        <v>97.301216884057411</v>
      </c>
      <c r="CH123" s="7"/>
      <c r="CI123" s="7">
        <f>(INDEX('Race 79'!$E$8:$E$200,(MATCH($B123,'Race 79'!$B$8:$B$200,0)),1))*100</f>
        <v>101.77650342748059</v>
      </c>
      <c r="CJ123" s="7">
        <f>(INDEX('Race 80'!$E$8:$E$200,(MATCH($B123,'Race 80'!$B$8:$B$200,0)),1))*100</f>
        <v>98.334295136156513</v>
      </c>
      <c r="CK123" s="101"/>
      <c r="CL123" s="74"/>
      <c r="CM123" s="74"/>
      <c r="CN123" s="74">
        <f>(INDEX('Race 84'!$E$8:$E$200,(MATCH($B123,'Race 84'!$B$8:$B$200,0)),1))*100</f>
        <v>98.996234538623099</v>
      </c>
      <c r="CO123" s="101"/>
      <c r="CP123" s="7">
        <f>(INDEX('Race 86'!$E$8:$E$200,(MATCH($B123,'Race 86'!$B$8:$B$200,0)),1))*100</f>
        <v>100.96531854046972</v>
      </c>
      <c r="CQ123" s="74"/>
      <c r="CR123" s="74"/>
      <c r="CS123" s="74"/>
      <c r="CT123" s="74"/>
      <c r="CU123" s="74"/>
      <c r="CV123" s="74">
        <f>(INDEX('Race 92'!$E$8:$E$200,(MATCH($B123,'Race 92'!$B$8:$B$200,0)),1))*100</f>
        <v>97.916184934136538</v>
      </c>
      <c r="CW123" s="74"/>
      <c r="CX123" s="7"/>
      <c r="CY123" s="7"/>
      <c r="CZ123" s="74"/>
      <c r="DA123" s="74"/>
      <c r="DB123" s="74"/>
      <c r="DC123" s="74"/>
      <c r="DD123" s="74"/>
      <c r="DE123" s="74"/>
      <c r="DF123" s="74"/>
      <c r="DG123" s="74"/>
      <c r="DH123" s="74"/>
      <c r="DI123" s="74"/>
      <c r="DJ123" s="74"/>
      <c r="DK123" s="74"/>
      <c r="DL123" s="74"/>
      <c r="DM123" s="74"/>
      <c r="DN123" s="74"/>
      <c r="DO123" s="74"/>
      <c r="DP123" s="74"/>
      <c r="DQ123" s="74"/>
      <c r="DR123" s="7"/>
      <c r="DS123" s="7"/>
      <c r="DT123" s="74"/>
      <c r="DU123" s="74"/>
      <c r="DV123" s="74"/>
      <c r="DW123" s="74"/>
      <c r="DX123" s="74"/>
      <c r="DY123" s="74"/>
      <c r="DZ123" s="8">
        <f t="shared" si="30"/>
        <v>97.67622379682274</v>
      </c>
      <c r="EA123" s="3" t="str">
        <f t="shared" si="31"/>
        <v>Doherty, Sean</v>
      </c>
      <c r="EB123" s="2">
        <f t="shared" si="32"/>
        <v>1</v>
      </c>
      <c r="EC123" s="112">
        <f t="shared" si="28"/>
        <v>93.909537275665315</v>
      </c>
      <c r="ED123" s="29">
        <f t="shared" si="33"/>
        <v>98.972850290830081</v>
      </c>
      <c r="EE123" s="2">
        <f t="shared" si="34"/>
        <v>10</v>
      </c>
      <c r="EF123" s="46">
        <f t="shared" si="35"/>
        <v>12</v>
      </c>
      <c r="EG123" s="46">
        <f t="shared" si="36"/>
        <v>18</v>
      </c>
      <c r="EH123" s="29" t="str">
        <f t="shared" si="37"/>
        <v>NH</v>
      </c>
      <c r="EI123" s="29">
        <f>IF(COUNT(I123:Y123)&lt;5,DZ123,SUMPRODUCT(LARGE(I123:Y123,{1,2,3,4,5}))/5)</f>
        <v>98.261207131612366</v>
      </c>
      <c r="EJ123" s="29">
        <f>IF(COUNT(I123:AX123)&lt;5,DZ123,SUMPRODUCT(LARGE(I123:AX123,{1,2,3,4,5}))/5)</f>
        <v>98.820210613063381</v>
      </c>
      <c r="EK123" s="29">
        <f>IF(COUNT(I123:DY123)&lt;5,AVERAGE(I123:DY123),SUMPRODUCT(LARGE(I123:DY123,{1,2,3,4,5}))/5)</f>
        <v>100.5960050355997</v>
      </c>
      <c r="EL123" s="29">
        <f t="shared" si="38"/>
        <v>98.972850290830081</v>
      </c>
      <c r="EM123" s="116" t="str">
        <f t="shared" si="39"/>
        <v>Doherty, Sean</v>
      </c>
      <c r="EQ123"/>
    </row>
    <row r="124" spans="1:147" x14ac:dyDescent="0.25">
      <c r="A124" s="59">
        <f t="shared" si="26"/>
        <v>121</v>
      </c>
      <c r="B124" s="32" t="s">
        <v>1138</v>
      </c>
      <c r="C124" s="5" t="s">
        <v>6</v>
      </c>
      <c r="D124" s="6" t="s">
        <v>159</v>
      </c>
      <c r="E124" s="6">
        <v>0</v>
      </c>
      <c r="F124" s="6">
        <v>39.360236817448701</v>
      </c>
      <c r="G124" s="5">
        <f t="shared" si="29"/>
        <v>4</v>
      </c>
      <c r="H124" s="8">
        <v>0</v>
      </c>
      <c r="I124" s="36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227"/>
      <c r="Z124" s="228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4"/>
      <c r="AP124" s="7"/>
      <c r="AQ124" s="74"/>
      <c r="AR124" s="70"/>
      <c r="AS124" s="7"/>
      <c r="AT124" s="70"/>
      <c r="AU124" s="7"/>
      <c r="AV124" s="70"/>
      <c r="AW124" s="7">
        <f>(INDEX('Race 41'!$E$8:$E$200,(MATCH($B124,'Race 41'!$B$8:$B$200,0)),1))*100</f>
        <v>38.2879766207909</v>
      </c>
      <c r="AX124" s="183">
        <f>(INDEX('Race 42'!$E$8:$E$200,(MATCH($B124,'Race 42'!$B$8:$B$200,0)),1))*100</f>
        <v>40.432497014106502</v>
      </c>
      <c r="AY124" s="107"/>
      <c r="AZ124" s="7"/>
      <c r="BA124" s="14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103"/>
      <c r="BO124" s="14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14"/>
      <c r="CA124" s="7"/>
      <c r="CB124" s="7"/>
      <c r="CC124" s="7"/>
      <c r="CD124" s="7"/>
      <c r="CE124" s="7">
        <f>(INDEX('Race 75'!$E$8:$E$200,(MATCH($B124,'Race 75'!$B$8:$B$200,0)),1))*100</f>
        <v>42.781121400049962</v>
      </c>
      <c r="CF124" s="7">
        <f>(INDEX('Race 76'!$E$8:$E$200,(MATCH($B124,'Race 76'!$B$8:$B$200,0)),1))*100</f>
        <v>41.027889518989177</v>
      </c>
      <c r="CG124" s="7"/>
      <c r="CH124" s="7"/>
      <c r="CI124" s="7"/>
      <c r="CJ124" s="7"/>
      <c r="CK124" s="101"/>
      <c r="CL124" s="74"/>
      <c r="CM124" s="74"/>
      <c r="CN124" s="74"/>
      <c r="CO124" s="70"/>
      <c r="CP124" s="74"/>
      <c r="CQ124" s="7"/>
      <c r="CR124" s="74"/>
      <c r="CS124" s="74"/>
      <c r="CT124" s="74"/>
      <c r="CU124" s="74"/>
      <c r="CV124" s="7"/>
      <c r="CW124" s="7"/>
      <c r="CX124" s="7"/>
      <c r="CY124" s="7"/>
      <c r="CZ124" s="7"/>
      <c r="DA124" s="7"/>
      <c r="DB124" s="7"/>
      <c r="DC124" s="7"/>
      <c r="DD124" s="7"/>
      <c r="DE124" s="74"/>
      <c r="DF124" s="7"/>
      <c r="DG124" s="7"/>
      <c r="DH124" s="7"/>
      <c r="DI124" s="7"/>
      <c r="DJ124" s="7"/>
      <c r="DK124" s="7"/>
      <c r="DL124" s="7"/>
      <c r="DM124" s="74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8">
        <f t="shared" si="30"/>
        <v>40.632371138484139</v>
      </c>
      <c r="EA124" s="3" t="str">
        <f t="shared" si="31"/>
        <v>Donnelly, Andrew</v>
      </c>
      <c r="EB124" s="2">
        <f t="shared" si="32"/>
        <v>1</v>
      </c>
      <c r="EC124" s="112">
        <f t="shared" si="28"/>
        <v>0</v>
      </c>
      <c r="ED124" s="29">
        <f t="shared" si="33"/>
        <v>39.97675239913827</v>
      </c>
      <c r="EE124" s="2">
        <f t="shared" si="34"/>
        <v>0</v>
      </c>
      <c r="EF124" s="46">
        <f t="shared" si="35"/>
        <v>2</v>
      </c>
      <c r="EG124" s="46">
        <f t="shared" si="36"/>
        <v>4</v>
      </c>
      <c r="EH124" s="29" t="str">
        <f t="shared" si="37"/>
        <v>RI</v>
      </c>
      <c r="EI124" s="29">
        <f>IF(COUNT(I124:AD124)&lt;5,DZ124,SUMPRODUCT(LARGE(I124:AD124,{1,2,3,4,5}))/5)</f>
        <v>40.632371138484139</v>
      </c>
      <c r="EJ124" s="29">
        <f>IF(COUNT(I124:AX124)&lt;5,DZ124,SUMPRODUCT(LARGE(I124:AX124,{1,2,3,4,5}))/5)</f>
        <v>40.632371138484139</v>
      </c>
      <c r="EK124" s="29">
        <f>IF(COUNT(I124:DY124)&lt;5,AVERAGE(I124:DY124),SUMPRODUCT(LARGE(I124:DY124,{1,2,3,4,5}))/5)</f>
        <v>40.632371138484139</v>
      </c>
      <c r="EL124" s="29">
        <f t="shared" si="38"/>
        <v>39.97675239913827</v>
      </c>
      <c r="EM124" s="116" t="str">
        <f t="shared" si="39"/>
        <v>Donnelly, Andrew</v>
      </c>
      <c r="EQ124"/>
    </row>
    <row r="125" spans="1:147" x14ac:dyDescent="0.25">
      <c r="A125" s="59">
        <f t="shared" si="26"/>
        <v>122</v>
      </c>
      <c r="B125" s="32" t="s">
        <v>804</v>
      </c>
      <c r="C125" s="5" t="s">
        <v>6</v>
      </c>
      <c r="D125" s="6" t="s">
        <v>62</v>
      </c>
      <c r="E125" s="6">
        <v>53.321556703368351</v>
      </c>
      <c r="F125" s="6">
        <v>51.826604263018972</v>
      </c>
      <c r="G125" s="5">
        <f t="shared" si="29"/>
        <v>2</v>
      </c>
      <c r="H125" s="8">
        <v>53.321556703368351</v>
      </c>
      <c r="I125" s="36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227"/>
      <c r="Z125" s="228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4">
        <f>(INDEX('Race 30'!$E$8:$E$200,(MATCH($B125,'Race 30'!$B$8:$B$200,0)),1))*100</f>
        <v>51.826604263018972</v>
      </c>
      <c r="AM125" s="7"/>
      <c r="AN125" s="7"/>
      <c r="AO125" s="7"/>
      <c r="AP125" s="7"/>
      <c r="AQ125" s="74"/>
      <c r="AR125" s="70"/>
      <c r="AS125" s="7"/>
      <c r="AT125" s="70"/>
      <c r="AU125" s="7"/>
      <c r="AV125" s="70"/>
      <c r="AW125" s="7"/>
      <c r="AX125" s="8"/>
      <c r="AY125" s="36"/>
      <c r="AZ125" s="7"/>
      <c r="BA125" s="14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103"/>
      <c r="BO125" s="14"/>
      <c r="BP125" s="7"/>
      <c r="BQ125" s="7"/>
      <c r="BR125" s="7"/>
      <c r="BS125" s="7"/>
      <c r="BT125" s="7">
        <f>(INDEX('Race 64'!$E$8:$E$200,(MATCH($B125,'Race 64'!$B$8:$B$200,0)),1))*100</f>
        <v>46.035461922697671</v>
      </c>
      <c r="BU125" s="7"/>
      <c r="BV125" s="7"/>
      <c r="BW125" s="7"/>
      <c r="BX125" s="7"/>
      <c r="BY125" s="7"/>
      <c r="BZ125" s="14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101"/>
      <c r="CL125" s="74"/>
      <c r="CM125" s="74"/>
      <c r="CN125" s="74"/>
      <c r="CO125" s="70"/>
      <c r="CP125" s="74"/>
      <c r="CQ125" s="7"/>
      <c r="CR125" s="74"/>
      <c r="CS125" s="74"/>
      <c r="CT125" s="74"/>
      <c r="CU125" s="74"/>
      <c r="CV125" s="7"/>
      <c r="CW125" s="7"/>
      <c r="CX125" s="7"/>
      <c r="CY125" s="7"/>
      <c r="CZ125" s="7"/>
      <c r="DA125" s="7"/>
      <c r="DB125" s="7"/>
      <c r="DC125" s="7"/>
      <c r="DD125" s="7"/>
      <c r="DE125" s="74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8">
        <f t="shared" si="30"/>
        <v>48.931033092858321</v>
      </c>
      <c r="EA125" s="3" t="str">
        <f t="shared" si="31"/>
        <v>Donoghue, Liam</v>
      </c>
      <c r="EB125" s="2">
        <f t="shared" si="32"/>
        <v>1</v>
      </c>
      <c r="EC125" s="112">
        <f t="shared" si="28"/>
        <v>53.321556703368351</v>
      </c>
      <c r="ED125" s="29">
        <f t="shared" si="33"/>
        <v>48.141512291281309</v>
      </c>
      <c r="EE125" s="2">
        <f t="shared" si="34"/>
        <v>0</v>
      </c>
      <c r="EF125" s="46">
        <f t="shared" si="35"/>
        <v>1</v>
      </c>
      <c r="EG125" s="46">
        <f t="shared" si="36"/>
        <v>2</v>
      </c>
      <c r="EH125" s="29" t="str">
        <f t="shared" si="37"/>
        <v>CO</v>
      </c>
      <c r="EI125" s="29">
        <f>IF(COUNT(I125:Y125)&lt;5,DZ125,SUMPRODUCT(LARGE(I125:Y125,{1,2,3,4,5}))/5)</f>
        <v>48.931033092858321</v>
      </c>
      <c r="EJ125" s="29">
        <f>IF(COUNT(I125:AX125)&lt;5,DZ125,SUMPRODUCT(LARGE(I125:AX125,{1,2,3,4,5}))/5)</f>
        <v>48.931033092858321</v>
      </c>
      <c r="EK125" s="29">
        <f>IF(COUNT(I125:DY125)&lt;5,AVERAGE(I125:DY125),SUMPRODUCT(LARGE(I125:DY125,{1,2,3,4,5}))/5)</f>
        <v>48.931033092858321</v>
      </c>
      <c r="EL125" s="29">
        <f t="shared" si="38"/>
        <v>48.141512291281309</v>
      </c>
      <c r="EM125" s="116" t="str">
        <f t="shared" si="39"/>
        <v>Donoghue, Liam</v>
      </c>
      <c r="EQ125"/>
    </row>
    <row r="126" spans="1:147" x14ac:dyDescent="0.25">
      <c r="A126" s="59">
        <f t="shared" si="26"/>
        <v>123</v>
      </c>
      <c r="B126" s="32" t="s">
        <v>773</v>
      </c>
      <c r="C126" s="5" t="s">
        <v>6</v>
      </c>
      <c r="D126" s="6" t="s">
        <v>63</v>
      </c>
      <c r="E126" s="6">
        <v>44.290458705948929</v>
      </c>
      <c r="F126" s="6">
        <v>52.599685351480908</v>
      </c>
      <c r="G126" s="5">
        <f t="shared" si="29"/>
        <v>11</v>
      </c>
      <c r="H126" s="8">
        <v>44.290458705948929</v>
      </c>
      <c r="I126" s="36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227"/>
      <c r="Z126" s="228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4"/>
      <c r="AP126" s="7"/>
      <c r="AQ126" s="74"/>
      <c r="AR126" s="70"/>
      <c r="AS126" s="74">
        <f>(INDEX('Race 37'!$E$8:$E$200,(MATCH($B126,'Race 37'!$B$8:$B$200,0)),1))*100</f>
        <v>50.914260424970173</v>
      </c>
      <c r="AT126" s="101">
        <f>(INDEX('Race 38'!$E$8:$E$200,(MATCH($B126,'Race 38'!$B$8:$B$200,0)),1))*100</f>
        <v>54.116740799858754</v>
      </c>
      <c r="AU126" s="74">
        <f>(INDEX('Race 39'!$E$8:$E$200,(MATCH($B126,'Race 39'!$B$8:$B$200,0)),1))*100</f>
        <v>55.221030905720312</v>
      </c>
      <c r="AV126" s="101"/>
      <c r="AW126" s="74"/>
      <c r="AX126" s="8">
        <f>(INDEX('Race 42'!$E$8:$E$200,(MATCH($B126,'Race 42'!$B$8:$B$200,0)),1))*100</f>
        <v>50.146709275374377</v>
      </c>
      <c r="AY126" s="36"/>
      <c r="AZ126" s="7">
        <f>(INDEX('Race 44'!$E$8:$E$200,(MATCH($B126,'Race 44'!$B$8:$B$200,0)),1))*100</f>
        <v>56.345110365202324</v>
      </c>
      <c r="BA126" s="14"/>
      <c r="BB126" s="7">
        <f>(INDEX('Race 46'!$E$8:$E$200,(MATCH($B126,'Race 46'!$B$8:$B$200,0)),1))*100</f>
        <v>48.75303826983469</v>
      </c>
      <c r="BC126" s="7"/>
      <c r="BD126" s="7"/>
      <c r="BE126" s="7">
        <f>(INDEX('Race 49'!$E$8:$E$200,(MATCH($B126,'Race 49'!$B$8:$B$200,0)),1))*100</f>
        <v>50.125657712123804</v>
      </c>
      <c r="BF126" s="7"/>
      <c r="BG126" s="7"/>
      <c r="BH126" s="7"/>
      <c r="BI126" s="7"/>
      <c r="BJ126" s="7"/>
      <c r="BK126" s="7"/>
      <c r="BL126" s="74">
        <f>(INDEX('Race 56'!$E$8:$E$200,(MATCH($B126,'Race 56'!$B$8:$B$200,0)),1))*100</f>
        <v>49.888928927845349</v>
      </c>
      <c r="BM126" s="7"/>
      <c r="BN126" s="103">
        <f>(INDEX('Race 58'!$E$8:$E$200,(MATCH($B126,'Race 58'!$B$8:$B$200,0)),1))*100</f>
        <v>45.446524658578845</v>
      </c>
      <c r="BO126" s="14"/>
      <c r="BP126" s="7">
        <f>(INDEX('Race 60'!$E$8:$E$200,(MATCH($B126,'Race 60'!$B$8:$B$200,0)),1))*100</f>
        <v>49.216274502220188</v>
      </c>
      <c r="BQ126" s="7">
        <f>(INDEX('Race 61'!$E$8:$E$200,(MATCH($B126,'Race 61'!$B$8:$B$200,0)),1))*100</f>
        <v>40.937261113604642</v>
      </c>
      <c r="BR126" s="7"/>
      <c r="BS126" s="7"/>
      <c r="BT126" s="7"/>
      <c r="BU126" s="7"/>
      <c r="BV126" s="7"/>
      <c r="BW126" s="7"/>
      <c r="BX126" s="7"/>
      <c r="BY126" s="7"/>
      <c r="BZ126" s="14"/>
      <c r="CA126" s="7"/>
      <c r="CB126" s="7"/>
      <c r="CC126" s="7"/>
      <c r="CD126" s="74"/>
      <c r="CE126" s="7"/>
      <c r="CF126" s="74"/>
      <c r="CG126" s="74"/>
      <c r="CH126" s="7"/>
      <c r="CI126" s="7"/>
      <c r="CJ126" s="7"/>
      <c r="CK126" s="101"/>
      <c r="CL126" s="74"/>
      <c r="CM126" s="74"/>
      <c r="CN126" s="74"/>
      <c r="CO126" s="101"/>
      <c r="CP126" s="74"/>
      <c r="CQ126" s="7"/>
      <c r="CR126" s="74"/>
      <c r="CS126" s="74"/>
      <c r="CT126" s="74"/>
      <c r="CU126" s="74"/>
      <c r="CV126" s="7"/>
      <c r="CW126" s="7"/>
      <c r="CX126" s="7"/>
      <c r="CY126" s="7"/>
      <c r="CZ126" s="7"/>
      <c r="DA126" s="7"/>
      <c r="DB126" s="7"/>
      <c r="DC126" s="7"/>
      <c r="DD126" s="7"/>
      <c r="DE126" s="74"/>
      <c r="DF126" s="74"/>
      <c r="DG126" s="74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8">
        <f t="shared" si="30"/>
        <v>50.101048814121221</v>
      </c>
      <c r="EA126" s="3" t="str">
        <f t="shared" si="31"/>
        <v>Dooley, Brian</v>
      </c>
      <c r="EB126" s="2">
        <f t="shared" si="32"/>
        <v>1</v>
      </c>
      <c r="EC126" s="112">
        <f t="shared" si="28"/>
        <v>44.290458705948929</v>
      </c>
      <c r="ED126" s="29">
        <f t="shared" si="33"/>
        <v>52.487967684204243</v>
      </c>
      <c r="EE126" s="2">
        <f t="shared" si="34"/>
        <v>0</v>
      </c>
      <c r="EF126" s="46">
        <f t="shared" si="35"/>
        <v>11</v>
      </c>
      <c r="EG126" s="46">
        <f t="shared" si="36"/>
        <v>11</v>
      </c>
      <c r="EH126" s="2" t="str">
        <f t="shared" si="37"/>
        <v>VT</v>
      </c>
      <c r="EI126" s="29">
        <f>IF(COUNT(I126:Y126)&lt;5,DZ126,SUMPRODUCT(LARGE(I126:Y126,{1,2,3,4,5}))/5)</f>
        <v>50.101048814121221</v>
      </c>
      <c r="EJ126" s="29">
        <f>IF(COUNT(I126:AX126)&lt;5,DZ126,SUMPRODUCT(LARGE(I126:AX126,{1,2,3,4,5}))/5)</f>
        <v>50.101048814121221</v>
      </c>
      <c r="EK126" s="29">
        <f>IF(COUNT(I126:DY126)&lt;5,AVERAGE(I126:DY126),SUMPRODUCT(LARGE(I126:DY126,{1,2,3,4,5}))/5)</f>
        <v>53.348770354225188</v>
      </c>
      <c r="EL126" s="29">
        <f t="shared" si="38"/>
        <v>52.487967684204243</v>
      </c>
      <c r="EM126" s="116" t="str">
        <f t="shared" si="39"/>
        <v>Dooley, Brian</v>
      </c>
      <c r="EQ126"/>
    </row>
    <row r="127" spans="1:147" x14ac:dyDescent="0.25">
      <c r="A127" s="59">
        <f t="shared" si="26"/>
        <v>124</v>
      </c>
      <c r="B127" s="32" t="s">
        <v>9</v>
      </c>
      <c r="C127" s="5" t="s">
        <v>6</v>
      </c>
      <c r="D127" s="6" t="s">
        <v>57</v>
      </c>
      <c r="E127" s="6">
        <v>78.23350033640854</v>
      </c>
      <c r="F127" s="6">
        <v>81.414794603727941</v>
      </c>
      <c r="G127" s="5">
        <f t="shared" si="29"/>
        <v>7</v>
      </c>
      <c r="H127" s="8">
        <v>78.23350033640854</v>
      </c>
      <c r="I127" s="107"/>
      <c r="J127" s="7"/>
      <c r="K127" s="7"/>
      <c r="L127" s="7"/>
      <c r="M127" s="74"/>
      <c r="N127" s="74"/>
      <c r="O127" s="7"/>
      <c r="P127" s="74"/>
      <c r="Q127" s="74"/>
      <c r="R127" s="74"/>
      <c r="S127" s="74"/>
      <c r="T127" s="7"/>
      <c r="U127" s="7"/>
      <c r="V127" s="74"/>
      <c r="W127" s="7"/>
      <c r="X127" s="74"/>
      <c r="Y127" s="227"/>
      <c r="Z127" s="228"/>
      <c r="AA127" s="7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"/>
      <c r="AP127" s="74"/>
      <c r="AQ127" s="74"/>
      <c r="AR127" s="70"/>
      <c r="AS127" s="7"/>
      <c r="AT127" s="101"/>
      <c r="AU127" s="7"/>
      <c r="AV127" s="101"/>
      <c r="AW127" s="7">
        <f>(INDEX('Race 41'!$E$8:$E$200,(MATCH($B127,'Race 41'!$B$8:$B$200,0)),1))*100</f>
        <v>76.161805306256852</v>
      </c>
      <c r="AX127" s="183">
        <f>(INDEX('Race 42'!$E$8:$E$200,(MATCH($B127,'Race 42'!$B$8:$B$200,0)),1))*100</f>
        <v>83.890555029268583</v>
      </c>
      <c r="AY127" s="107">
        <f>(INDEX('Race 43'!$E$8:$E$200,(MATCH($B127,'Race 43'!$B$8:$B$200,0)),1))*100</f>
        <v>85.270251497343637</v>
      </c>
      <c r="AZ127" s="74"/>
      <c r="BA127" s="103"/>
      <c r="BB127" s="74"/>
      <c r="BC127" s="74"/>
      <c r="BD127" s="7"/>
      <c r="BE127" s="7"/>
      <c r="BF127" s="74"/>
      <c r="BG127" s="74"/>
      <c r="BH127" s="74"/>
      <c r="BI127" s="74"/>
      <c r="BJ127" s="74">
        <f>(INDEX('Race 54'!$E$8:$E$200,(MATCH($B127,'Race 54'!$B$8:$B$200,0)),1))*100</f>
        <v>82.375738903814749</v>
      </c>
      <c r="BK127" s="7"/>
      <c r="BL127" s="74"/>
      <c r="BM127" s="74">
        <f>(INDEX('Race 57'!$E$8:$E$200,(MATCH($B127,'Race 57'!$B$8:$B$200,0)),1))*100</f>
        <v>76.763314403529066</v>
      </c>
      <c r="BN127" s="103"/>
      <c r="BO127" s="103"/>
      <c r="BP127" s="7"/>
      <c r="BQ127" s="7"/>
      <c r="BR127" s="7"/>
      <c r="BS127" s="7"/>
      <c r="BT127" s="7"/>
      <c r="BU127" s="74"/>
      <c r="BV127" s="74"/>
      <c r="BW127" s="74"/>
      <c r="BX127" s="74"/>
      <c r="BY127" s="74"/>
      <c r="BZ127" s="74"/>
      <c r="CA127" s="7"/>
      <c r="CB127" s="74"/>
      <c r="CC127" s="74"/>
      <c r="CD127" s="74"/>
      <c r="CE127" s="74">
        <f>(INDEX('Race 75'!$E$8:$E$200,(MATCH($B127,'Race 75'!$B$8:$B$200,0)),1))*100</f>
        <v>83.853211305885054</v>
      </c>
      <c r="CF127" s="74">
        <f>(INDEX('Race 76'!$E$8:$E$200,(MATCH($B127,'Race 76'!$B$8:$B$200,0)),1))*100</f>
        <v>81.304887313178071</v>
      </c>
      <c r="CG127" s="74"/>
      <c r="CH127" s="74"/>
      <c r="CI127" s="74"/>
      <c r="CJ127" s="74"/>
      <c r="CK127" s="101"/>
      <c r="CL127" s="74"/>
      <c r="CM127" s="74"/>
      <c r="CN127" s="74"/>
      <c r="CO127" s="101"/>
      <c r="CP127" s="74"/>
      <c r="CQ127" s="74"/>
      <c r="CR127" s="74"/>
      <c r="CS127" s="74"/>
      <c r="CT127" s="74"/>
      <c r="CU127" s="74"/>
      <c r="CV127" s="74"/>
      <c r="CW127" s="74"/>
      <c r="CX127" s="7"/>
      <c r="CY127" s="7"/>
      <c r="CZ127" s="74"/>
      <c r="DA127" s="74"/>
      <c r="DB127" s="74"/>
      <c r="DC127" s="74"/>
      <c r="DD127" s="7"/>
      <c r="DE127" s="74"/>
      <c r="DF127" s="74"/>
      <c r="DG127" s="74"/>
      <c r="DH127" s="74"/>
      <c r="DI127" s="74"/>
      <c r="DJ127" s="74"/>
      <c r="DK127" s="74"/>
      <c r="DL127" s="74"/>
      <c r="DM127" s="74"/>
      <c r="DN127" s="74"/>
      <c r="DO127" s="74"/>
      <c r="DP127" s="7"/>
      <c r="DQ127" s="74"/>
      <c r="DR127" s="7"/>
      <c r="DS127" s="7"/>
      <c r="DT127" s="74"/>
      <c r="DU127" s="74"/>
      <c r="DV127" s="74"/>
      <c r="DW127" s="74"/>
      <c r="DX127" s="74"/>
      <c r="DY127" s="74"/>
      <c r="DZ127" s="8">
        <f t="shared" si="30"/>
        <v>81.374251965610853</v>
      </c>
      <c r="EA127" s="3" t="str">
        <f t="shared" si="31"/>
        <v>Douglas, Robert</v>
      </c>
      <c r="EB127" s="2">
        <f t="shared" si="32"/>
        <v>1</v>
      </c>
      <c r="EC127" s="112">
        <f t="shared" si="28"/>
        <v>78.23350033640854</v>
      </c>
      <c r="ED127" s="29">
        <f t="shared" si="33"/>
        <v>81.994223543780038</v>
      </c>
      <c r="EE127" s="2">
        <f t="shared" si="34"/>
        <v>0</v>
      </c>
      <c r="EF127" s="46">
        <f t="shared" si="35"/>
        <v>5</v>
      </c>
      <c r="EG127" s="46">
        <f t="shared" si="36"/>
        <v>7</v>
      </c>
      <c r="EH127" s="29" t="str">
        <f t="shared" si="37"/>
        <v>NY</v>
      </c>
      <c r="EI127" s="29">
        <f>IF(COUNT(I127:Y127)&lt;5,DZ127,SUMPRODUCT(LARGE(I127:Y127,{1,2,3,4,5}))/5)</f>
        <v>81.374251965610853</v>
      </c>
      <c r="EJ127" s="29">
        <f>IF(COUNT(I127:AX127)&lt;5,DZ127,SUMPRODUCT(LARGE(I127:AX127,{1,2,3,4,5}))/5)</f>
        <v>81.374251965610853</v>
      </c>
      <c r="EK127" s="112">
        <f>IF(COUNT(I127:DY127)&lt;5,AVERAGE(I127:DY127),SUMPRODUCT(LARGE(I127:DY127,{1,2,3,4,5}))/5)</f>
        <v>83.338928809898022</v>
      </c>
      <c r="EL127" s="29">
        <f t="shared" si="38"/>
        <v>81.994223543780038</v>
      </c>
      <c r="EM127" s="116" t="str">
        <f t="shared" si="39"/>
        <v>Douglas, Robert</v>
      </c>
      <c r="EQ127"/>
    </row>
    <row r="128" spans="1:147" x14ac:dyDescent="0.25">
      <c r="A128" s="59">
        <f t="shared" si="26"/>
        <v>125</v>
      </c>
      <c r="B128" s="32" t="s">
        <v>107</v>
      </c>
      <c r="C128" s="5" t="s">
        <v>6</v>
      </c>
      <c r="D128" s="6" t="s">
        <v>63</v>
      </c>
      <c r="E128" s="6">
        <v>72.609368887451112</v>
      </c>
      <c r="F128" s="6">
        <v>75.792883752028487</v>
      </c>
      <c r="G128" s="5">
        <f t="shared" si="29"/>
        <v>2</v>
      </c>
      <c r="H128" s="8">
        <v>72.609368887451112</v>
      </c>
      <c r="I128" s="107"/>
      <c r="J128" s="7"/>
      <c r="K128" s="74"/>
      <c r="L128" s="7"/>
      <c r="M128" s="74"/>
      <c r="N128" s="74"/>
      <c r="O128" s="7"/>
      <c r="P128" s="74"/>
      <c r="Q128" s="74"/>
      <c r="R128" s="74"/>
      <c r="S128" s="74"/>
      <c r="T128" s="7"/>
      <c r="U128" s="7"/>
      <c r="V128" s="74"/>
      <c r="W128" s="7"/>
      <c r="X128" s="74"/>
      <c r="Y128" s="227"/>
      <c r="Z128" s="228"/>
      <c r="AA128" s="74"/>
      <c r="AB128" s="74"/>
      <c r="AC128" s="74"/>
      <c r="AD128" s="74"/>
      <c r="AE128" s="7"/>
      <c r="AF128" s="74"/>
      <c r="AG128" s="74"/>
      <c r="AH128" s="74"/>
      <c r="AI128" s="74"/>
      <c r="AJ128" s="74"/>
      <c r="AK128" s="74"/>
      <c r="AL128" s="7"/>
      <c r="AM128" s="74"/>
      <c r="AN128" s="7"/>
      <c r="AO128" s="74"/>
      <c r="AP128" s="7"/>
      <c r="AQ128" s="74"/>
      <c r="AR128" s="101"/>
      <c r="AS128" s="7"/>
      <c r="AT128" s="70"/>
      <c r="AU128" s="7"/>
      <c r="AV128" s="70"/>
      <c r="AW128" s="7">
        <f>(INDEX('Race 41'!$E$8:$E$200,(MATCH($B128,'Race 41'!$B$8:$B$200,0)),1))*100</f>
        <v>75.792883752028487</v>
      </c>
      <c r="AX128" s="8"/>
      <c r="AY128" s="36"/>
      <c r="AZ128" s="7">
        <f>(INDEX('Race 44'!$E$8:$E$200,(MATCH($B128,'Race 44'!$B$8:$B$200,0)),1))*100</f>
        <v>79.023432794350143</v>
      </c>
      <c r="BA128" s="103"/>
      <c r="BB128" s="74"/>
      <c r="BC128" s="74"/>
      <c r="BD128" s="7"/>
      <c r="BE128" s="7"/>
      <c r="BF128" s="74"/>
      <c r="BG128" s="74"/>
      <c r="BH128" s="74"/>
      <c r="BI128" s="74"/>
      <c r="BJ128" s="74"/>
      <c r="BK128" s="7"/>
      <c r="BL128" s="74"/>
      <c r="BM128" s="7"/>
      <c r="BN128" s="103"/>
      <c r="BO128" s="103"/>
      <c r="BP128" s="7"/>
      <c r="BQ128" s="7"/>
      <c r="BR128" s="7"/>
      <c r="BS128" s="7"/>
      <c r="BT128" s="7"/>
      <c r="BU128" s="74"/>
      <c r="BV128" s="74"/>
      <c r="BW128" s="74"/>
      <c r="BX128" s="74"/>
      <c r="BY128" s="74"/>
      <c r="BZ128" s="103"/>
      <c r="CA128" s="7"/>
      <c r="CB128" s="74"/>
      <c r="CC128" s="74"/>
      <c r="CD128" s="74"/>
      <c r="CE128" s="74"/>
      <c r="CF128" s="74"/>
      <c r="CG128" s="74"/>
      <c r="CH128" s="74"/>
      <c r="CI128" s="7"/>
      <c r="CJ128" s="74"/>
      <c r="CK128" s="101"/>
      <c r="CL128" s="74"/>
      <c r="CM128" s="74"/>
      <c r="CN128" s="74"/>
      <c r="CO128" s="101"/>
      <c r="CP128" s="74"/>
      <c r="CQ128" s="74"/>
      <c r="CR128" s="74"/>
      <c r="CS128" s="74"/>
      <c r="CT128" s="74"/>
      <c r="CU128" s="74"/>
      <c r="CV128" s="74"/>
      <c r="CW128" s="74"/>
      <c r="CX128" s="7"/>
      <c r="CY128" s="7"/>
      <c r="CZ128" s="74"/>
      <c r="DA128" s="74"/>
      <c r="DB128" s="74"/>
      <c r="DC128" s="74"/>
      <c r="DD128" s="74"/>
      <c r="DE128" s="74"/>
      <c r="DF128" s="74"/>
      <c r="DG128" s="74"/>
      <c r="DH128" s="74"/>
      <c r="DI128" s="74"/>
      <c r="DJ128" s="100"/>
      <c r="DK128" s="74"/>
      <c r="DL128" s="74"/>
      <c r="DM128" s="74"/>
      <c r="DN128" s="74"/>
      <c r="DO128" s="74"/>
      <c r="DP128" s="74"/>
      <c r="DQ128" s="74"/>
      <c r="DR128" s="7"/>
      <c r="DS128" s="7"/>
      <c r="DT128" s="74"/>
      <c r="DU128" s="74"/>
      <c r="DV128" s="74"/>
      <c r="DW128" s="74"/>
      <c r="DX128" s="74"/>
      <c r="DY128" s="74"/>
      <c r="DZ128" s="8">
        <f t="shared" si="30"/>
        <v>77.408158273189315</v>
      </c>
      <c r="EA128" s="3" t="str">
        <f t="shared" si="31"/>
        <v>Downs, Jesse</v>
      </c>
      <c r="EB128" s="2">
        <f t="shared" si="32"/>
        <v>1</v>
      </c>
      <c r="EC128" s="112">
        <f t="shared" si="28"/>
        <v>72.609368887451112</v>
      </c>
      <c r="ED128" s="29">
        <f t="shared" si="33"/>
        <v>76.15914824202018</v>
      </c>
      <c r="EE128" s="2">
        <f t="shared" si="34"/>
        <v>0</v>
      </c>
      <c r="EF128" s="46">
        <f t="shared" si="35"/>
        <v>2</v>
      </c>
      <c r="EG128" s="46">
        <f t="shared" si="36"/>
        <v>2</v>
      </c>
      <c r="EH128" s="29" t="str">
        <f t="shared" si="37"/>
        <v>VT</v>
      </c>
      <c r="EI128" s="29">
        <f>IF(COUNT(I128:Y128)&lt;5,DZ128,SUMPRODUCT(LARGE(I128:Y128,{1,2,3,4,5}))/5)</f>
        <v>77.408158273189315</v>
      </c>
      <c r="EJ128" s="29">
        <f>IF(COUNT(I128:AX128)&lt;5,DZ128,SUMPRODUCT(LARGE(I128:AX128,{1,2,3,4,5}))/5)</f>
        <v>77.408158273189315</v>
      </c>
      <c r="EK128" s="29">
        <f>IF(COUNT(I128:DY128)&lt;5,AVERAGE(I128:DY128),SUMPRODUCT(LARGE(I128:DY128,{1,2,3,4,5}))/5)</f>
        <v>77.408158273189315</v>
      </c>
      <c r="EL128" s="29">
        <f t="shared" si="38"/>
        <v>76.15914824202018</v>
      </c>
      <c r="EM128" s="116" t="str">
        <f t="shared" si="39"/>
        <v>Downs, Jesse</v>
      </c>
      <c r="EQ128"/>
    </row>
    <row r="129" spans="1:147" x14ac:dyDescent="0.25">
      <c r="A129" s="59">
        <f t="shared" si="26"/>
        <v>126</v>
      </c>
      <c r="B129" s="32" t="s">
        <v>911</v>
      </c>
      <c r="C129" s="5" t="s">
        <v>6</v>
      </c>
      <c r="D129" s="6" t="s">
        <v>58</v>
      </c>
      <c r="E129" s="6">
        <v>56.540337656371584</v>
      </c>
      <c r="F129" s="6">
        <v>56.540337656371584</v>
      </c>
      <c r="G129" s="5">
        <f t="shared" si="29"/>
        <v>0</v>
      </c>
      <c r="H129" s="8">
        <v>56.540337656371584</v>
      </c>
      <c r="I129" s="36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227"/>
      <c r="Z129" s="228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4"/>
      <c r="AP129" s="7"/>
      <c r="AQ129" s="74"/>
      <c r="AR129" s="70"/>
      <c r="AS129" s="7"/>
      <c r="AT129" s="70"/>
      <c r="AU129" s="7"/>
      <c r="AV129" s="70"/>
      <c r="AW129" s="7"/>
      <c r="AX129" s="8"/>
      <c r="AY129" s="36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103"/>
      <c r="BO129" s="14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4"/>
      <c r="CF129" s="74"/>
      <c r="CG129" s="7"/>
      <c r="CH129" s="7"/>
      <c r="CI129" s="7"/>
      <c r="CJ129" s="7"/>
      <c r="CK129" s="101"/>
      <c r="CL129" s="74"/>
      <c r="CM129" s="74"/>
      <c r="CN129" s="74"/>
      <c r="CO129" s="70"/>
      <c r="CP129" s="74"/>
      <c r="CQ129" s="7"/>
      <c r="CR129" s="74"/>
      <c r="CS129" s="74"/>
      <c r="CT129" s="74"/>
      <c r="CU129" s="74"/>
      <c r="CV129" s="7"/>
      <c r="CW129" s="7"/>
      <c r="CX129" s="7"/>
      <c r="CY129" s="7"/>
      <c r="CZ129" s="7"/>
      <c r="DA129" s="7"/>
      <c r="DB129" s="7"/>
      <c r="DC129" s="7"/>
      <c r="DD129" s="7"/>
      <c r="DE129" s="74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8">
        <f t="shared" si="30"/>
        <v>56.540337656371584</v>
      </c>
      <c r="EA129" s="3" t="str">
        <f t="shared" si="31"/>
        <v>Drayna, Zach</v>
      </c>
      <c r="EB129" s="2">
        <f t="shared" si="32"/>
        <v>0</v>
      </c>
      <c r="EC129" s="112">
        <f t="shared" si="28"/>
        <v>56.540337656371584</v>
      </c>
      <c r="ED129" s="29">
        <f t="shared" si="33"/>
        <v>0</v>
      </c>
      <c r="EE129" s="2">
        <f t="shared" si="34"/>
        <v>0</v>
      </c>
      <c r="EF129" s="46">
        <f t="shared" si="35"/>
        <v>0</v>
      </c>
      <c r="EG129" s="46">
        <f t="shared" si="36"/>
        <v>0</v>
      </c>
      <c r="EH129" s="29" t="str">
        <f t="shared" si="37"/>
        <v>MN</v>
      </c>
      <c r="EI129" s="29">
        <f>IF(COUNT(I129:Y129)&lt;5,DZ129,SUMPRODUCT(LARGE(I129:Y129,{1,2,3,4,5}))/5)</f>
        <v>56.540337656371584</v>
      </c>
      <c r="EJ129" s="29">
        <f>IF(COUNT(I129:AX129)&lt;5,DZ129,SUMPRODUCT(LARGE(I129:AX129,{1,2,3,4,5}))/5)</f>
        <v>56.540337656371584</v>
      </c>
      <c r="EK129" s="112">
        <f>IF(EG129&lt;0,AVERAGE(I129:DY129),0)</f>
        <v>0</v>
      </c>
      <c r="EL129" s="29">
        <f t="shared" si="38"/>
        <v>0</v>
      </c>
      <c r="EM129" s="116" t="str">
        <f t="shared" si="39"/>
        <v>Drayna, Zach</v>
      </c>
      <c r="EQ129"/>
    </row>
    <row r="130" spans="1:147" x14ac:dyDescent="0.25">
      <c r="A130" s="59">
        <f t="shared" si="26"/>
        <v>127</v>
      </c>
      <c r="B130" s="32" t="s">
        <v>498</v>
      </c>
      <c r="C130" s="5" t="s">
        <v>6</v>
      </c>
      <c r="D130" s="6" t="s">
        <v>62</v>
      </c>
      <c r="E130" s="6">
        <v>61.922713069928847</v>
      </c>
      <c r="F130" s="6">
        <v>66.908574168551169</v>
      </c>
      <c r="G130" s="5">
        <f t="shared" si="29"/>
        <v>3</v>
      </c>
      <c r="H130" s="8">
        <v>61.922713069928847</v>
      </c>
      <c r="I130" s="36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227"/>
      <c r="Z130" s="228"/>
      <c r="AA130" s="7"/>
      <c r="AB130" s="7"/>
      <c r="AC130" s="7"/>
      <c r="AD130" s="7"/>
      <c r="AE130" s="7"/>
      <c r="AF130" s="7"/>
      <c r="AG130" s="74">
        <f>(INDEX('Race 25'!$E$8:$E$200,(MATCH($B130,'Race 25'!$B$8:$B$200,0)),1))*100</f>
        <v>66.908574168551169</v>
      </c>
      <c r="AH130" s="7"/>
      <c r="AI130" s="7"/>
      <c r="AJ130" s="7"/>
      <c r="AK130" s="7"/>
      <c r="AL130" s="7"/>
      <c r="AM130" s="7"/>
      <c r="AN130" s="7"/>
      <c r="AO130" s="7"/>
      <c r="AP130" s="7"/>
      <c r="AQ130" s="74"/>
      <c r="AR130" s="70"/>
      <c r="AS130" s="7"/>
      <c r="AT130" s="70"/>
      <c r="AU130" s="7"/>
      <c r="AV130" s="70"/>
      <c r="AW130" s="7"/>
      <c r="AX130" s="183"/>
      <c r="AY130" s="107"/>
      <c r="AZ130" s="7"/>
      <c r="BA130" s="14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14"/>
      <c r="BO130" s="14"/>
      <c r="BP130" s="7"/>
      <c r="BQ130" s="7"/>
      <c r="BR130" s="7"/>
      <c r="BS130" s="7">
        <f>(INDEX('Race 63'!$E$8:$E$200,(MATCH($B130,'Race 63'!$B$8:$B$200,0)),1))*100</f>
        <v>69.789355463684259</v>
      </c>
      <c r="BT130" s="7">
        <f>(INDEX('Race 64'!$E$8:$E$200,(MATCH($B130,'Race 64'!$B$8:$B$200,0)),1))*100</f>
        <v>70.013528607071606</v>
      </c>
      <c r="BU130" s="7"/>
      <c r="BV130" s="7"/>
      <c r="BW130" s="7"/>
      <c r="BX130" s="7"/>
      <c r="BY130" s="7"/>
      <c r="BZ130" s="14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101"/>
      <c r="CL130" s="74"/>
      <c r="CM130" s="74"/>
      <c r="CN130" s="74"/>
      <c r="CO130" s="70"/>
      <c r="CP130" s="74"/>
      <c r="CQ130" s="7"/>
      <c r="CR130" s="74"/>
      <c r="CS130" s="74"/>
      <c r="CT130" s="74"/>
      <c r="CU130" s="74"/>
      <c r="CV130" s="74"/>
      <c r="CW130" s="7"/>
      <c r="CX130" s="7"/>
      <c r="CY130" s="7"/>
      <c r="CZ130" s="74"/>
      <c r="DA130" s="7"/>
      <c r="DB130" s="7"/>
      <c r="DC130" s="7"/>
      <c r="DD130" s="7"/>
      <c r="DE130" s="74"/>
      <c r="DF130" s="74"/>
      <c r="DG130" s="74"/>
      <c r="DH130" s="74"/>
      <c r="DI130" s="74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4"/>
      <c r="DU130" s="7"/>
      <c r="DV130" s="7"/>
      <c r="DW130" s="7"/>
      <c r="DX130" s="7"/>
      <c r="DY130" s="7"/>
      <c r="DZ130" s="8">
        <f t="shared" si="30"/>
        <v>68.90381941310234</v>
      </c>
      <c r="EA130" s="3" t="str">
        <f t="shared" si="31"/>
        <v>Dreiman, Chester</v>
      </c>
      <c r="EB130" s="2">
        <f t="shared" si="32"/>
        <v>1</v>
      </c>
      <c r="EC130" s="112">
        <f t="shared" si="28"/>
        <v>61.922713069928847</v>
      </c>
      <c r="ED130" s="29">
        <f t="shared" si="33"/>
        <v>67.792030119148308</v>
      </c>
      <c r="EE130" s="2">
        <f t="shared" si="34"/>
        <v>1</v>
      </c>
      <c r="EF130" s="46">
        <f t="shared" si="35"/>
        <v>1</v>
      </c>
      <c r="EG130" s="46">
        <f t="shared" si="36"/>
        <v>3</v>
      </c>
      <c r="EH130" s="2" t="str">
        <f t="shared" si="37"/>
        <v>CO</v>
      </c>
      <c r="EI130" s="29">
        <f>IF(COUNT(I130:Y130)&lt;5,DZ130,SUMPRODUCT(LARGE(I130:Y130,{1,2,3,4,5}))/5)</f>
        <v>68.90381941310234</v>
      </c>
      <c r="EJ130" s="29">
        <f>IF(COUNT(I130:AX130)&lt;5,DZ130,SUMPRODUCT(LARGE(I130:AX130,{1,2,3,4,5}))/5)</f>
        <v>68.90381941310234</v>
      </c>
      <c r="EK130" s="29">
        <f>IF(COUNT(I130:DY130)&lt;5,AVERAGE(I130:DY130),SUMPRODUCT(LARGE(I130:DY130,{1,2,3,4,5}))/5)</f>
        <v>68.90381941310234</v>
      </c>
      <c r="EL130" s="29">
        <f t="shared" si="38"/>
        <v>67.792030119148308</v>
      </c>
      <c r="EM130" s="116" t="str">
        <f t="shared" si="39"/>
        <v>Dreiman, Chester</v>
      </c>
      <c r="EQ130"/>
    </row>
    <row r="131" spans="1:147" x14ac:dyDescent="0.25">
      <c r="A131" s="59">
        <f t="shared" si="26"/>
        <v>128</v>
      </c>
      <c r="B131" s="32" t="s">
        <v>102</v>
      </c>
      <c r="C131" s="5" t="s">
        <v>6</v>
      </c>
      <c r="D131" s="6" t="s">
        <v>63</v>
      </c>
      <c r="E131" s="6">
        <v>86.807963708513867</v>
      </c>
      <c r="F131" s="6">
        <v>86.807963708513867</v>
      </c>
      <c r="G131" s="5">
        <f t="shared" si="29"/>
        <v>3</v>
      </c>
      <c r="H131" s="8">
        <v>86.807963708513867</v>
      </c>
      <c r="I131" s="36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227"/>
      <c r="Z131" s="228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4"/>
      <c r="AP131" s="7"/>
      <c r="AQ131" s="74"/>
      <c r="AR131" s="70"/>
      <c r="AS131" s="7"/>
      <c r="AT131" s="70"/>
      <c r="AU131" s="7"/>
      <c r="AV131" s="70"/>
      <c r="AW131" s="7"/>
      <c r="AX131" s="183"/>
      <c r="AY131" s="107"/>
      <c r="AZ131" s="7"/>
      <c r="BA131" s="14"/>
      <c r="BB131" s="7"/>
      <c r="BC131" s="7"/>
      <c r="BD131" s="7"/>
      <c r="BE131" s="7"/>
      <c r="BF131" s="7"/>
      <c r="BG131" s="7"/>
      <c r="BH131" s="7"/>
      <c r="BI131" s="7"/>
      <c r="BJ131" s="74">
        <f>(INDEX('Race 54'!$E$8:$E$200,(MATCH($B131,'Race 54'!$B$8:$B$200,0)),1))*100</f>
        <v>88.018670648736915</v>
      </c>
      <c r="BK131" s="7"/>
      <c r="BL131" s="7"/>
      <c r="BM131" s="74">
        <f>(INDEX('Race 57'!$E$8:$E$200,(MATCH($B131,'Race 57'!$B$8:$B$200,0)),1))*100</f>
        <v>88.211885801793144</v>
      </c>
      <c r="BN131" s="14"/>
      <c r="BO131" s="14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14"/>
      <c r="CA131" s="7"/>
      <c r="CB131" s="7"/>
      <c r="CC131" s="7"/>
      <c r="CD131" s="7"/>
      <c r="CE131" s="7"/>
      <c r="CF131" s="74"/>
      <c r="CG131" s="74"/>
      <c r="CH131" s="7"/>
      <c r="CI131" s="7"/>
      <c r="CJ131" s="74"/>
      <c r="CK131" s="101"/>
      <c r="CL131" s="74"/>
      <c r="CM131" s="74"/>
      <c r="CN131" s="74">
        <f>(INDEX('Race 84'!$E$8:$E$200,(MATCH($B131,'Race 84'!$B$8:$B$200,0)),1))*100</f>
        <v>82.279505113538235</v>
      </c>
      <c r="CO131" s="70"/>
      <c r="CP131" s="74"/>
      <c r="CQ131" s="7"/>
      <c r="CR131" s="74"/>
      <c r="CS131" s="74"/>
      <c r="CT131" s="74"/>
      <c r="CU131" s="74"/>
      <c r="CV131" s="74"/>
      <c r="CW131" s="7"/>
      <c r="CX131" s="7"/>
      <c r="CY131" s="7"/>
      <c r="CZ131" s="74"/>
      <c r="DA131" s="74"/>
      <c r="DB131" s="7"/>
      <c r="DC131" s="7"/>
      <c r="DD131" s="7"/>
      <c r="DE131" s="74"/>
      <c r="DF131" s="74"/>
      <c r="DG131" s="74"/>
      <c r="DH131" s="74"/>
      <c r="DI131" s="74"/>
      <c r="DJ131" s="7"/>
      <c r="DK131" s="74"/>
      <c r="DL131" s="7"/>
      <c r="DM131" s="7"/>
      <c r="DN131" s="7"/>
      <c r="DO131" s="7"/>
      <c r="DP131" s="7"/>
      <c r="DQ131" s="7"/>
      <c r="DR131" s="7"/>
      <c r="DS131" s="7"/>
      <c r="DT131" s="74"/>
      <c r="DU131" s="7"/>
      <c r="DV131" s="7"/>
      <c r="DW131" s="7"/>
      <c r="DX131" s="7"/>
      <c r="DY131" s="7"/>
      <c r="DZ131" s="8">
        <f t="shared" si="30"/>
        <v>86.170020521356093</v>
      </c>
      <c r="EA131" s="3" t="str">
        <f t="shared" si="31"/>
        <v>Dreissigacker, Ethan</v>
      </c>
      <c r="EB131" s="2">
        <f t="shared" si="32"/>
        <v>1</v>
      </c>
      <c r="EC131" s="112">
        <f t="shared" si="28"/>
        <v>86.807963708513867</v>
      </c>
      <c r="ED131" s="29">
        <f t="shared" si="33"/>
        <v>84.779634515305091</v>
      </c>
      <c r="EE131" s="2">
        <f t="shared" si="34"/>
        <v>0</v>
      </c>
      <c r="EF131" s="46">
        <f t="shared" si="35"/>
        <v>2</v>
      </c>
      <c r="EG131" s="46">
        <f t="shared" si="36"/>
        <v>3</v>
      </c>
      <c r="EH131" s="2" t="str">
        <f t="shared" si="37"/>
        <v>VT</v>
      </c>
      <c r="EI131" s="29">
        <f>IF(COUNT(I131:Y131)&lt;5,DZ131,SUMPRODUCT(LARGE(I131:Y131,{1,2,3,4,5}))/5)</f>
        <v>86.170020521356093</v>
      </c>
      <c r="EJ131" s="29">
        <f>IF(COUNT(I131:AX131)&lt;5,DZ131,SUMPRODUCT(LARGE(I131:AX131,{1,2,3,4,5}))/5)</f>
        <v>86.170020521356093</v>
      </c>
      <c r="EK131" s="29">
        <f>IF(COUNT(I131:DY131)&lt;5,AVERAGE(I131:DY131),SUMPRODUCT(LARGE(I131:DY131,{1,2,3,4,5}))/5)</f>
        <v>86.170020521356093</v>
      </c>
      <c r="EL131" s="29">
        <f t="shared" si="38"/>
        <v>84.779634515305091</v>
      </c>
      <c r="EM131" s="116" t="str">
        <f t="shared" si="39"/>
        <v>Dreissigacker, Ethan</v>
      </c>
      <c r="EQ131"/>
    </row>
    <row r="132" spans="1:147" x14ac:dyDescent="0.25">
      <c r="A132" s="59">
        <f t="shared" si="26"/>
        <v>129</v>
      </c>
      <c r="B132" s="32" t="s">
        <v>841</v>
      </c>
      <c r="C132" s="5" t="s">
        <v>6</v>
      </c>
      <c r="D132" s="6" t="s">
        <v>67</v>
      </c>
      <c r="E132" s="6">
        <v>50.297144356813462</v>
      </c>
      <c r="F132" s="6">
        <v>50.297144356813462</v>
      </c>
      <c r="G132" s="5">
        <f t="shared" si="29"/>
        <v>0</v>
      </c>
      <c r="H132" s="8">
        <v>50.297144356813462</v>
      </c>
      <c r="I132" s="36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227"/>
      <c r="Z132" s="228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4"/>
      <c r="AP132" s="7"/>
      <c r="AQ132" s="74"/>
      <c r="AR132" s="70"/>
      <c r="AS132" s="7"/>
      <c r="AT132" s="70"/>
      <c r="AU132" s="7"/>
      <c r="AV132" s="70"/>
      <c r="AW132" s="7"/>
      <c r="AX132" s="8"/>
      <c r="AY132" s="36"/>
      <c r="AZ132" s="7"/>
      <c r="BA132" s="14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103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14"/>
      <c r="CA132" s="7"/>
      <c r="CB132" s="7"/>
      <c r="CC132" s="7"/>
      <c r="CD132" s="7"/>
      <c r="CE132" s="74"/>
      <c r="CF132" s="74"/>
      <c r="CG132" s="7"/>
      <c r="CH132" s="7"/>
      <c r="CI132" s="7"/>
      <c r="CJ132" s="7"/>
      <c r="CK132" s="101"/>
      <c r="CL132" s="74"/>
      <c r="CM132" s="74"/>
      <c r="CN132" s="74"/>
      <c r="CO132" s="7"/>
      <c r="CP132" s="74"/>
      <c r="CQ132" s="7"/>
      <c r="CR132" s="74"/>
      <c r="CS132" s="74"/>
      <c r="CT132" s="74"/>
      <c r="CU132" s="74"/>
      <c r="CV132" s="7"/>
      <c r="CW132" s="7"/>
      <c r="CX132" s="7"/>
      <c r="CY132" s="7"/>
      <c r="CZ132" s="7"/>
      <c r="DA132" s="7"/>
      <c r="DB132" s="7"/>
      <c r="DC132" s="7"/>
      <c r="DD132" s="7"/>
      <c r="DE132" s="74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8">
        <f t="shared" si="30"/>
        <v>50.297144356813462</v>
      </c>
      <c r="EA132" s="3" t="str">
        <f t="shared" si="31"/>
        <v xml:space="preserve">DRESSEL, Nathan </v>
      </c>
      <c r="EB132" s="2">
        <f t="shared" si="32"/>
        <v>0</v>
      </c>
      <c r="EC132" s="112">
        <f t="shared" si="28"/>
        <v>50.297144356813462</v>
      </c>
      <c r="ED132" s="29">
        <f t="shared" si="33"/>
        <v>0</v>
      </c>
      <c r="EE132" s="2">
        <f t="shared" si="34"/>
        <v>0</v>
      </c>
      <c r="EF132" s="46">
        <f t="shared" si="35"/>
        <v>0</v>
      </c>
      <c r="EG132" s="46">
        <f t="shared" si="36"/>
        <v>0</v>
      </c>
      <c r="EH132" s="29" t="str">
        <f t="shared" si="37"/>
        <v>UT</v>
      </c>
      <c r="EI132" s="29">
        <f>IF(COUNT(I132:Y132)&lt;5,DZ132,SUMPRODUCT(LARGE(I132:Y132,{1,2,3,4,5}))/5)</f>
        <v>50.297144356813462</v>
      </c>
      <c r="EJ132" s="29">
        <f>IF(COUNT(I132:AX132)&lt;5,DZ132,SUMPRODUCT(LARGE(I132:AX132,{1,2,3,4,5}))/5)</f>
        <v>50.297144356813462</v>
      </c>
      <c r="EK132" s="112">
        <f>IF(EG132&lt;0,AVERAGE(I132:DY132),0)</f>
        <v>0</v>
      </c>
      <c r="EL132" s="29">
        <f t="shared" si="38"/>
        <v>0</v>
      </c>
      <c r="EM132" s="116" t="str">
        <f t="shared" si="39"/>
        <v xml:space="preserve">DRESSEL, Nathan </v>
      </c>
      <c r="EQ132"/>
    </row>
    <row r="133" spans="1:147" x14ac:dyDescent="0.25">
      <c r="A133" s="59">
        <f t="shared" si="26"/>
        <v>130</v>
      </c>
      <c r="B133" s="4" t="s">
        <v>481</v>
      </c>
      <c r="C133" s="5" t="s">
        <v>6</v>
      </c>
      <c r="D133" s="6" t="s">
        <v>63</v>
      </c>
      <c r="E133" s="6">
        <v>53.741619608532481</v>
      </c>
      <c r="F133" s="6">
        <v>53.741619608532481</v>
      </c>
      <c r="G133" s="5">
        <f t="shared" si="29"/>
        <v>0</v>
      </c>
      <c r="H133" s="8">
        <v>53.741619608532481</v>
      </c>
      <c r="I133" s="107"/>
      <c r="J133" s="7"/>
      <c r="K133" s="74"/>
      <c r="L133" s="7"/>
      <c r="M133" s="74"/>
      <c r="N133" s="74"/>
      <c r="O133" s="7"/>
      <c r="P133" s="74"/>
      <c r="Q133" s="74"/>
      <c r="R133" s="74"/>
      <c r="S133" s="74"/>
      <c r="T133" s="7"/>
      <c r="U133" s="7"/>
      <c r="V133" s="74"/>
      <c r="W133" s="74"/>
      <c r="X133" s="74"/>
      <c r="Y133" s="227"/>
      <c r="Z133" s="228"/>
      <c r="AA133" s="74"/>
      <c r="AB133" s="74"/>
      <c r="AC133" s="74"/>
      <c r="AD133" s="74"/>
      <c r="AE133" s="7"/>
      <c r="AF133" s="74"/>
      <c r="AG133" s="74"/>
      <c r="AH133" s="7"/>
      <c r="AI133" s="7"/>
      <c r="AJ133" s="7"/>
      <c r="AK133" s="7"/>
      <c r="AL133" s="7"/>
      <c r="AM133" s="7"/>
      <c r="AN133" s="7"/>
      <c r="AO133" s="74"/>
      <c r="AP133" s="7"/>
      <c r="AQ133" s="74"/>
      <c r="AR133" s="101"/>
      <c r="AS133" s="7"/>
      <c r="AT133" s="101"/>
      <c r="AU133" s="7"/>
      <c r="AV133" s="101"/>
      <c r="AW133" s="7"/>
      <c r="AX133" s="8"/>
      <c r="AY133" s="36"/>
      <c r="AZ133" s="74"/>
      <c r="BA133" s="103"/>
      <c r="BB133" s="7"/>
      <c r="BC133" s="74"/>
      <c r="BD133" s="7"/>
      <c r="BE133" s="7"/>
      <c r="BF133" s="74"/>
      <c r="BG133" s="74"/>
      <c r="BH133" s="7"/>
      <c r="BI133" s="74"/>
      <c r="BJ133" s="74"/>
      <c r="BK133" s="7"/>
      <c r="BL133" s="74"/>
      <c r="BM133" s="7"/>
      <c r="BN133" s="74"/>
      <c r="BO133" s="103"/>
      <c r="BP133" s="7"/>
      <c r="BQ133" s="7"/>
      <c r="BR133" s="74"/>
      <c r="BS133" s="7"/>
      <c r="BT133" s="7"/>
      <c r="BU133" s="74"/>
      <c r="BV133" s="74"/>
      <c r="BW133" s="74"/>
      <c r="BX133" s="74"/>
      <c r="BY133" s="7"/>
      <c r="BZ133" s="74"/>
      <c r="CA133" s="7"/>
      <c r="CB133" s="74"/>
      <c r="CC133" s="74"/>
      <c r="CD133" s="74"/>
      <c r="CE133" s="7"/>
      <c r="CF133" s="74"/>
      <c r="CG133" s="74"/>
      <c r="CH133" s="7"/>
      <c r="CI133" s="7"/>
      <c r="CJ133" s="74"/>
      <c r="CK133" s="101"/>
      <c r="CL133" s="74"/>
      <c r="CM133" s="74"/>
      <c r="CN133" s="74"/>
      <c r="CO133" s="101"/>
      <c r="CP133" s="74"/>
      <c r="CQ133" s="74"/>
      <c r="CR133" s="74"/>
      <c r="CS133" s="74"/>
      <c r="CT133" s="74"/>
      <c r="CU133" s="74"/>
      <c r="CV133" s="74"/>
      <c r="CW133" s="74"/>
      <c r="CX133" s="7"/>
      <c r="CY133" s="7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  <c r="DP133" s="7"/>
      <c r="DQ133" s="74"/>
      <c r="DR133" s="7"/>
      <c r="DS133" s="7"/>
      <c r="DT133" s="74"/>
      <c r="DU133" s="74"/>
      <c r="DV133" s="74"/>
      <c r="DW133" s="74"/>
      <c r="DX133" s="74"/>
      <c r="DY133" s="74"/>
      <c r="DZ133" s="8">
        <f t="shared" si="30"/>
        <v>53.741619608532481</v>
      </c>
      <c r="EA133" s="3" t="str">
        <f t="shared" si="31"/>
        <v>Dubief, Yves</v>
      </c>
      <c r="EB133" s="2">
        <f t="shared" si="32"/>
        <v>0</v>
      </c>
      <c r="EC133" s="112">
        <f t="shared" si="28"/>
        <v>53.741619608532481</v>
      </c>
      <c r="ED133" s="29">
        <f t="shared" si="33"/>
        <v>0</v>
      </c>
      <c r="EE133" s="2">
        <f t="shared" si="34"/>
        <v>0</v>
      </c>
      <c r="EF133" s="46">
        <f t="shared" si="35"/>
        <v>0</v>
      </c>
      <c r="EG133" s="46">
        <f t="shared" si="36"/>
        <v>0</v>
      </c>
      <c r="EH133" s="2" t="str">
        <f t="shared" si="37"/>
        <v>VT</v>
      </c>
      <c r="EI133" s="29">
        <f>IF(COUNT(I133:Y133)&lt;5,DZ133,SUMPRODUCT(LARGE(I133:Y133,{1,2,3,4,5}))/5)</f>
        <v>53.741619608532481</v>
      </c>
      <c r="EJ133" s="29">
        <f>IF(COUNT(I133:AX133)&lt;5,DZ133,SUMPRODUCT(LARGE(I133:AX133,{1,2,3,4,5}))/5)</f>
        <v>53.741619608532481</v>
      </c>
      <c r="EK133" s="112">
        <f>IF(EG133&lt;0,AVERAGE(I133:DY133),0)</f>
        <v>0</v>
      </c>
      <c r="EL133" s="29">
        <f t="shared" si="38"/>
        <v>0</v>
      </c>
      <c r="EM133" s="116" t="str">
        <f t="shared" si="39"/>
        <v>Dubief, Yves</v>
      </c>
      <c r="EQ133"/>
    </row>
    <row r="134" spans="1:147" x14ac:dyDescent="0.25">
      <c r="A134" s="59">
        <f t="shared" ref="A134:A197" si="40">A133+1</f>
        <v>131</v>
      </c>
      <c r="B134" s="32" t="s">
        <v>759</v>
      </c>
      <c r="C134" s="5" t="s">
        <v>6</v>
      </c>
      <c r="D134" s="6" t="s">
        <v>87</v>
      </c>
      <c r="E134" s="6">
        <v>90.135550806114651</v>
      </c>
      <c r="F134" s="6">
        <v>90.488521205766915</v>
      </c>
      <c r="G134" s="5">
        <f t="shared" si="29"/>
        <v>6</v>
      </c>
      <c r="H134" s="8">
        <v>90.055069712413157</v>
      </c>
      <c r="I134" s="107"/>
      <c r="J134" s="7"/>
      <c r="K134" s="7"/>
      <c r="L134" s="7"/>
      <c r="M134" s="7"/>
      <c r="N134" s="7"/>
      <c r="O134" s="7"/>
      <c r="P134" s="7"/>
      <c r="Q134" s="7">
        <f>(INDEX('Race 9'!$E$8:$E$200,(MATCH($B134,'Race 9'!$B$8:$B$200,0)),1))*100</f>
        <v>89.892646690557086</v>
      </c>
      <c r="R134" s="7"/>
      <c r="S134" s="7">
        <f>(INDEX('Race 11'!$E$8:$E$200,(MATCH($B134,'Race 11'!$B$8:$B$200,0)),1))*100</f>
        <v>89.421569758656716</v>
      </c>
      <c r="T134" s="7">
        <f>(INDEX('Race 12'!$E$8:$E$200,(MATCH($B134,'Race 12'!$B$8:$B$200,0)),1))*100</f>
        <v>91.962267675144943</v>
      </c>
      <c r="U134" s="7"/>
      <c r="V134" s="7">
        <f>(INDEX('Race 14'!$E$8:$E$200,(MATCH($B134,'Race 14'!$B$8:$B$200,0)),1))*100</f>
        <v>89.265719100099901</v>
      </c>
      <c r="W134" s="7"/>
      <c r="X134" s="7"/>
      <c r="Y134" s="227"/>
      <c r="Z134" s="228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4"/>
      <c r="AP134" s="74">
        <f>(INDEX('Race 34'!$E$8:$E$200,(MATCH($B134,'Race 34'!$B$8:$B$200,0)),1))*100</f>
        <v>91.646495054021386</v>
      </c>
      <c r="AQ134" s="74">
        <f>(INDEX('Race 35'!$E$8:$E$200,(MATCH($B134,'Race 35'!$B$8:$B$200,0)),1))*100</f>
        <v>89.519626850454486</v>
      </c>
      <c r="AR134" s="70"/>
      <c r="AS134" s="7"/>
      <c r="AT134" s="70"/>
      <c r="AU134" s="7"/>
      <c r="AV134" s="70"/>
      <c r="AW134" s="7"/>
      <c r="AX134" s="8"/>
      <c r="AY134" s="36"/>
      <c r="AZ134" s="7"/>
      <c r="BA134" s="14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103"/>
      <c r="BO134" s="14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14"/>
      <c r="CA134" s="7"/>
      <c r="CB134" s="7"/>
      <c r="CC134" s="7"/>
      <c r="CD134" s="7"/>
      <c r="CE134" s="7"/>
      <c r="CF134" s="74"/>
      <c r="CG134" s="7"/>
      <c r="CH134" s="7"/>
      <c r="CI134" s="7"/>
      <c r="CJ134" s="101"/>
      <c r="CK134" s="101"/>
      <c r="CL134" s="74"/>
      <c r="CM134" s="74"/>
      <c r="CN134" s="74"/>
      <c r="CO134" s="70"/>
      <c r="CP134" s="74"/>
      <c r="CQ134" s="7"/>
      <c r="CR134" s="74"/>
      <c r="CS134" s="74"/>
      <c r="CT134" s="74"/>
      <c r="CU134" s="74"/>
      <c r="CV134" s="7"/>
      <c r="CW134" s="74"/>
      <c r="CX134" s="7"/>
      <c r="CY134" s="7"/>
      <c r="CZ134" s="74"/>
      <c r="DA134" s="7"/>
      <c r="DB134" s="74"/>
      <c r="DC134" s="7"/>
      <c r="DD134" s="7"/>
      <c r="DE134" s="74"/>
      <c r="DF134" s="74"/>
      <c r="DG134" s="74"/>
      <c r="DH134" s="74"/>
      <c r="DI134" s="74"/>
      <c r="DJ134" s="7"/>
      <c r="DK134" s="74"/>
      <c r="DL134" s="7"/>
      <c r="DM134" s="74"/>
      <c r="DN134" s="7"/>
      <c r="DO134" s="74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8">
        <f t="shared" si="30"/>
        <v>90.28472085482241</v>
      </c>
      <c r="EA134" s="3" t="str">
        <f t="shared" si="31"/>
        <v>Durtschi, Max</v>
      </c>
      <c r="EB134" s="2">
        <f t="shared" si="32"/>
        <v>1</v>
      </c>
      <c r="EC134" s="112">
        <f t="shared" si="28"/>
        <v>90.055069712413157</v>
      </c>
      <c r="ED134" s="29">
        <f t="shared" si="33"/>
        <v>89.028454551128419</v>
      </c>
      <c r="EE134" s="2">
        <f t="shared" si="34"/>
        <v>4</v>
      </c>
      <c r="EF134" s="46">
        <f t="shared" si="35"/>
        <v>6</v>
      </c>
      <c r="EG134" s="46">
        <f t="shared" si="36"/>
        <v>6</v>
      </c>
      <c r="EH134" s="2" t="str">
        <f t="shared" si="37"/>
        <v>CA</v>
      </c>
      <c r="EI134" s="29">
        <f>IF(COUNT(I134:Y134)&lt;5,DZ134,SUMPRODUCT(LARGE(I134:Y134,{1,2,3,4,5}))/5)</f>
        <v>90.28472085482241</v>
      </c>
      <c r="EJ134" s="29">
        <f>IF(COUNT(I134:AX134)&lt;5,DZ134,SUMPRODUCT(LARGE(I134:AX134,{1,2,3,4,5}))/5)</f>
        <v>90.488521205766915</v>
      </c>
      <c r="EK134" s="29">
        <f>IF(COUNT(I134:DY134)&lt;5,AVERAGE(I134:DY134),SUMPRODUCT(LARGE(I134:DY134,{1,2,3,4,5}))/5)</f>
        <v>90.488521205766915</v>
      </c>
      <c r="EL134" s="29">
        <f t="shared" si="38"/>
        <v>89.028454551128419</v>
      </c>
      <c r="EM134" s="116" t="str">
        <f t="shared" si="39"/>
        <v>Durtschi, Max</v>
      </c>
      <c r="EQ134"/>
    </row>
    <row r="135" spans="1:147" x14ac:dyDescent="0.25">
      <c r="A135" s="59">
        <f t="shared" si="40"/>
        <v>132</v>
      </c>
      <c r="B135" s="32" t="s">
        <v>1349</v>
      </c>
      <c r="C135" s="106" t="s">
        <v>6</v>
      </c>
      <c r="D135" s="187" t="s">
        <v>87</v>
      </c>
      <c r="E135" s="6">
        <v>0</v>
      </c>
      <c r="F135" s="6">
        <v>0</v>
      </c>
      <c r="G135" s="5">
        <f t="shared" si="29"/>
        <v>2</v>
      </c>
      <c r="H135" s="8">
        <v>0</v>
      </c>
      <c r="I135" s="107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229"/>
      <c r="Z135" s="230"/>
      <c r="AA135" s="74"/>
      <c r="AB135" s="74"/>
      <c r="AC135" s="74"/>
      <c r="AD135" s="103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101"/>
      <c r="AS135" s="74"/>
      <c r="AT135" s="101"/>
      <c r="AU135" s="74"/>
      <c r="AV135" s="101"/>
      <c r="AW135" s="74"/>
      <c r="AX135" s="183"/>
      <c r="AY135" s="107"/>
      <c r="AZ135" s="74"/>
      <c r="BA135" s="103"/>
      <c r="BB135" s="74"/>
      <c r="BC135" s="74"/>
      <c r="BD135" s="7"/>
      <c r="BE135" s="7"/>
      <c r="BF135" s="74"/>
      <c r="BG135" s="74"/>
      <c r="BH135" s="74"/>
      <c r="BI135" s="74"/>
      <c r="BJ135" s="74"/>
      <c r="BK135" s="74"/>
      <c r="BL135" s="74"/>
      <c r="BM135" s="74"/>
      <c r="BN135" s="103"/>
      <c r="BO135" s="103"/>
      <c r="BP135" s="7"/>
      <c r="BQ135" s="7"/>
      <c r="BR135" s="74"/>
      <c r="BS135" s="7"/>
      <c r="BT135" s="7"/>
      <c r="BU135" s="74"/>
      <c r="BV135" s="74"/>
      <c r="BW135" s="74"/>
      <c r="BX135" s="74"/>
      <c r="BY135" s="74"/>
      <c r="BZ135" s="103"/>
      <c r="CA135" s="7"/>
      <c r="CB135" s="74"/>
      <c r="CC135" s="74"/>
      <c r="CD135" s="74"/>
      <c r="CE135" s="74"/>
      <c r="CF135" s="74"/>
      <c r="CG135" s="74"/>
      <c r="CH135" s="74"/>
      <c r="CI135" s="74"/>
      <c r="CJ135" s="74"/>
      <c r="CK135" s="101"/>
      <c r="CL135" s="74"/>
      <c r="CM135" s="74"/>
      <c r="CN135" s="74"/>
      <c r="CO135" s="101"/>
      <c r="CP135" s="74"/>
      <c r="CQ135" s="74"/>
      <c r="CR135" s="74"/>
      <c r="CS135" s="74"/>
      <c r="CT135" s="74">
        <f>(INDEX('Race 90'!$E$8:$E$200,(MATCH($B135,'Race 90'!$B$8:$B$200,0)),1))*100</f>
        <v>56.563482389115869</v>
      </c>
      <c r="CU135" s="74">
        <f>(INDEX('Race 91'!$E$8:$E$200,(MATCH($B135,'Race 91'!$B$8:$B$200,0)),1))*100</f>
        <v>56.125723651381165</v>
      </c>
      <c r="CV135" s="74"/>
      <c r="CW135" s="74"/>
      <c r="CX135" s="7"/>
      <c r="CY135" s="7"/>
      <c r="CZ135" s="74"/>
      <c r="DA135" s="74"/>
      <c r="DB135" s="74"/>
      <c r="DC135" s="74"/>
      <c r="DD135" s="74"/>
      <c r="DE135" s="74"/>
      <c r="DF135" s="74"/>
      <c r="DG135" s="74"/>
      <c r="DH135" s="74"/>
      <c r="DI135" s="74"/>
      <c r="DJ135" s="74"/>
      <c r="DK135" s="74"/>
      <c r="DL135" s="74"/>
      <c r="DM135" s="74"/>
      <c r="DN135" s="74"/>
      <c r="DO135" s="74"/>
      <c r="DP135" s="74"/>
      <c r="DQ135" s="74"/>
      <c r="DR135" s="74"/>
      <c r="DS135" s="74"/>
      <c r="DT135" s="74"/>
      <c r="DU135" s="74"/>
      <c r="DV135" s="74"/>
      <c r="DW135" s="74"/>
      <c r="DX135" s="74"/>
      <c r="DY135" s="74"/>
      <c r="DZ135" s="183">
        <f t="shared" si="30"/>
        <v>56.344603020248513</v>
      </c>
      <c r="EA135" s="189" t="str">
        <f t="shared" si="31"/>
        <v>Eastwood, Dave</v>
      </c>
      <c r="EB135" s="190">
        <f t="shared" si="32"/>
        <v>1</v>
      </c>
      <c r="EC135" s="112">
        <f t="shared" si="28"/>
        <v>0</v>
      </c>
      <c r="ED135" s="191">
        <f t="shared" si="33"/>
        <v>55.435461452428683</v>
      </c>
      <c r="EE135" s="190">
        <f t="shared" si="34"/>
        <v>0</v>
      </c>
      <c r="EF135" s="192">
        <f t="shared" si="35"/>
        <v>0</v>
      </c>
      <c r="EG135" s="192">
        <f t="shared" si="36"/>
        <v>2</v>
      </c>
      <c r="EH135" s="190" t="str">
        <f t="shared" si="37"/>
        <v>CA</v>
      </c>
      <c r="EI135" s="191">
        <f>IF(COUNT(I135:AD135)&lt;5,DZ135,SUMPRODUCT(LARGE(I135:AD135,{1,2,3,4,5}))/5)</f>
        <v>56.344603020248513</v>
      </c>
      <c r="EJ135" s="191">
        <f>IF(COUNT(I135:BE135)&lt;5,DZ135,SUMPRODUCT(LARGE(I135:BE135,{1,2,3,4,5}))/5)</f>
        <v>56.344603020248513</v>
      </c>
      <c r="EK135" s="29">
        <f>IF(COUNT(I135:DY135)&lt;5,AVERAGE(I135:DY135),SUMPRODUCT(LARGE(I135:DY135,{1,2,3,4,5}))/5)</f>
        <v>56.344603020248513</v>
      </c>
      <c r="EL135" s="191">
        <f t="shared" si="38"/>
        <v>55.435461452428683</v>
      </c>
      <c r="EM135" s="193" t="str">
        <f t="shared" si="39"/>
        <v>Eastwood, Dave</v>
      </c>
      <c r="EQ135"/>
    </row>
    <row r="136" spans="1:147" x14ac:dyDescent="0.25">
      <c r="A136" s="59">
        <f t="shared" si="40"/>
        <v>133</v>
      </c>
      <c r="B136" s="32" t="s">
        <v>872</v>
      </c>
      <c r="C136" s="5" t="s">
        <v>6</v>
      </c>
      <c r="D136" s="6" t="s">
        <v>63</v>
      </c>
      <c r="E136" s="6">
        <v>57.232444635729301</v>
      </c>
      <c r="F136" s="6">
        <v>57.232444635729301</v>
      </c>
      <c r="G136" s="5">
        <f t="shared" si="29"/>
        <v>0</v>
      </c>
      <c r="H136" s="8">
        <v>57.232444635729301</v>
      </c>
      <c r="I136" s="36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227"/>
      <c r="Z136" s="228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4"/>
      <c r="AP136" s="7"/>
      <c r="AQ136" s="74"/>
      <c r="AR136" s="70"/>
      <c r="AS136" s="7"/>
      <c r="AT136" s="70"/>
      <c r="AU136" s="7"/>
      <c r="AV136" s="70"/>
      <c r="AW136" s="7"/>
      <c r="AX136" s="8"/>
      <c r="AY136" s="36"/>
      <c r="AZ136" s="7"/>
      <c r="BA136" s="14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103"/>
      <c r="BO136" s="14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14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101"/>
      <c r="CL136" s="74"/>
      <c r="CM136" s="74"/>
      <c r="CN136" s="74"/>
      <c r="CO136" s="70"/>
      <c r="CP136" s="74"/>
      <c r="CQ136" s="7"/>
      <c r="CR136" s="74"/>
      <c r="CS136" s="74"/>
      <c r="CT136" s="74"/>
      <c r="CU136" s="74"/>
      <c r="CV136" s="7"/>
      <c r="CW136" s="7"/>
      <c r="CX136" s="7"/>
      <c r="CY136" s="7"/>
      <c r="CZ136" s="7"/>
      <c r="DA136" s="7"/>
      <c r="DB136" s="7"/>
      <c r="DC136" s="7"/>
      <c r="DD136" s="7"/>
      <c r="DE136" s="74"/>
      <c r="DF136" s="74"/>
      <c r="DG136" s="74"/>
      <c r="DH136" s="7"/>
      <c r="DI136" s="74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8">
        <f t="shared" si="30"/>
        <v>57.232444635729301</v>
      </c>
      <c r="EA136" s="3" t="str">
        <f t="shared" si="31"/>
        <v>Eberg, Chris</v>
      </c>
      <c r="EB136" s="2">
        <f t="shared" si="32"/>
        <v>0</v>
      </c>
      <c r="EC136" s="112">
        <f t="shared" si="28"/>
        <v>57.232444635729301</v>
      </c>
      <c r="ED136" s="29">
        <f t="shared" si="33"/>
        <v>0</v>
      </c>
      <c r="EE136" s="2">
        <f t="shared" si="34"/>
        <v>0</v>
      </c>
      <c r="EF136" s="46">
        <f t="shared" si="35"/>
        <v>0</v>
      </c>
      <c r="EG136" s="46">
        <f t="shared" si="36"/>
        <v>0</v>
      </c>
      <c r="EH136" s="29" t="str">
        <f t="shared" si="37"/>
        <v>VT</v>
      </c>
      <c r="EI136" s="29">
        <f>IF(COUNT(I136:Y136)&lt;5,DZ136,SUMPRODUCT(LARGE(I136:Y136,{1,2,3,4,5}))/5)</f>
        <v>57.232444635729301</v>
      </c>
      <c r="EJ136" s="29">
        <f>IF(COUNT(I136:AX136)&lt;5,DZ136,SUMPRODUCT(LARGE(I136:AX136,{1,2,3,4,5}))/5)</f>
        <v>57.232444635729301</v>
      </c>
      <c r="EK136" s="112">
        <f>IF(EG136&lt;0,AVERAGE(I136:DY136),0)</f>
        <v>0</v>
      </c>
      <c r="EL136" s="29">
        <f t="shared" si="38"/>
        <v>0</v>
      </c>
      <c r="EM136" s="116" t="str">
        <f t="shared" si="39"/>
        <v>Eberg, Chris</v>
      </c>
      <c r="EQ136"/>
    </row>
    <row r="137" spans="1:147" x14ac:dyDescent="0.25">
      <c r="A137" s="59">
        <f t="shared" si="40"/>
        <v>134</v>
      </c>
      <c r="B137" s="4" t="s">
        <v>1057</v>
      </c>
      <c r="C137" s="5" t="s">
        <v>6</v>
      </c>
      <c r="D137" s="5" t="s">
        <v>87</v>
      </c>
      <c r="E137" s="6">
        <v>53.490303573813378</v>
      </c>
      <c r="F137" s="6">
        <v>55.973220451445926</v>
      </c>
      <c r="G137" s="5">
        <f t="shared" si="29"/>
        <v>4</v>
      </c>
      <c r="H137" s="60">
        <v>54.920392320597955</v>
      </c>
      <c r="I137" s="107">
        <f>(INDEX('Race 1'!$E$8:$E$200,(MATCH($B137,'Race 1'!$B$8:$B$200,0)),1))*100</f>
        <v>53.490303573813378</v>
      </c>
      <c r="J137" s="7"/>
      <c r="K137" s="7"/>
      <c r="L137" s="7"/>
      <c r="M137" s="7"/>
      <c r="N137" s="7"/>
      <c r="O137" s="7"/>
      <c r="P137" s="7"/>
      <c r="Q137" s="74"/>
      <c r="R137" s="7"/>
      <c r="S137" s="7"/>
      <c r="T137" s="7"/>
      <c r="U137" s="7"/>
      <c r="V137" s="7"/>
      <c r="W137" s="7"/>
      <c r="X137" s="7"/>
      <c r="Y137" s="227"/>
      <c r="Z137" s="228"/>
      <c r="AA137" s="7"/>
      <c r="AB137" s="7"/>
      <c r="AC137" s="7"/>
      <c r="AD137" s="74">
        <f>(INDEX('Race 22'!$E$8:$E$200,(MATCH($B137,'Race 22'!$B$8:$B$200,0)),1))*100</f>
        <v>58.456137329078473</v>
      </c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0"/>
      <c r="AS137" s="7"/>
      <c r="AT137" s="70"/>
      <c r="AU137" s="7"/>
      <c r="AV137" s="70"/>
      <c r="AW137" s="7"/>
      <c r="AX137" s="183"/>
      <c r="AY137" s="36"/>
      <c r="AZ137" s="7"/>
      <c r="BA137" s="103"/>
      <c r="BB137" s="74"/>
      <c r="BC137" s="74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14"/>
      <c r="BO137" s="14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14"/>
      <c r="CA137" s="7"/>
      <c r="CB137" s="7"/>
      <c r="CC137" s="74"/>
      <c r="CD137" s="7"/>
      <c r="CE137" s="7"/>
      <c r="CF137" s="7"/>
      <c r="CG137" s="7"/>
      <c r="CH137" s="7"/>
      <c r="CI137" s="7"/>
      <c r="CJ137" s="7"/>
      <c r="CK137" s="101"/>
      <c r="CL137" s="74"/>
      <c r="CM137" s="74"/>
      <c r="CN137" s="74"/>
      <c r="CO137" s="70"/>
      <c r="CP137" s="74"/>
      <c r="CQ137" s="7"/>
      <c r="CR137" s="74">
        <f>(INDEX('Race 88'!$E$8:$E$200,(MATCH($B137,'Race 88'!$B$8:$B$200,0)),1))*100</f>
        <v>55.85499536533969</v>
      </c>
      <c r="CS137" s="74">
        <f>(INDEX('Race 89'!$E$8:$E$200,(MATCH($B137,'Race 89'!$B$8:$B$200,0)),1))*100</f>
        <v>55.418549305901578</v>
      </c>
      <c r="CT137" s="74"/>
      <c r="CU137" s="74"/>
      <c r="CV137" s="74"/>
      <c r="CW137" s="7"/>
      <c r="CX137" s="7"/>
      <c r="CY137" s="7"/>
      <c r="CZ137" s="7"/>
      <c r="DA137" s="7"/>
      <c r="DB137" s="7"/>
      <c r="DC137" s="7"/>
      <c r="DD137" s="7"/>
      <c r="DE137" s="74"/>
      <c r="DF137" s="74"/>
      <c r="DG137" s="74"/>
      <c r="DH137" s="74"/>
      <c r="DI137" s="74"/>
      <c r="DJ137" s="7"/>
      <c r="DK137" s="7"/>
      <c r="DL137" s="7"/>
      <c r="DM137" s="74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8">
        <f t="shared" si="30"/>
        <v>55.804996393533287</v>
      </c>
      <c r="EA137" s="3" t="str">
        <f t="shared" si="31"/>
        <v xml:space="preserve">Eckert, Rik </v>
      </c>
      <c r="EB137" s="2">
        <f t="shared" si="32"/>
        <v>1</v>
      </c>
      <c r="EC137" s="112">
        <f t="shared" si="28"/>
        <v>54.920392320597955</v>
      </c>
      <c r="ED137" s="29">
        <f t="shared" si="33"/>
        <v>54.904561583562852</v>
      </c>
      <c r="EE137" s="2">
        <f t="shared" si="34"/>
        <v>2</v>
      </c>
      <c r="EF137" s="46">
        <f t="shared" si="35"/>
        <v>2</v>
      </c>
      <c r="EG137" s="46">
        <f t="shared" si="36"/>
        <v>4</v>
      </c>
      <c r="EH137" s="2" t="str">
        <f t="shared" si="37"/>
        <v>CA</v>
      </c>
      <c r="EI137" s="29">
        <f>IF(COUNT(I137:Y137)&lt;5,DZ137,SUMPRODUCT(LARGE(I137:Y137,{1,2,3,4,5}))/5)</f>
        <v>55.804996393533287</v>
      </c>
      <c r="EJ137" s="29">
        <f>IF(COUNT(I137:AX137)&lt;5,DZ137,SUMPRODUCT(LARGE(I137:AX137,{1,2,3,4,5}))/5)</f>
        <v>55.804996393533287</v>
      </c>
      <c r="EK137" s="29">
        <f>IF(COUNT(I137:DY137)&lt;5,AVERAGE(I137:DY137),SUMPRODUCT(LARGE(I137:DY137,{1,2,3,4,5}))/5)</f>
        <v>55.804996393533287</v>
      </c>
      <c r="EL137" s="29">
        <f t="shared" si="38"/>
        <v>54.904561583562852</v>
      </c>
      <c r="EM137" s="116" t="str">
        <f t="shared" si="39"/>
        <v xml:space="preserve">Eckert, Rik </v>
      </c>
      <c r="EQ137"/>
    </row>
    <row r="138" spans="1:147" x14ac:dyDescent="0.25">
      <c r="A138" s="59">
        <f t="shared" si="40"/>
        <v>135</v>
      </c>
      <c r="B138" s="32" t="s">
        <v>1083</v>
      </c>
      <c r="C138" s="5" t="s">
        <v>6</v>
      </c>
      <c r="D138" s="6" t="s">
        <v>69</v>
      </c>
      <c r="E138" s="6">
        <v>48.09327047457699</v>
      </c>
      <c r="F138" s="6">
        <v>50.01433796395763</v>
      </c>
      <c r="G138" s="5">
        <f t="shared" si="29"/>
        <v>5</v>
      </c>
      <c r="H138" s="8">
        <v>48.09327047457699</v>
      </c>
      <c r="I138" s="107"/>
      <c r="J138" s="7"/>
      <c r="K138" s="74"/>
      <c r="L138" s="7"/>
      <c r="M138" s="74"/>
      <c r="N138" s="74"/>
      <c r="O138" s="7"/>
      <c r="P138" s="74"/>
      <c r="Q138" s="74"/>
      <c r="R138" s="74"/>
      <c r="S138" s="74"/>
      <c r="T138" s="7"/>
      <c r="U138" s="7"/>
      <c r="V138" s="74"/>
      <c r="W138" s="7"/>
      <c r="X138" s="74"/>
      <c r="Y138" s="227"/>
      <c r="Z138" s="228"/>
      <c r="AA138" s="74"/>
      <c r="AB138" s="74"/>
      <c r="AC138" s="74"/>
      <c r="AD138" s="74"/>
      <c r="AE138" s="7"/>
      <c r="AF138" s="74"/>
      <c r="AG138" s="74"/>
      <c r="AH138" s="7"/>
      <c r="AI138" s="7"/>
      <c r="AJ138" s="7"/>
      <c r="AK138" s="7"/>
      <c r="AL138" s="7"/>
      <c r="AM138" s="74">
        <f>(INDEX('Race 31'!$E$8:$E$200,(MATCH($B138,'Race 31'!$B$8:$B$200,0)),1))*100</f>
        <v>46.550830843083688</v>
      </c>
      <c r="AN138" s="74">
        <f>(INDEX('Race 32'!$E$8:$E$200,(MATCH($B138,'Race 32'!$B$8:$B$200,0)),1))*100</f>
        <v>53.477845084831564</v>
      </c>
      <c r="AO138" s="74"/>
      <c r="AP138" s="7"/>
      <c r="AQ138" s="74"/>
      <c r="AR138" s="74"/>
      <c r="AS138" s="7"/>
      <c r="AT138" s="101"/>
      <c r="AU138" s="7"/>
      <c r="AV138" s="101"/>
      <c r="AW138" s="7"/>
      <c r="AX138" s="8"/>
      <c r="AY138" s="36"/>
      <c r="AZ138" s="74"/>
      <c r="BA138" s="103"/>
      <c r="BB138" s="74"/>
      <c r="BC138" s="74"/>
      <c r="BD138" s="7"/>
      <c r="BE138" s="7"/>
      <c r="BF138" s="74"/>
      <c r="BG138" s="7"/>
      <c r="BH138" s="74"/>
      <c r="BI138" s="74"/>
      <c r="BJ138" s="7"/>
      <c r="BK138" s="7"/>
      <c r="BL138" s="7"/>
      <c r="BM138" s="7"/>
      <c r="BN138" s="103"/>
      <c r="BO138" s="103"/>
      <c r="BP138" s="7"/>
      <c r="BQ138" s="7"/>
      <c r="BR138" s="74"/>
      <c r="BS138" s="7"/>
      <c r="BT138" s="7"/>
      <c r="BU138" s="74"/>
      <c r="BV138" s="74"/>
      <c r="BW138" s="74"/>
      <c r="BX138" s="74"/>
      <c r="BY138" s="74"/>
      <c r="BZ138" s="103"/>
      <c r="CA138" s="7">
        <f>(INDEX('Race 71'!$E$8:$E$200,(MATCH($B138,'Race 71'!$B$8:$B$200,0)),1))*100</f>
        <v>61.080933417455221</v>
      </c>
      <c r="CB138" s="7"/>
      <c r="CC138" s="7"/>
      <c r="CD138" s="7"/>
      <c r="CE138" s="74"/>
      <c r="CF138" s="74"/>
      <c r="CG138" s="74"/>
      <c r="CH138" s="7"/>
      <c r="CI138" s="74"/>
      <c r="CJ138" s="74"/>
      <c r="CK138" s="101">
        <f>(INDEX('Race 81'!$E$8:$E$200,(MATCH($B138,'Race 81'!$B$8:$B$200,0)),1))*100</f>
        <v>50.245666430631154</v>
      </c>
      <c r="CL138" s="74">
        <f>(INDEX('Race 82'!$E$8:$E$200,(MATCH($B138,'Race 82'!$B$8:$B$200,0)),1))*100</f>
        <v>64.828317447240039</v>
      </c>
      <c r="CM138" s="74"/>
      <c r="CN138" s="74"/>
      <c r="CO138" s="101"/>
      <c r="CP138" s="74"/>
      <c r="CQ138" s="74"/>
      <c r="CR138" s="74"/>
      <c r="CS138" s="74"/>
      <c r="CT138" s="74"/>
      <c r="CU138" s="74"/>
      <c r="CV138" s="74"/>
      <c r="CW138" s="74"/>
      <c r="CX138" s="7"/>
      <c r="CY138" s="7"/>
      <c r="CZ138" s="74"/>
      <c r="DA138" s="74"/>
      <c r="DB138" s="74"/>
      <c r="DC138" s="74"/>
      <c r="DD138" s="74"/>
      <c r="DE138" s="74"/>
      <c r="DF138" s="74"/>
      <c r="DG138" s="74"/>
      <c r="DH138" s="74"/>
      <c r="DI138" s="74"/>
      <c r="DJ138" s="74"/>
      <c r="DK138" s="74"/>
      <c r="DL138" s="74"/>
      <c r="DM138" s="74"/>
      <c r="DN138" s="74"/>
      <c r="DO138" s="74"/>
      <c r="DP138" s="74"/>
      <c r="DQ138" s="74"/>
      <c r="DR138" s="7"/>
      <c r="DS138" s="7"/>
      <c r="DT138" s="74"/>
      <c r="DU138" s="74"/>
      <c r="DV138" s="74"/>
      <c r="DW138" s="74"/>
      <c r="DX138" s="74"/>
      <c r="DY138" s="74"/>
      <c r="DZ138" s="8">
        <f t="shared" si="30"/>
        <v>55.236718644648342</v>
      </c>
      <c r="EA138" s="3" t="str">
        <f t="shared" si="31"/>
        <v>ECON, Eugene</v>
      </c>
      <c r="EB138" s="2">
        <f t="shared" si="32"/>
        <v>1</v>
      </c>
      <c r="EC138" s="112">
        <f t="shared" si="28"/>
        <v>48.09327047457699</v>
      </c>
      <c r="ED138" s="29">
        <f t="shared" si="33"/>
        <v>54.345453211971986</v>
      </c>
      <c r="EE138" s="2">
        <f t="shared" si="34"/>
        <v>0</v>
      </c>
      <c r="EF138" s="46">
        <f t="shared" si="35"/>
        <v>2</v>
      </c>
      <c r="EG138" s="46">
        <f t="shared" si="36"/>
        <v>5</v>
      </c>
      <c r="EH138" s="2" t="str">
        <f t="shared" si="37"/>
        <v>WA</v>
      </c>
      <c r="EI138" s="29">
        <f>IF(COUNT(I138:Y138)&lt;5,DZ138,SUMPRODUCT(LARGE(I138:Y138,{1,2,3,4,5}))/5)</f>
        <v>55.236718644648342</v>
      </c>
      <c r="EJ138" s="29">
        <f>IF(COUNT(I138:AX138)&lt;5,DZ138,SUMPRODUCT(LARGE(I138:AX138,{1,2,3,4,5}))/5)</f>
        <v>55.236718644648342</v>
      </c>
      <c r="EK138" s="29">
        <f>IF(COUNT(I138:DY138)&lt;5,AVERAGE(I138:DY138),SUMPRODUCT(LARGE(I138:DY138,{1,2,3,4,5}))/5)</f>
        <v>55.236718644648327</v>
      </c>
      <c r="EL138" s="29">
        <f t="shared" si="38"/>
        <v>54.345453211971986</v>
      </c>
      <c r="EM138" s="116" t="str">
        <f t="shared" si="39"/>
        <v>ECON, Eugene</v>
      </c>
      <c r="EQ138"/>
    </row>
    <row r="139" spans="1:147" x14ac:dyDescent="0.25">
      <c r="A139" s="59">
        <f t="shared" si="40"/>
        <v>136</v>
      </c>
      <c r="B139" s="32" t="s">
        <v>799</v>
      </c>
      <c r="C139" s="5" t="s">
        <v>6</v>
      </c>
      <c r="D139" s="6" t="s">
        <v>62</v>
      </c>
      <c r="E139" s="6">
        <v>27.027936653489892</v>
      </c>
      <c r="F139" s="6">
        <v>27.027936653489892</v>
      </c>
      <c r="G139" s="5">
        <f t="shared" si="29"/>
        <v>0</v>
      </c>
      <c r="H139" s="8">
        <v>27.027936653489892</v>
      </c>
      <c r="I139" s="36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227"/>
      <c r="Z139" s="228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4"/>
      <c r="AP139" s="7"/>
      <c r="AQ139" s="74"/>
      <c r="AR139" s="70"/>
      <c r="AS139" s="7"/>
      <c r="AT139" s="70"/>
      <c r="AU139" s="7"/>
      <c r="AV139" s="70"/>
      <c r="AW139" s="7"/>
      <c r="AX139" s="8"/>
      <c r="AY139" s="36"/>
      <c r="AZ139" s="7"/>
      <c r="BA139" s="14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103"/>
      <c r="BO139" s="14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101"/>
      <c r="CL139" s="74"/>
      <c r="CM139" s="74"/>
      <c r="CN139" s="74"/>
      <c r="CO139" s="70"/>
      <c r="CP139" s="74"/>
      <c r="CQ139" s="7"/>
      <c r="CR139" s="74"/>
      <c r="CS139" s="74"/>
      <c r="CT139" s="74"/>
      <c r="CU139" s="74"/>
      <c r="CV139" s="7"/>
      <c r="CW139" s="7"/>
      <c r="CX139" s="7"/>
      <c r="CY139" s="7"/>
      <c r="CZ139" s="7"/>
      <c r="DA139" s="7"/>
      <c r="DB139" s="7"/>
      <c r="DC139" s="7"/>
      <c r="DD139" s="7"/>
      <c r="DE139" s="74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8">
        <f t="shared" si="30"/>
        <v>27.027936653489892</v>
      </c>
      <c r="EA139" s="22" t="str">
        <f t="shared" si="31"/>
        <v>Edwards, Dan</v>
      </c>
      <c r="EB139" s="56">
        <f t="shared" si="32"/>
        <v>0</v>
      </c>
      <c r="EC139" s="112">
        <f t="shared" si="28"/>
        <v>27.027936653489892</v>
      </c>
      <c r="ED139" s="112">
        <f t="shared" si="33"/>
        <v>0</v>
      </c>
      <c r="EE139" s="56">
        <f t="shared" si="34"/>
        <v>0</v>
      </c>
      <c r="EF139" s="111">
        <f t="shared" si="35"/>
        <v>0</v>
      </c>
      <c r="EG139" s="111">
        <f t="shared" si="36"/>
        <v>0</v>
      </c>
      <c r="EH139" s="112" t="str">
        <f t="shared" si="37"/>
        <v>CO</v>
      </c>
      <c r="EI139" s="112">
        <f>IF(COUNT(I139:Y139)&lt;5,DZ139,SUMPRODUCT(LARGE(I139:Y139,{1,2,3,4,5}))/5)</f>
        <v>27.027936653489892</v>
      </c>
      <c r="EJ139" s="112">
        <f>IF(COUNT(I139:AX139)&lt;5,DZ139,SUMPRODUCT(LARGE(I139:AX139,{1,2,3,4,5}))/5)</f>
        <v>27.027936653489892</v>
      </c>
      <c r="EK139" s="112">
        <f>IF(EG139&lt;0,AVERAGE(I139:DY139),0)</f>
        <v>0</v>
      </c>
      <c r="EL139" s="112">
        <f t="shared" si="38"/>
        <v>0</v>
      </c>
      <c r="EM139" s="163" t="str">
        <f t="shared" si="39"/>
        <v>Edwards, Dan</v>
      </c>
      <c r="EQ139"/>
    </row>
    <row r="140" spans="1:147" x14ac:dyDescent="0.25">
      <c r="A140" s="59">
        <f t="shared" si="40"/>
        <v>137</v>
      </c>
      <c r="B140" s="32" t="s">
        <v>1005</v>
      </c>
      <c r="C140" s="106" t="s">
        <v>6</v>
      </c>
      <c r="D140" s="187" t="s">
        <v>59</v>
      </c>
      <c r="E140" s="6">
        <v>64.457787518689074</v>
      </c>
      <c r="F140" s="6">
        <v>64.457787518689074</v>
      </c>
      <c r="G140" s="5">
        <f t="shared" si="29"/>
        <v>1</v>
      </c>
      <c r="H140" s="8">
        <v>0</v>
      </c>
      <c r="I140" s="107">
        <f>(INDEX('Race 1'!$E$8:$E$200,(MATCH($B140,'Race 1'!$B$8:$B$200,0)),1))*100</f>
        <v>64.457787518689074</v>
      </c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229"/>
      <c r="Z140" s="230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101"/>
      <c r="AS140" s="74"/>
      <c r="AT140" s="101"/>
      <c r="AU140" s="74"/>
      <c r="AV140" s="101"/>
      <c r="AW140" s="74"/>
      <c r="AX140" s="8"/>
      <c r="AY140" s="36"/>
      <c r="AZ140" s="74"/>
      <c r="BA140" s="103"/>
      <c r="BB140" s="74"/>
      <c r="BC140" s="74"/>
      <c r="BD140" s="7"/>
      <c r="BE140" s="7"/>
      <c r="BF140" s="74"/>
      <c r="BG140" s="74"/>
      <c r="BH140" s="74"/>
      <c r="BI140" s="74"/>
      <c r="BJ140" s="74"/>
      <c r="BK140" s="74"/>
      <c r="BL140" s="74"/>
      <c r="BM140" s="74"/>
      <c r="BN140" s="103"/>
      <c r="BO140" s="103"/>
      <c r="BP140" s="7"/>
      <c r="BQ140" s="7"/>
      <c r="BR140" s="74"/>
      <c r="BS140" s="7"/>
      <c r="BT140" s="7"/>
      <c r="BU140" s="74"/>
      <c r="BV140" s="74"/>
      <c r="BW140" s="74"/>
      <c r="BX140" s="74"/>
      <c r="BY140" s="74"/>
      <c r="BZ140" s="103"/>
      <c r="CA140" s="7"/>
      <c r="CB140" s="74"/>
      <c r="CC140" s="74"/>
      <c r="CD140" s="74"/>
      <c r="CE140" s="74"/>
      <c r="CF140" s="74"/>
      <c r="CG140" s="74"/>
      <c r="CH140" s="74"/>
      <c r="CI140" s="101"/>
      <c r="CJ140" s="74"/>
      <c r="CK140" s="101"/>
      <c r="CL140" s="74"/>
      <c r="CM140" s="74"/>
      <c r="CN140" s="74"/>
      <c r="CO140" s="101"/>
      <c r="CP140" s="74"/>
      <c r="CQ140" s="74"/>
      <c r="CR140" s="74"/>
      <c r="CS140" s="74"/>
      <c r="CT140" s="74"/>
      <c r="CU140" s="74"/>
      <c r="CV140" s="74"/>
      <c r="CW140" s="74"/>
      <c r="CX140" s="7"/>
      <c r="CY140" s="7"/>
      <c r="CZ140" s="74"/>
      <c r="DA140" s="74"/>
      <c r="DB140" s="74"/>
      <c r="DC140" s="74"/>
      <c r="DD140" s="74"/>
      <c r="DE140" s="74"/>
      <c r="DF140" s="74"/>
      <c r="DG140" s="74"/>
      <c r="DH140" s="74"/>
      <c r="DI140" s="74"/>
      <c r="DJ140" s="74"/>
      <c r="DK140" s="74"/>
      <c r="DL140" s="74"/>
      <c r="DM140" s="74"/>
      <c r="DN140" s="74"/>
      <c r="DO140" s="74"/>
      <c r="DP140" s="74"/>
      <c r="DQ140" s="74"/>
      <c r="DR140" s="74"/>
      <c r="DS140" s="74"/>
      <c r="DT140" s="74"/>
      <c r="DU140" s="74"/>
      <c r="DV140" s="74"/>
      <c r="DW140" s="74"/>
      <c r="DX140" s="74"/>
      <c r="DY140" s="74"/>
      <c r="DZ140" s="8">
        <f t="shared" si="30"/>
        <v>64.457787518689074</v>
      </c>
      <c r="EA140" s="3" t="str">
        <f t="shared" si="31"/>
        <v xml:space="preserve">EDWARDS, Matt </v>
      </c>
      <c r="EB140" s="2">
        <f t="shared" si="32"/>
        <v>1</v>
      </c>
      <c r="EC140" s="112">
        <f t="shared" si="28"/>
        <v>0</v>
      </c>
      <c r="ED140" s="29">
        <f t="shared" si="33"/>
        <v>63.417736637828682</v>
      </c>
      <c r="EE140" s="2">
        <f t="shared" si="34"/>
        <v>1</v>
      </c>
      <c r="EF140" s="46">
        <f t="shared" si="35"/>
        <v>1</v>
      </c>
      <c r="EG140" s="46">
        <f t="shared" si="36"/>
        <v>1</v>
      </c>
      <c r="EH140" s="29" t="str">
        <f t="shared" si="37"/>
        <v>MT</v>
      </c>
      <c r="EI140" s="29">
        <f>IF(COUNT(I140:Y140)&lt;5,DZ140,SUMPRODUCT(LARGE(I140:Y140,{1,2,3,4,5}))/5)</f>
        <v>64.457787518689074</v>
      </c>
      <c r="EJ140" s="29">
        <f>IF(COUNT(I140:AX140)&lt;5,DZ140,SUMPRODUCT(LARGE(I140:AX140,{1,2,3,4,5}))/5)</f>
        <v>64.457787518689074</v>
      </c>
      <c r="EK140" s="29">
        <f>IF(COUNT(I140:DY140)&lt;5,AVERAGE(I140:DY140),SUMPRODUCT(LARGE(I140:DY140,{1,2,3,4,5}))/5)</f>
        <v>64.457787518689074</v>
      </c>
      <c r="EL140" s="29">
        <f t="shared" si="38"/>
        <v>63.417736637828682</v>
      </c>
      <c r="EM140" s="116" t="str">
        <f t="shared" si="39"/>
        <v xml:space="preserve">EDWARDS, Matt </v>
      </c>
      <c r="EQ140"/>
    </row>
    <row r="141" spans="1:147" x14ac:dyDescent="0.25">
      <c r="A141" s="59">
        <f t="shared" si="40"/>
        <v>138</v>
      </c>
      <c r="B141" s="4" t="s">
        <v>789</v>
      </c>
      <c r="C141" s="5" t="s">
        <v>6</v>
      </c>
      <c r="D141" s="5" t="s">
        <v>88</v>
      </c>
      <c r="E141" s="6">
        <v>60.953875628497315</v>
      </c>
      <c r="F141" s="6">
        <v>61.69120709013751</v>
      </c>
      <c r="G141" s="5">
        <f t="shared" si="29"/>
        <v>5</v>
      </c>
      <c r="H141" s="60">
        <v>60.953875628497315</v>
      </c>
      <c r="I141" s="107"/>
      <c r="J141" s="7"/>
      <c r="K141" s="74"/>
      <c r="L141" s="7"/>
      <c r="M141" s="74"/>
      <c r="N141" s="74"/>
      <c r="O141" s="7"/>
      <c r="P141" s="74"/>
      <c r="Q141" s="7"/>
      <c r="R141" s="74"/>
      <c r="S141" s="74"/>
      <c r="T141" s="7"/>
      <c r="U141" s="7"/>
      <c r="V141" s="74"/>
      <c r="W141" s="7"/>
      <c r="X141" s="74"/>
      <c r="Y141" s="227"/>
      <c r="Z141" s="228"/>
      <c r="AA141" s="74"/>
      <c r="AB141" s="7"/>
      <c r="AC141" s="74">
        <f>(INDEX('Race 21'!$E$8:$E$200,(MATCH($B141,'Race 21'!$B$8:$B$200,0)),1))*100</f>
        <v>61.214694429201202</v>
      </c>
      <c r="AD141" s="74"/>
      <c r="AE141" s="7"/>
      <c r="AF141" s="74"/>
      <c r="AG141" s="74"/>
      <c r="AH141" s="7"/>
      <c r="AI141" s="7"/>
      <c r="AJ141" s="7"/>
      <c r="AK141" s="7"/>
      <c r="AL141" s="7"/>
      <c r="AM141" s="7"/>
      <c r="AN141" s="7"/>
      <c r="AO141" s="74">
        <f>(INDEX('Race 33'!$E$8:$E$200,(MATCH($B141,'Race 33'!$B$8:$B$200,0)),1))*100</f>
        <v>62.167719751073811</v>
      </c>
      <c r="AP141" s="7"/>
      <c r="AQ141" s="74"/>
      <c r="AR141" s="101"/>
      <c r="AS141" s="7"/>
      <c r="AT141" s="70"/>
      <c r="AU141" s="7"/>
      <c r="AV141" s="70"/>
      <c r="AW141" s="7"/>
      <c r="AX141" s="8"/>
      <c r="AY141" s="107"/>
      <c r="AZ141" s="74"/>
      <c r="BA141" s="103"/>
      <c r="BB141" s="74"/>
      <c r="BC141" s="74"/>
      <c r="BD141" s="7"/>
      <c r="BE141" s="7"/>
      <c r="BF141" s="74"/>
      <c r="BG141" s="74">
        <f>(INDEX('Race 51'!$E$8:$E$200,(MATCH($B141,'Race 51'!$B$8:$B$200,0)),1))*100</f>
        <v>61.246753439004486</v>
      </c>
      <c r="BH141" s="74">
        <f>(INDEX('Race 52'!$E$8:$E$200,(MATCH($B141,'Race 52'!$B$8:$B$200,0)),1))*100</f>
        <v>59.679855188144579</v>
      </c>
      <c r="BI141" s="74"/>
      <c r="BJ141" s="74"/>
      <c r="BK141" s="7"/>
      <c r="BL141" s="74"/>
      <c r="BM141" s="7"/>
      <c r="BN141" s="103"/>
      <c r="BO141" s="103"/>
      <c r="BP141" s="7"/>
      <c r="BQ141" s="7"/>
      <c r="BR141" s="7"/>
      <c r="BS141" s="7"/>
      <c r="BT141" s="7"/>
      <c r="BU141" s="74"/>
      <c r="BV141" s="7"/>
      <c r="BW141" s="74"/>
      <c r="BX141" s="74"/>
      <c r="BY141" s="74"/>
      <c r="BZ141" s="103"/>
      <c r="CA141" s="7"/>
      <c r="CB141" s="74"/>
      <c r="CC141" s="74"/>
      <c r="CD141" s="74">
        <f>(INDEX('Race 74'!$E$8:$E$200,(MATCH($B141,'Race 74'!$B$8:$B$200,0)),1))*100</f>
        <v>65.424935652475043</v>
      </c>
      <c r="CE141" s="7"/>
      <c r="CF141" s="74"/>
      <c r="CG141" s="74"/>
      <c r="CH141" s="7"/>
      <c r="CI141" s="74"/>
      <c r="CJ141" s="74"/>
      <c r="CK141" s="101"/>
      <c r="CL141" s="74"/>
      <c r="CM141" s="74"/>
      <c r="CN141" s="74"/>
      <c r="CO141" s="101"/>
      <c r="CP141" s="74"/>
      <c r="CQ141" s="74"/>
      <c r="CR141" s="74"/>
      <c r="CS141" s="74"/>
      <c r="CT141" s="74"/>
      <c r="CU141" s="74"/>
      <c r="CV141" s="74"/>
      <c r="CW141" s="74"/>
      <c r="CX141" s="7"/>
      <c r="CY141" s="7"/>
      <c r="CZ141" s="74"/>
      <c r="DA141" s="74"/>
      <c r="DB141" s="74"/>
      <c r="DC141" s="74"/>
      <c r="DD141" s="7"/>
      <c r="DE141" s="74"/>
      <c r="DF141" s="74"/>
      <c r="DG141" s="74"/>
      <c r="DH141" s="74"/>
      <c r="DI141" s="74"/>
      <c r="DJ141" s="7"/>
      <c r="DK141" s="74"/>
      <c r="DL141" s="74"/>
      <c r="DM141" s="74"/>
      <c r="DN141" s="74"/>
      <c r="DO141" s="74"/>
      <c r="DP141" s="74"/>
      <c r="DQ141" s="74"/>
      <c r="DR141" s="7"/>
      <c r="DS141" s="7"/>
      <c r="DT141" s="74"/>
      <c r="DU141" s="74"/>
      <c r="DV141" s="74"/>
      <c r="DW141" s="74"/>
      <c r="DX141" s="74"/>
      <c r="DY141" s="74"/>
      <c r="DZ141" s="8">
        <f t="shared" si="30"/>
        <v>61.946791691979833</v>
      </c>
      <c r="EA141" s="3" t="str">
        <f t="shared" si="31"/>
        <v>Eggert, Chris</v>
      </c>
      <c r="EB141" s="2">
        <f t="shared" si="32"/>
        <v>1</v>
      </c>
      <c r="EC141" s="112">
        <f t="shared" si="28"/>
        <v>60.953875628497315</v>
      </c>
      <c r="ED141" s="29">
        <f t="shared" si="33"/>
        <v>60.947256682388662</v>
      </c>
      <c r="EE141" s="2">
        <f t="shared" si="34"/>
        <v>1</v>
      </c>
      <c r="EF141" s="46">
        <f t="shared" si="35"/>
        <v>4</v>
      </c>
      <c r="EG141" s="46">
        <f t="shared" si="36"/>
        <v>5</v>
      </c>
      <c r="EH141" s="29" t="str">
        <f t="shared" si="37"/>
        <v>WI</v>
      </c>
      <c r="EI141" s="29">
        <f>IF(COUNT(I141:Y141)&lt;5,DZ141,SUMPRODUCT(LARGE(I141:Y141,{1,2,3,4,5}))/5)</f>
        <v>61.946791691979833</v>
      </c>
      <c r="EJ141" s="29">
        <f>IF(COUNT(I141:AX141)&lt;5,DZ141,SUMPRODUCT(LARGE(I141:AX141,{1,2,3,4,5}))/5)</f>
        <v>61.946791691979833</v>
      </c>
      <c r="EK141" s="29">
        <f>IF(COUNT(I141:DY141)&lt;5,AVERAGE(I141:DY141),SUMPRODUCT(LARGE(I141:DY141,{1,2,3,4,5}))/5)</f>
        <v>61.946791691979833</v>
      </c>
      <c r="EL141" s="29">
        <f t="shared" si="38"/>
        <v>60.947256682388662</v>
      </c>
      <c r="EM141" s="116" t="str">
        <f t="shared" si="39"/>
        <v>Eggert, Chris</v>
      </c>
      <c r="EQ141"/>
    </row>
    <row r="142" spans="1:147" x14ac:dyDescent="0.25">
      <c r="A142" s="59">
        <f t="shared" si="40"/>
        <v>139</v>
      </c>
      <c r="B142" s="32" t="s">
        <v>460</v>
      </c>
      <c r="C142" s="5" t="s">
        <v>6</v>
      </c>
      <c r="D142" s="6" t="s">
        <v>58</v>
      </c>
      <c r="E142" s="6">
        <v>92.02450874768823</v>
      </c>
      <c r="F142" s="6">
        <v>92.885416008196273</v>
      </c>
      <c r="G142" s="5">
        <f t="shared" si="29"/>
        <v>11</v>
      </c>
      <c r="H142" s="60">
        <v>92.189833981686178</v>
      </c>
      <c r="I142" s="107"/>
      <c r="J142" s="7"/>
      <c r="K142" s="7"/>
      <c r="L142" s="7"/>
      <c r="M142" s="7"/>
      <c r="N142" s="74"/>
      <c r="O142" s="7"/>
      <c r="P142" s="74"/>
      <c r="Q142" s="7">
        <f>(INDEX('Race 9'!$E$8:$E$200,(MATCH($B142,'Race 9'!$B$8:$B$200,0)),1))*100</f>
        <v>92.094456699260434</v>
      </c>
      <c r="R142" s="7"/>
      <c r="S142" s="7">
        <f>(INDEX('Race 11'!$E$8:$E$200,(MATCH($B142,'Race 11'!$B$8:$B$200,0)),1))*100</f>
        <v>92.701476264265153</v>
      </c>
      <c r="T142" s="7">
        <f>(INDEX('Race 12'!$E$8:$E$200,(MATCH($B142,'Race 12'!$B$8:$B$200,0)),1))*100</f>
        <v>94.761173870253089</v>
      </c>
      <c r="U142" s="7"/>
      <c r="V142" s="7">
        <f>(INDEX('Race 14'!$E$8:$E$200,(MATCH($B142,'Race 14'!$B$8:$B$200,0)),1))*100</f>
        <v>92.983293646776048</v>
      </c>
      <c r="W142" s="7">
        <f>(INDEX('Race 15'!$E$8:$E$200,(MATCH($B142,'Race 15'!$B$8:$B$200,0)),1))*100</f>
        <v>87.582143257886415</v>
      </c>
      <c r="X142" s="7"/>
      <c r="Y142" s="227"/>
      <c r="Z142" s="228"/>
      <c r="AA142" s="7">
        <f>(INDEX('Race 19'!$E$8:$E$200,(MATCH($B142,'Race 19'!$B$8:$B$200,0)),1))*100</f>
        <v>89.14681805265451</v>
      </c>
      <c r="AB142" s="7">
        <f>(INDEX('Race 20'!$E$8:$E$200,(MATCH($B142,'Race 20'!$B$8:$B$200,0)),1))*100</f>
        <v>91.400117011137624</v>
      </c>
      <c r="AC142" s="7"/>
      <c r="AD142" s="74"/>
      <c r="AE142" s="74"/>
      <c r="AF142" s="7"/>
      <c r="AG142" s="7"/>
      <c r="AH142" s="7"/>
      <c r="AI142" s="7"/>
      <c r="AJ142" s="7"/>
      <c r="AK142" s="7"/>
      <c r="AL142" s="7"/>
      <c r="AM142" s="7"/>
      <c r="AN142" s="7"/>
      <c r="AO142" s="74"/>
      <c r="AP142" s="74">
        <f>(INDEX('Race 34'!$E$8:$E$200,(MATCH($B142,'Race 34'!$B$8:$B$200,0)),1))*100</f>
        <v>91.519077298197317</v>
      </c>
      <c r="AQ142" s="74">
        <f>(INDEX('Race 35'!$E$8:$E$200,(MATCH($B142,'Race 35'!$B$8:$B$200,0)),1))*100</f>
        <v>91.886679560426629</v>
      </c>
      <c r="AR142" s="101"/>
      <c r="AS142" s="7"/>
      <c r="AT142" s="101"/>
      <c r="AU142" s="7"/>
      <c r="AV142" s="101"/>
      <c r="AW142" s="7"/>
      <c r="AX142" s="8"/>
      <c r="AY142" s="36"/>
      <c r="AZ142" s="7"/>
      <c r="BA142" s="103">
        <f>(INDEX('Race 45'!$E$8:$E$200,(MATCH($B142,'Race 45'!$B$8:$B$200,0)),1))*100</f>
        <v>95.399834918877019</v>
      </c>
      <c r="BB142" s="74"/>
      <c r="BC142" s="7"/>
      <c r="BD142" s="7">
        <f>(INDEX('Race 48'!$E$8:$E$200,(MATCH($B142,'Race 48'!$B$8:$B$200,0)),1))*100</f>
        <v>95.480011922557637</v>
      </c>
      <c r="BE142" s="7"/>
      <c r="BF142" s="74"/>
      <c r="BG142" s="7"/>
      <c r="BH142" s="7"/>
      <c r="BI142" s="7"/>
      <c r="BJ142" s="14"/>
      <c r="BK142" s="74"/>
      <c r="BL142" s="74"/>
      <c r="BM142" s="74"/>
      <c r="BN142" s="103"/>
      <c r="BO142" s="103"/>
      <c r="BP142" s="7"/>
      <c r="BQ142" s="7"/>
      <c r="BR142" s="7"/>
      <c r="BS142" s="7"/>
      <c r="BT142" s="7"/>
      <c r="BU142" s="74"/>
      <c r="BV142" s="7"/>
      <c r="BW142" s="74"/>
      <c r="BX142" s="7"/>
      <c r="BY142" s="74"/>
      <c r="BZ142" s="103"/>
      <c r="CA142" s="7"/>
      <c r="CB142" s="74"/>
      <c r="CC142" s="74"/>
      <c r="CD142" s="74"/>
      <c r="CE142" s="7"/>
      <c r="CF142" s="74"/>
      <c r="CG142" s="74"/>
      <c r="CH142" s="7"/>
      <c r="CI142" s="74"/>
      <c r="CJ142" s="101"/>
      <c r="CK142" s="101"/>
      <c r="CL142" s="101"/>
      <c r="CM142" s="7"/>
      <c r="CN142" s="74"/>
      <c r="CO142" s="101"/>
      <c r="CP142" s="7"/>
      <c r="CQ142" s="7"/>
      <c r="CR142" s="74"/>
      <c r="CS142" s="7"/>
      <c r="CT142" s="74"/>
      <c r="CU142" s="74"/>
      <c r="CV142" s="7"/>
      <c r="CW142" s="7"/>
      <c r="CX142" s="7"/>
      <c r="CY142" s="7"/>
      <c r="CZ142" s="74"/>
      <c r="DA142" s="74"/>
      <c r="DB142" s="74"/>
      <c r="DC142" s="74"/>
      <c r="DD142" s="74"/>
      <c r="DE142" s="74"/>
      <c r="DF142" s="74"/>
      <c r="DG142" s="74"/>
      <c r="DH142" s="74"/>
      <c r="DI142" s="74"/>
      <c r="DJ142" s="74"/>
      <c r="DK142" s="74"/>
      <c r="DL142" s="74"/>
      <c r="DM142" s="74"/>
      <c r="DN142" s="74"/>
      <c r="DO142" s="74"/>
      <c r="DP142" s="74"/>
      <c r="DQ142" s="74"/>
      <c r="DR142" s="7"/>
      <c r="DS142" s="7"/>
      <c r="DT142" s="74"/>
      <c r="DU142" s="74"/>
      <c r="DV142" s="74"/>
      <c r="DW142" s="74"/>
      <c r="DX142" s="74"/>
      <c r="DY142" s="74"/>
      <c r="DZ142" s="8">
        <f t="shared" si="30"/>
        <v>92.268643863844716</v>
      </c>
      <c r="EA142" s="3" t="str">
        <f t="shared" si="31"/>
        <v>Ellingson, Jakob</v>
      </c>
      <c r="EB142" s="2">
        <f t="shared" si="32"/>
        <v>1</v>
      </c>
      <c r="EC142" s="112">
        <f t="shared" si="28"/>
        <v>92.189833981686178</v>
      </c>
      <c r="ED142" s="29">
        <f t="shared" si="33"/>
        <v>92.744153998962773</v>
      </c>
      <c r="EE142" s="2">
        <f t="shared" si="34"/>
        <v>7</v>
      </c>
      <c r="EF142" s="46">
        <f t="shared" si="35"/>
        <v>11</v>
      </c>
      <c r="EG142" s="46">
        <f t="shared" si="36"/>
        <v>11</v>
      </c>
      <c r="EH142" s="29" t="str">
        <f t="shared" si="37"/>
        <v>MN</v>
      </c>
      <c r="EI142" s="29">
        <f>IF(COUNT(I142:Y142)&lt;5,DZ142,SUMPRODUCT(LARGE(I142:Y142,{1,2,3,4,5}))/5)</f>
        <v>92.02450874768823</v>
      </c>
      <c r="EJ142" s="29">
        <f>IF(COUNT(I142:AX142)&lt;5,DZ142,SUMPRODUCT(LARGE(I142:AX142,{1,2,3,4,5}))/5)</f>
        <v>92.885416008196273</v>
      </c>
      <c r="EK142" s="29">
        <f>IF(COUNT(I142:DY142)&lt;5,AVERAGE(I142:DY142),SUMPRODUCT(LARGE(I142:DY142,{1,2,3,4,5}))/5)</f>
        <v>94.265158124545763</v>
      </c>
      <c r="EL142" s="29">
        <f t="shared" si="38"/>
        <v>92.744153998962773</v>
      </c>
      <c r="EM142" s="116" t="str">
        <f t="shared" si="39"/>
        <v>Ellingson, Jakob</v>
      </c>
      <c r="EQ142"/>
    </row>
    <row r="143" spans="1:147" x14ac:dyDescent="0.25">
      <c r="A143" s="59">
        <f t="shared" si="40"/>
        <v>140</v>
      </c>
      <c r="B143" s="32" t="s">
        <v>1164</v>
      </c>
      <c r="C143" s="5" t="s">
        <v>6</v>
      </c>
      <c r="D143" s="6" t="s">
        <v>63</v>
      </c>
      <c r="E143" s="6">
        <v>0</v>
      </c>
      <c r="F143" s="6">
        <v>0</v>
      </c>
      <c r="G143" s="5">
        <f t="shared" si="29"/>
        <v>1</v>
      </c>
      <c r="H143" s="8">
        <v>0</v>
      </c>
      <c r="I143" s="107"/>
      <c r="J143" s="7"/>
      <c r="K143" s="74"/>
      <c r="L143" s="7"/>
      <c r="M143" s="74"/>
      <c r="N143" s="74"/>
      <c r="O143" s="7"/>
      <c r="P143" s="74"/>
      <c r="Q143" s="74"/>
      <c r="R143" s="74"/>
      <c r="S143" s="74"/>
      <c r="T143" s="7"/>
      <c r="U143" s="7"/>
      <c r="V143" s="74"/>
      <c r="W143" s="7"/>
      <c r="X143" s="74"/>
      <c r="Y143" s="227"/>
      <c r="Z143" s="228"/>
      <c r="AA143" s="74"/>
      <c r="AB143" s="74"/>
      <c r="AC143" s="74"/>
      <c r="AD143" s="74"/>
      <c r="AE143" s="7"/>
      <c r="AF143" s="74"/>
      <c r="AG143" s="74"/>
      <c r="AH143" s="7"/>
      <c r="AI143" s="7"/>
      <c r="AJ143" s="7"/>
      <c r="AK143" s="7"/>
      <c r="AL143" s="7"/>
      <c r="AM143" s="7"/>
      <c r="AN143" s="7"/>
      <c r="AO143" s="74"/>
      <c r="AP143" s="7"/>
      <c r="AQ143" s="74"/>
      <c r="AR143" s="101"/>
      <c r="AS143" s="7"/>
      <c r="AT143" s="101"/>
      <c r="AU143" s="7"/>
      <c r="AV143" s="101"/>
      <c r="AW143" s="7"/>
      <c r="AX143" s="8"/>
      <c r="AY143" s="36"/>
      <c r="AZ143" s="74"/>
      <c r="BA143" s="103">
        <f>(INDEX('Race 45'!$E$8:$E$200,(MATCH($B143,'Race 45'!$B$8:$B$200,0)),1))*100</f>
        <v>79.675791146757305</v>
      </c>
      <c r="BB143" s="74"/>
      <c r="BC143" s="74"/>
      <c r="BD143" s="7"/>
      <c r="BE143" s="7"/>
      <c r="BF143" s="74"/>
      <c r="BG143" s="74"/>
      <c r="BH143" s="74"/>
      <c r="BI143" s="74"/>
      <c r="BJ143" s="74"/>
      <c r="BK143" s="7"/>
      <c r="BL143" s="74"/>
      <c r="BM143" s="7"/>
      <c r="BN143" s="103"/>
      <c r="BO143" s="103"/>
      <c r="BP143" s="7"/>
      <c r="BQ143" s="7"/>
      <c r="BR143" s="74"/>
      <c r="BS143" s="7"/>
      <c r="BT143" s="7"/>
      <c r="BU143" s="74"/>
      <c r="BV143" s="74"/>
      <c r="BW143" s="74"/>
      <c r="BX143" s="74"/>
      <c r="BY143" s="74"/>
      <c r="BZ143" s="103"/>
      <c r="CA143" s="7"/>
      <c r="CB143" s="7"/>
      <c r="CC143" s="74"/>
      <c r="CD143" s="74"/>
      <c r="CE143" s="7"/>
      <c r="CF143" s="74"/>
      <c r="CG143" s="74"/>
      <c r="CH143" s="7"/>
      <c r="CI143" s="74"/>
      <c r="CJ143" s="74"/>
      <c r="CK143" s="101"/>
      <c r="CL143" s="74"/>
      <c r="CM143" s="74"/>
      <c r="CN143" s="74"/>
      <c r="CO143" s="101"/>
      <c r="CP143" s="74"/>
      <c r="CQ143" s="74"/>
      <c r="CR143" s="74"/>
      <c r="CS143" s="74"/>
      <c r="CT143" s="74"/>
      <c r="CU143" s="74"/>
      <c r="CV143" s="74"/>
      <c r="CW143" s="74"/>
      <c r="CX143" s="7"/>
      <c r="CY143" s="7"/>
      <c r="CZ143" s="74"/>
      <c r="DA143" s="74"/>
      <c r="DB143" s="74"/>
      <c r="DC143" s="74"/>
      <c r="DD143" s="74"/>
      <c r="DE143" s="74"/>
      <c r="DF143" s="74"/>
      <c r="DG143" s="74"/>
      <c r="DH143" s="74"/>
      <c r="DI143" s="74"/>
      <c r="DJ143" s="74"/>
      <c r="DK143" s="74"/>
      <c r="DL143" s="74"/>
      <c r="DM143" s="74"/>
      <c r="DN143" s="74"/>
      <c r="DO143" s="74"/>
      <c r="DP143" s="74"/>
      <c r="DQ143" s="74"/>
      <c r="DR143" s="74"/>
      <c r="DS143" s="74"/>
      <c r="DT143" s="74"/>
      <c r="DU143" s="74"/>
      <c r="DV143" s="74"/>
      <c r="DW143" s="74"/>
      <c r="DX143" s="74"/>
      <c r="DY143" s="74"/>
      <c r="DZ143" s="8">
        <f t="shared" si="30"/>
        <v>79.675791146757305</v>
      </c>
      <c r="EA143" s="3" t="str">
        <f t="shared" si="31"/>
        <v>Ellliot, Tad</v>
      </c>
      <c r="EB143" s="2">
        <f t="shared" si="32"/>
        <v>1</v>
      </c>
      <c r="EC143" s="112">
        <f t="shared" si="28"/>
        <v>0</v>
      </c>
      <c r="ED143" s="29">
        <f t="shared" si="33"/>
        <v>0</v>
      </c>
      <c r="EE143" s="2">
        <f t="shared" si="34"/>
        <v>0</v>
      </c>
      <c r="EF143" s="46">
        <f t="shared" si="35"/>
        <v>1</v>
      </c>
      <c r="EG143" s="46">
        <f t="shared" si="36"/>
        <v>1</v>
      </c>
      <c r="EH143" s="29" t="str">
        <f t="shared" si="37"/>
        <v>VT</v>
      </c>
      <c r="EI143" s="29">
        <f>IF(COUNT(I143:AD143)&lt;5,DZ143,SUMPRODUCT(LARGE(I143:AD143,{1,2,3,4,5}))/5)</f>
        <v>79.675791146757305</v>
      </c>
      <c r="EJ143" s="29">
        <f>IF(COUNT(I143:AX143)&lt;5,DZ143,SUMPRODUCT(LARGE(I143:AX143,{1,2,3,4,5}))/5)</f>
        <v>79.675791146757305</v>
      </c>
      <c r="EK143" s="112">
        <f>IF(EG143&lt;0,AVERAGE(I143:DY143),0)</f>
        <v>0</v>
      </c>
      <c r="EL143" s="29">
        <f t="shared" si="38"/>
        <v>0</v>
      </c>
      <c r="EM143" s="116" t="str">
        <f t="shared" si="39"/>
        <v>Ellliot, Tad</v>
      </c>
      <c r="EQ143"/>
    </row>
    <row r="144" spans="1:147" x14ac:dyDescent="0.25">
      <c r="A144" s="59">
        <f t="shared" si="40"/>
        <v>141</v>
      </c>
      <c r="B144" s="186" t="s">
        <v>1343</v>
      </c>
      <c r="C144" s="5" t="s">
        <v>6</v>
      </c>
      <c r="D144" s="5" t="s">
        <v>87</v>
      </c>
      <c r="E144" s="6">
        <v>0</v>
      </c>
      <c r="F144" s="6">
        <v>0</v>
      </c>
      <c r="G144" s="5">
        <f t="shared" si="29"/>
        <v>4</v>
      </c>
      <c r="H144" s="8">
        <v>0</v>
      </c>
      <c r="I144" s="36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227"/>
      <c r="Z144" s="228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4"/>
      <c r="AP144" s="7"/>
      <c r="AQ144" s="74"/>
      <c r="AR144" s="70"/>
      <c r="AS144" s="7"/>
      <c r="AT144" s="70"/>
      <c r="AU144" s="7"/>
      <c r="AV144" s="70"/>
      <c r="AW144" s="7"/>
      <c r="AX144" s="8"/>
      <c r="AY144" s="36"/>
      <c r="AZ144" s="7"/>
      <c r="BA144" s="7"/>
      <c r="BB144" s="7"/>
      <c r="BC144" s="7"/>
      <c r="BD144" s="7"/>
      <c r="BE144" s="7"/>
      <c r="BF144" s="7"/>
      <c r="BG144" s="7"/>
      <c r="BH144" s="70"/>
      <c r="BI144" s="7"/>
      <c r="BJ144" s="7"/>
      <c r="BK144" s="7"/>
      <c r="BL144" s="7"/>
      <c r="BM144" s="7"/>
      <c r="BN144" s="103"/>
      <c r="BO144" s="14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14"/>
      <c r="CA144" s="7"/>
      <c r="CB144" s="7"/>
      <c r="CC144" s="7"/>
      <c r="CD144" s="7"/>
      <c r="CE144" s="74"/>
      <c r="CF144" s="74"/>
      <c r="CG144" s="7"/>
      <c r="CH144" s="7"/>
      <c r="CI144" s="7"/>
      <c r="CJ144" s="7"/>
      <c r="CK144" s="101"/>
      <c r="CL144" s="74"/>
      <c r="CM144" s="74"/>
      <c r="CN144" s="74"/>
      <c r="CO144" s="70"/>
      <c r="CP144" s="101"/>
      <c r="CQ144" s="7"/>
      <c r="CR144" s="74">
        <f>(INDEX('Race 88'!$E$8:$E$200,(MATCH($B144,'Race 88'!$B$8:$B$200,0)),1))*100</f>
        <v>63.531473278847926</v>
      </c>
      <c r="CS144" s="74">
        <f>(INDEX('Race 89'!$E$8:$E$200,(MATCH($B144,'Race 89'!$B$8:$B$200,0)),1))*100</f>
        <v>61.73241721849034</v>
      </c>
      <c r="CT144" s="74">
        <f>(INDEX('Race 90'!$E$8:$E$200,(MATCH($B144,'Race 90'!$B$8:$B$200,0)),1))*100</f>
        <v>49.648498361101531</v>
      </c>
      <c r="CU144" s="74">
        <f>(INDEX('Race 91'!$E$8:$E$200,(MATCH($B144,'Race 91'!$B$8:$B$200,0)),1))*100</f>
        <v>52.173936351285619</v>
      </c>
      <c r="CV144" s="7"/>
      <c r="CW144" s="7"/>
      <c r="CX144" s="7"/>
      <c r="CY144" s="7"/>
      <c r="CZ144" s="7"/>
      <c r="DA144" s="7"/>
      <c r="DB144" s="7"/>
      <c r="DC144" s="7"/>
      <c r="DD144" s="7"/>
      <c r="DE144" s="74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8">
        <f t="shared" si="30"/>
        <v>56.77158130243135</v>
      </c>
      <c r="EA144" s="3" t="str">
        <f t="shared" si="31"/>
        <v>Erst, Raymond</v>
      </c>
      <c r="EB144" s="2">
        <f t="shared" si="32"/>
        <v>1</v>
      </c>
      <c r="EC144" s="112">
        <f t="shared" si="28"/>
        <v>0</v>
      </c>
      <c r="ED144" s="29">
        <f t="shared" si="33"/>
        <v>55.855550277874215</v>
      </c>
      <c r="EE144" s="2">
        <f t="shared" si="34"/>
        <v>0</v>
      </c>
      <c r="EF144" s="46">
        <f t="shared" si="35"/>
        <v>0</v>
      </c>
      <c r="EG144" s="46">
        <f t="shared" si="36"/>
        <v>4</v>
      </c>
      <c r="EH144" s="29" t="str">
        <f t="shared" si="37"/>
        <v>CA</v>
      </c>
      <c r="EI144" s="29">
        <f>IF(COUNT(I144:AD144)&lt;5,DZ144,SUMPRODUCT(LARGE(I144:AD144,{1,2,3,4,5}))/5)</f>
        <v>56.77158130243135</v>
      </c>
      <c r="EJ144" s="29">
        <f>IF(COUNT(I144:BE144)&lt;5,DZ144,SUMPRODUCT(LARGE(I144:BE144,{1,2,3,4,5}))/5)</f>
        <v>56.77158130243135</v>
      </c>
      <c r="EK144" s="29">
        <f>IF(COUNT(I144:DY144)&lt;5,AVERAGE(I144:DY144),SUMPRODUCT(LARGE(I144:DY144,{1,2,3,4,5}))/5)</f>
        <v>56.77158130243135</v>
      </c>
      <c r="EL144" s="29">
        <f t="shared" si="38"/>
        <v>55.855550277874215</v>
      </c>
      <c r="EM144" s="116" t="str">
        <f t="shared" si="39"/>
        <v>Erst, Raymond</v>
      </c>
      <c r="EQ144"/>
    </row>
    <row r="145" spans="1:147" x14ac:dyDescent="0.25">
      <c r="A145" s="59">
        <f t="shared" si="40"/>
        <v>142</v>
      </c>
      <c r="B145" s="32" t="s">
        <v>1214</v>
      </c>
      <c r="C145" s="5" t="s">
        <v>6</v>
      </c>
      <c r="D145" s="6" t="s">
        <v>69</v>
      </c>
      <c r="E145" s="6">
        <v>0</v>
      </c>
      <c r="F145" s="6">
        <v>0</v>
      </c>
      <c r="G145" s="5">
        <f t="shared" si="29"/>
        <v>2</v>
      </c>
      <c r="H145" s="60">
        <v>0</v>
      </c>
      <c r="I145" s="36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227"/>
      <c r="Z145" s="228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4"/>
      <c r="AP145" s="7"/>
      <c r="AQ145" s="74"/>
      <c r="AR145" s="70"/>
      <c r="AS145" s="7"/>
      <c r="AT145" s="70"/>
      <c r="AU145" s="7"/>
      <c r="AV145" s="70"/>
      <c r="AW145" s="7"/>
      <c r="AX145" s="8"/>
      <c r="AY145" s="36"/>
      <c r="AZ145" s="7"/>
      <c r="BA145" s="14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14"/>
      <c r="BO145" s="14"/>
      <c r="BP145" s="7"/>
      <c r="BQ145" s="7"/>
      <c r="BR145" s="70"/>
      <c r="BS145" s="7"/>
      <c r="BT145" s="7"/>
      <c r="BU145" s="7"/>
      <c r="BV145" s="7"/>
      <c r="BW145" s="70"/>
      <c r="BX145" s="7"/>
      <c r="BY145" s="7"/>
      <c r="BZ145" s="7"/>
      <c r="CA145" s="7">
        <f>(INDEX('Race 71'!$E$8:$E$200,(MATCH($B145,'Race 71'!$B$8:$B$200,0)),1))*100</f>
        <v>51.859400480838381</v>
      </c>
      <c r="CB145" s="7"/>
      <c r="CC145" s="7"/>
      <c r="CD145" s="7"/>
      <c r="CE145" s="7"/>
      <c r="CF145" s="7"/>
      <c r="CG145" s="7"/>
      <c r="CH145" s="7"/>
      <c r="CI145" s="70"/>
      <c r="CJ145" s="7"/>
      <c r="CK145" s="101"/>
      <c r="CL145" s="74">
        <f>(INDEX('Race 82'!$E$8:$E$200,(MATCH($B145,'Race 82'!$B$8:$B$200,0)),1))*100</f>
        <v>56.633165293066831</v>
      </c>
      <c r="CM145" s="74"/>
      <c r="CN145" s="74"/>
      <c r="CO145" s="70"/>
      <c r="CP145" s="74"/>
      <c r="CQ145" s="7"/>
      <c r="CR145" s="74"/>
      <c r="CS145" s="74"/>
      <c r="CT145" s="74"/>
      <c r="CU145" s="74"/>
      <c r="CV145" s="74"/>
      <c r="CW145" s="7"/>
      <c r="CX145" s="7"/>
      <c r="CY145" s="7"/>
      <c r="CZ145" s="74"/>
      <c r="DA145" s="7"/>
      <c r="DB145" s="7"/>
      <c r="DC145" s="7"/>
      <c r="DD145" s="7"/>
      <c r="DE145" s="74"/>
      <c r="DF145" s="74"/>
      <c r="DG145" s="74"/>
      <c r="DH145" s="74"/>
      <c r="DI145" s="74"/>
      <c r="DJ145" s="74"/>
      <c r="DK145" s="7"/>
      <c r="DL145" s="74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8">
        <f t="shared" si="30"/>
        <v>54.246282886952606</v>
      </c>
      <c r="EA145" s="3" t="str">
        <f t="shared" si="31"/>
        <v>Evans, Michael</v>
      </c>
      <c r="EB145" s="2">
        <f t="shared" si="32"/>
        <v>1</v>
      </c>
      <c r="EC145" s="112">
        <f t="shared" si="28"/>
        <v>0</v>
      </c>
      <c r="ED145" s="29">
        <f t="shared" si="33"/>
        <v>53.370998511366196</v>
      </c>
      <c r="EE145" s="2">
        <f t="shared" si="34"/>
        <v>0</v>
      </c>
      <c r="EF145" s="46">
        <f t="shared" si="35"/>
        <v>0</v>
      </c>
      <c r="EG145" s="46">
        <f t="shared" si="36"/>
        <v>2</v>
      </c>
      <c r="EH145" s="2" t="str">
        <f t="shared" si="37"/>
        <v>WA</v>
      </c>
      <c r="EI145" s="29">
        <f>IF(COUNT(I145:AD145)&lt;5,DZ145,SUMPRODUCT(LARGE(I145:AD145,{1,2,3,4,5}))/5)</f>
        <v>54.246282886952606</v>
      </c>
      <c r="EJ145" s="29">
        <f>IF(COUNT(I145:BE145)&lt;5,DZ145,SUMPRODUCT(LARGE(I145:BE145,{1,2,3,4,5}))/5)</f>
        <v>54.246282886952606</v>
      </c>
      <c r="EK145" s="29">
        <f>IF(COUNT(I145:DY145)&lt;5,AVERAGE(I145:DY145),SUMPRODUCT(LARGE(I145:DY145,{1,2,3,4,5}))/5)</f>
        <v>54.246282886952606</v>
      </c>
      <c r="EL145" s="29">
        <f t="shared" si="38"/>
        <v>53.370998511366196</v>
      </c>
      <c r="EM145" s="116" t="str">
        <f t="shared" si="39"/>
        <v>Evans, Michael</v>
      </c>
      <c r="EQ145"/>
    </row>
    <row r="146" spans="1:147" x14ac:dyDescent="0.25">
      <c r="A146" s="59">
        <f t="shared" si="40"/>
        <v>143</v>
      </c>
      <c r="B146" s="32" t="s">
        <v>844</v>
      </c>
      <c r="C146" s="5" t="s">
        <v>6</v>
      </c>
      <c r="D146" s="6" t="s">
        <v>67</v>
      </c>
      <c r="E146" s="6">
        <v>25.976093413811761</v>
      </c>
      <c r="F146" s="6">
        <v>25.976093413811761</v>
      </c>
      <c r="G146" s="5">
        <f t="shared" si="29"/>
        <v>0</v>
      </c>
      <c r="H146" s="8">
        <v>25.976093413811761</v>
      </c>
      <c r="I146" s="36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227"/>
      <c r="Z146" s="228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4"/>
      <c r="AP146" s="7"/>
      <c r="AQ146" s="74"/>
      <c r="AR146" s="70"/>
      <c r="AS146" s="7"/>
      <c r="AT146" s="70"/>
      <c r="AU146" s="7"/>
      <c r="AV146" s="70"/>
      <c r="AW146" s="7"/>
      <c r="AX146" s="183"/>
      <c r="AY146" s="10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103"/>
      <c r="BO146" s="14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14"/>
      <c r="CA146" s="7"/>
      <c r="CB146" s="7"/>
      <c r="CC146" s="7"/>
      <c r="CD146" s="7"/>
      <c r="CE146" s="74"/>
      <c r="CF146" s="74"/>
      <c r="CG146" s="7"/>
      <c r="CH146" s="7"/>
      <c r="CI146" s="7"/>
      <c r="CJ146" s="7"/>
      <c r="CK146" s="101"/>
      <c r="CL146" s="74"/>
      <c r="CM146" s="74"/>
      <c r="CN146" s="74"/>
      <c r="CO146" s="70"/>
      <c r="CP146" s="74"/>
      <c r="CQ146" s="7"/>
      <c r="CR146" s="74"/>
      <c r="CS146" s="74"/>
      <c r="CT146" s="74"/>
      <c r="CU146" s="74"/>
      <c r="CV146" s="7"/>
      <c r="CW146" s="7"/>
      <c r="CX146" s="7"/>
      <c r="CY146" s="7"/>
      <c r="CZ146" s="7"/>
      <c r="DA146" s="7"/>
      <c r="DB146" s="7"/>
      <c r="DC146" s="7"/>
      <c r="DD146" s="7"/>
      <c r="DE146" s="74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8">
        <f t="shared" si="30"/>
        <v>25.976093413811761</v>
      </c>
      <c r="EA146" s="3" t="str">
        <f t="shared" si="31"/>
        <v xml:space="preserve">FADDIS, Scott </v>
      </c>
      <c r="EB146" s="2">
        <f t="shared" si="32"/>
        <v>0</v>
      </c>
      <c r="EC146" s="112">
        <f t="shared" si="28"/>
        <v>25.976093413811761</v>
      </c>
      <c r="ED146" s="29">
        <f t="shared" si="33"/>
        <v>0</v>
      </c>
      <c r="EE146" s="2">
        <f t="shared" si="34"/>
        <v>0</v>
      </c>
      <c r="EF146" s="46">
        <f t="shared" si="35"/>
        <v>0</v>
      </c>
      <c r="EG146" s="46">
        <f t="shared" si="36"/>
        <v>0</v>
      </c>
      <c r="EH146" s="29" t="str">
        <f t="shared" si="37"/>
        <v>UT</v>
      </c>
      <c r="EI146" s="29">
        <f>IF(COUNT(I146:Y146)&lt;5,DZ146,SUMPRODUCT(LARGE(I146:Y146,{1,2,3,4,5}))/5)</f>
        <v>25.976093413811761</v>
      </c>
      <c r="EJ146" s="29">
        <f>IF(COUNT(I146:AX146)&lt;5,DZ146,SUMPRODUCT(LARGE(I146:AX146,{1,2,3,4,5}))/5)</f>
        <v>25.976093413811761</v>
      </c>
      <c r="EK146" s="112">
        <f>IF(EG146&lt;0,AVERAGE(I146:DY146),0)</f>
        <v>0</v>
      </c>
      <c r="EL146" s="29">
        <f t="shared" si="38"/>
        <v>0</v>
      </c>
      <c r="EM146" s="116" t="str">
        <f t="shared" si="39"/>
        <v xml:space="preserve">FADDIS, Scott </v>
      </c>
      <c r="EQ146"/>
    </row>
    <row r="147" spans="1:147" x14ac:dyDescent="0.25">
      <c r="A147" s="59">
        <f t="shared" si="40"/>
        <v>144</v>
      </c>
      <c r="B147" s="32" t="s">
        <v>1107</v>
      </c>
      <c r="C147" s="5" t="s">
        <v>16</v>
      </c>
      <c r="D147" s="6" t="s">
        <v>63</v>
      </c>
      <c r="E147" s="6">
        <v>0</v>
      </c>
      <c r="F147" s="6">
        <v>55.921841403973474</v>
      </c>
      <c r="G147" s="13">
        <f t="shared" si="29"/>
        <v>2</v>
      </c>
      <c r="H147" s="37">
        <v>0</v>
      </c>
      <c r="I147" s="36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227"/>
      <c r="Z147" s="228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4"/>
      <c r="AP147" s="7"/>
      <c r="AQ147" s="74"/>
      <c r="AR147" s="70"/>
      <c r="AS147" s="74">
        <f>(INDEX('Race 37'!$E$8:$E$200,(MATCH($B147,'Race 37'!$B$8:$B$200,0)),1))*100</f>
        <v>51.900015709093516</v>
      </c>
      <c r="AT147" s="101">
        <f>(INDEX('Race 38'!$E$8:$E$200,(MATCH($B147,'Race 38'!$B$8:$B$200,0)),1))*100</f>
        <v>59.943667098853439</v>
      </c>
      <c r="AU147" s="7"/>
      <c r="AV147" s="101"/>
      <c r="AW147" s="7"/>
      <c r="AX147" s="183"/>
      <c r="AY147" s="107"/>
      <c r="AZ147" s="7"/>
      <c r="BA147" s="14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103"/>
      <c r="BO147" s="14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4"/>
      <c r="CF147" s="74"/>
      <c r="CG147" s="7"/>
      <c r="CH147" s="7"/>
      <c r="CI147" s="7"/>
      <c r="CJ147" s="7"/>
      <c r="CK147" s="101"/>
      <c r="CL147" s="74"/>
      <c r="CM147" s="74"/>
      <c r="CN147" s="74"/>
      <c r="CO147" s="70"/>
      <c r="CP147" s="74"/>
      <c r="CQ147" s="7"/>
      <c r="CR147" s="74"/>
      <c r="CS147" s="74"/>
      <c r="CT147" s="74"/>
      <c r="CU147" s="74"/>
      <c r="CV147" s="7"/>
      <c r="CW147" s="7"/>
      <c r="CX147" s="7"/>
      <c r="CY147" s="7"/>
      <c r="CZ147" s="7"/>
      <c r="DA147" s="7"/>
      <c r="DB147" s="7"/>
      <c r="DC147" s="7"/>
      <c r="DD147" s="7"/>
      <c r="DE147" s="74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8">
        <f t="shared" si="30"/>
        <v>55.921841403973474</v>
      </c>
      <c r="EA147" s="3" t="str">
        <f t="shared" si="31"/>
        <v>Feliciano, Daniel</v>
      </c>
      <c r="EB147" s="2">
        <f t="shared" si="32"/>
        <v>1</v>
      </c>
      <c r="EC147" s="29">
        <v>0</v>
      </c>
      <c r="ED147" s="29">
        <f t="shared" si="33"/>
        <v>55.019521255385158</v>
      </c>
      <c r="EE147" s="2">
        <f t="shared" si="34"/>
        <v>0</v>
      </c>
      <c r="EF147" s="46">
        <f t="shared" si="35"/>
        <v>2</v>
      </c>
      <c r="EG147" s="46">
        <f t="shared" si="36"/>
        <v>2</v>
      </c>
      <c r="EH147" s="29" t="str">
        <f t="shared" si="37"/>
        <v>VT</v>
      </c>
      <c r="EI147" s="29">
        <f>IF(COUNT(I147:AD147)&lt;5,DZ147,SUMPRODUCT(LARGE(I147:AD147,{1,2,3,4,5}))/5)</f>
        <v>55.921841403973474</v>
      </c>
      <c r="EJ147" s="29">
        <f>IF(COUNT(I147:AX147)&lt;5,DZ147,SUMPRODUCT(LARGE(I147:AX147,{1,2,3,4,5}))/5)</f>
        <v>55.921841403973474</v>
      </c>
      <c r="EK147" s="29">
        <f>IF(COUNT(I147:DY147)&lt;5,AVERAGE(I147:DY147),SUMPRODUCT(LARGE(I147:DY147,{1,2,3,4,5}))/5)</f>
        <v>55.921841403973474</v>
      </c>
      <c r="EL147" s="29">
        <f t="shared" si="38"/>
        <v>55.019521255385158</v>
      </c>
      <c r="EM147" s="116" t="str">
        <f t="shared" si="39"/>
        <v>Feliciano, Daniel</v>
      </c>
      <c r="EQ147"/>
    </row>
    <row r="148" spans="1:147" x14ac:dyDescent="0.25">
      <c r="A148" s="59">
        <f t="shared" si="40"/>
        <v>145</v>
      </c>
      <c r="B148" s="32" t="s">
        <v>1144</v>
      </c>
      <c r="C148" s="5" t="s">
        <v>6</v>
      </c>
      <c r="D148" s="6" t="s">
        <v>62</v>
      </c>
      <c r="E148" s="6">
        <v>0</v>
      </c>
      <c r="F148" s="6">
        <v>59.548809582616713</v>
      </c>
      <c r="G148" s="5">
        <f t="shared" si="29"/>
        <v>6</v>
      </c>
      <c r="H148" s="37">
        <v>0</v>
      </c>
      <c r="I148" s="36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227"/>
      <c r="Z148" s="228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4"/>
      <c r="AP148" s="7"/>
      <c r="AQ148" s="74"/>
      <c r="AR148" s="70"/>
      <c r="AS148" s="7"/>
      <c r="AT148" s="70"/>
      <c r="AU148" s="7"/>
      <c r="AV148" s="70"/>
      <c r="AW148" s="7">
        <f>(INDEX('Race 41'!$E$8:$E$200,(MATCH($B148,'Race 41'!$B$8:$B$200,0)),1))*100</f>
        <v>56.419542472463505</v>
      </c>
      <c r="AX148" s="8">
        <f>(INDEX('Race 42'!$E$8:$E$200,(MATCH($B148,'Race 42'!$B$8:$B$200,0)),1))*100</f>
        <v>62.678076692769913</v>
      </c>
      <c r="AY148" s="36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103"/>
      <c r="BO148" s="14"/>
      <c r="BP148" s="7"/>
      <c r="BQ148" s="7"/>
      <c r="BR148" s="7"/>
      <c r="BS148" s="7">
        <f>(INDEX('Race 63'!$E$8:$E$200,(MATCH($B148,'Race 63'!$B$8:$B$200,0)),1))*100</f>
        <v>53.622371117714607</v>
      </c>
      <c r="BT148" s="7">
        <f>(INDEX('Race 64'!$E$8:$E$200,(MATCH($B148,'Race 64'!$B$8:$B$200,0)),1))*100</f>
        <v>54.298639181982999</v>
      </c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>
        <f>(INDEX('Race 75'!$E$8:$E$200,(MATCH($B148,'Race 75'!$B$8:$B$200,0)),1))*100</f>
        <v>66.619726891874635</v>
      </c>
      <c r="CF148" s="7">
        <f>(INDEX('Race 76'!$E$8:$E$200,(MATCH($B148,'Race 76'!$B$8:$B$200,0)),1))*100</f>
        <v>65.976366891514658</v>
      </c>
      <c r="CG148" s="7"/>
      <c r="CH148" s="70"/>
      <c r="CI148" s="7"/>
      <c r="CJ148" s="7"/>
      <c r="CK148" s="101"/>
      <c r="CL148" s="74"/>
      <c r="CM148" s="74"/>
      <c r="CN148" s="74"/>
      <c r="CO148" s="70"/>
      <c r="CP148" s="74"/>
      <c r="CQ148" s="7"/>
      <c r="CR148" s="74"/>
      <c r="CS148" s="74"/>
      <c r="CT148" s="74"/>
      <c r="CU148" s="74"/>
      <c r="CV148" s="7"/>
      <c r="CW148" s="7"/>
      <c r="CX148" s="7"/>
      <c r="CY148" s="7"/>
      <c r="CZ148" s="7"/>
      <c r="DA148" s="7"/>
      <c r="DB148" s="7"/>
      <c r="DC148" s="7"/>
      <c r="DD148" s="7"/>
      <c r="DE148" s="74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8">
        <f t="shared" si="30"/>
        <v>59.935787208053391</v>
      </c>
      <c r="EA148" s="3" t="str">
        <f t="shared" si="31"/>
        <v>Felts, William</v>
      </c>
      <c r="EB148" s="2">
        <f t="shared" si="32"/>
        <v>1</v>
      </c>
      <c r="EC148" s="112">
        <f t="shared" ref="EC148:EC156" si="41">H148</f>
        <v>0</v>
      </c>
      <c r="ED148" s="29">
        <f t="shared" si="33"/>
        <v>60.211009864345868</v>
      </c>
      <c r="EE148" s="2">
        <f t="shared" si="34"/>
        <v>0</v>
      </c>
      <c r="EF148" s="46">
        <f t="shared" si="35"/>
        <v>2</v>
      </c>
      <c r="EG148" s="46">
        <f t="shared" si="36"/>
        <v>6</v>
      </c>
      <c r="EH148" s="29" t="str">
        <f t="shared" si="37"/>
        <v>CO</v>
      </c>
      <c r="EI148" s="29">
        <f>IF(COUNT(I148:AD148)&lt;5,DZ148,SUMPRODUCT(LARGE(I148:AD148,{1,2,3,4,5}))/5)</f>
        <v>59.935787208053391</v>
      </c>
      <c r="EJ148" s="29">
        <f>IF(COUNT(I148:AX148)&lt;5,DZ148,SUMPRODUCT(LARGE(I148:AX148,{1,2,3,4,5}))/5)</f>
        <v>59.935787208053391</v>
      </c>
      <c r="EK148" s="29">
        <f>IF(COUNT(I148:DY148)&lt;5,AVERAGE(I148:DY148),SUMPRODUCT(LARGE(I148:DY148,{1,2,3,4,5}))/5)</f>
        <v>61.198470426121141</v>
      </c>
      <c r="EL148" s="29">
        <f t="shared" si="38"/>
        <v>60.211009864345868</v>
      </c>
      <c r="EM148" s="116" t="str">
        <f t="shared" si="39"/>
        <v>Felts, William</v>
      </c>
      <c r="EQ148"/>
    </row>
    <row r="149" spans="1:147" x14ac:dyDescent="0.25">
      <c r="A149" s="59">
        <f t="shared" si="40"/>
        <v>146</v>
      </c>
      <c r="B149" s="4" t="s">
        <v>436</v>
      </c>
      <c r="C149" s="5" t="s">
        <v>6</v>
      </c>
      <c r="D149" s="5" t="s">
        <v>69</v>
      </c>
      <c r="E149" s="6">
        <v>49.512158141626699</v>
      </c>
      <c r="F149" s="6">
        <v>49.512158141626699</v>
      </c>
      <c r="G149" s="13">
        <f t="shared" si="29"/>
        <v>1</v>
      </c>
      <c r="H149" s="37">
        <v>49.512158141626699</v>
      </c>
      <c r="I149" s="107"/>
      <c r="J149" s="7"/>
      <c r="K149" s="74"/>
      <c r="L149" s="7"/>
      <c r="M149" s="74"/>
      <c r="N149" s="74"/>
      <c r="O149" s="7"/>
      <c r="P149" s="74"/>
      <c r="Q149" s="7"/>
      <c r="R149" s="74"/>
      <c r="S149" s="74"/>
      <c r="T149" s="7"/>
      <c r="U149" s="7"/>
      <c r="V149" s="74"/>
      <c r="W149" s="74"/>
      <c r="X149" s="74"/>
      <c r="Y149" s="227"/>
      <c r="Z149" s="228"/>
      <c r="AA149" s="74"/>
      <c r="AB149" s="74"/>
      <c r="AC149" s="74"/>
      <c r="AD149" s="74"/>
      <c r="AE149" s="7"/>
      <c r="AF149" s="74"/>
      <c r="AG149" s="74"/>
      <c r="AH149" s="7"/>
      <c r="AI149" s="7"/>
      <c r="AJ149" s="7"/>
      <c r="AK149" s="7"/>
      <c r="AL149" s="7"/>
      <c r="AM149" s="7"/>
      <c r="AN149" s="7"/>
      <c r="AO149" s="74"/>
      <c r="AP149" s="7"/>
      <c r="AQ149" s="74"/>
      <c r="AR149" s="101"/>
      <c r="AS149" s="7"/>
      <c r="AT149" s="101"/>
      <c r="AU149" s="7"/>
      <c r="AV149" s="101"/>
      <c r="AW149" s="7"/>
      <c r="AX149" s="8"/>
      <c r="AY149" s="36"/>
      <c r="AZ149" s="74"/>
      <c r="BA149" s="103"/>
      <c r="BB149" s="74"/>
      <c r="BC149" s="74"/>
      <c r="BD149" s="7"/>
      <c r="BE149" s="7"/>
      <c r="BF149" s="74"/>
      <c r="BG149" s="74"/>
      <c r="BH149" s="74"/>
      <c r="BI149" s="74"/>
      <c r="BJ149" s="74"/>
      <c r="BK149" s="7"/>
      <c r="BL149" s="74"/>
      <c r="BM149" s="7"/>
      <c r="BN149" s="103"/>
      <c r="BO149" s="103"/>
      <c r="BP149" s="7"/>
      <c r="BQ149" s="7"/>
      <c r="BR149" s="74"/>
      <c r="BS149" s="7"/>
      <c r="BT149" s="7"/>
      <c r="BU149" s="74"/>
      <c r="BV149" s="74"/>
      <c r="BW149" s="74"/>
      <c r="BX149" s="74"/>
      <c r="BY149" s="74"/>
      <c r="BZ149" s="103"/>
      <c r="CA149" s="7">
        <f>(INDEX('Race 71'!$E$8:$E$200,(MATCH($B149,'Race 71'!$B$8:$B$200,0)),1))*100</f>
        <v>48.917822128678836</v>
      </c>
      <c r="CB149" s="7"/>
      <c r="CC149" s="74"/>
      <c r="CD149" s="74"/>
      <c r="CE149" s="7"/>
      <c r="CF149" s="74"/>
      <c r="CG149" s="74"/>
      <c r="CH149" s="7"/>
      <c r="CI149" s="74"/>
      <c r="CJ149" s="74"/>
      <c r="CK149" s="101"/>
      <c r="CL149" s="74"/>
      <c r="CM149" s="74"/>
      <c r="CN149" s="74"/>
      <c r="CO149" s="101"/>
      <c r="CP149" s="74"/>
      <c r="CQ149" s="74"/>
      <c r="CR149" s="74"/>
      <c r="CS149" s="74"/>
      <c r="CT149" s="74"/>
      <c r="CU149" s="74"/>
      <c r="CV149" s="74"/>
      <c r="CW149" s="74"/>
      <c r="CX149" s="7"/>
      <c r="CY149" s="7"/>
      <c r="CZ149" s="74"/>
      <c r="DA149" s="74"/>
      <c r="DB149" s="74"/>
      <c r="DC149" s="74"/>
      <c r="DD149" s="74"/>
      <c r="DE149" s="74"/>
      <c r="DF149" s="74"/>
      <c r="DG149" s="74"/>
      <c r="DH149" s="74"/>
      <c r="DI149" s="74"/>
      <c r="DJ149" s="74"/>
      <c r="DK149" s="74"/>
      <c r="DL149" s="74"/>
      <c r="DM149" s="74"/>
      <c r="DN149" s="74"/>
      <c r="DO149" s="74"/>
      <c r="DP149" s="74"/>
      <c r="DQ149" s="74"/>
      <c r="DR149" s="7"/>
      <c r="DS149" s="7"/>
      <c r="DT149" s="74"/>
      <c r="DU149" s="74"/>
      <c r="DV149" s="74"/>
      <c r="DW149" s="74"/>
      <c r="DX149" s="74"/>
      <c r="DY149" s="74"/>
      <c r="DZ149" s="8">
        <f t="shared" si="30"/>
        <v>48.917822128678836</v>
      </c>
      <c r="EA149" s="3" t="str">
        <f t="shared" si="31"/>
        <v>Fiddler, John</v>
      </c>
      <c r="EB149" s="2">
        <f t="shared" si="32"/>
        <v>1</v>
      </c>
      <c r="EC149" s="112">
        <f t="shared" si="41"/>
        <v>49.512158141626699</v>
      </c>
      <c r="ED149" s="29">
        <f t="shared" si="33"/>
        <v>48.12851449102601</v>
      </c>
      <c r="EE149" s="2">
        <f t="shared" si="34"/>
        <v>0</v>
      </c>
      <c r="EF149" s="46">
        <f t="shared" si="35"/>
        <v>0</v>
      </c>
      <c r="EG149" s="46">
        <f t="shared" si="36"/>
        <v>1</v>
      </c>
      <c r="EH149" s="2" t="str">
        <f t="shared" si="37"/>
        <v>WA</v>
      </c>
      <c r="EI149" s="29">
        <f>IF(COUNT(I149:Y149)&lt;5,DZ149,SUMPRODUCT(LARGE(I149:Y149,{1,2,3,4,5}))/5)</f>
        <v>48.917822128678836</v>
      </c>
      <c r="EJ149" s="29">
        <f>IF(COUNT(I149:AX149)&lt;5,DZ149,SUMPRODUCT(LARGE(I149:AX149,{1,2,3,4,5}))/5)</f>
        <v>48.917822128678836</v>
      </c>
      <c r="EK149" s="29">
        <f>IF(COUNT(I149:DY149)&lt;5,AVERAGE(I149:DY149),SUMPRODUCT(LARGE(I149:DY149,{1,2,3,4,5}))/5)</f>
        <v>48.917822128678836</v>
      </c>
      <c r="EL149" s="29">
        <f t="shared" si="38"/>
        <v>48.12851449102601</v>
      </c>
      <c r="EM149" s="116" t="str">
        <f t="shared" si="39"/>
        <v>Fiddler, John</v>
      </c>
      <c r="EQ149"/>
    </row>
    <row r="150" spans="1:147" x14ac:dyDescent="0.25">
      <c r="A150" s="59">
        <f t="shared" si="40"/>
        <v>147</v>
      </c>
      <c r="B150" s="32" t="s">
        <v>939</v>
      </c>
      <c r="C150" s="5" t="s">
        <v>6</v>
      </c>
      <c r="D150" s="6" t="s">
        <v>65</v>
      </c>
      <c r="E150" s="6">
        <v>50.943424350252634</v>
      </c>
      <c r="F150" s="6">
        <v>50.943424350252634</v>
      </c>
      <c r="G150" s="5">
        <f t="shared" si="29"/>
        <v>5</v>
      </c>
      <c r="H150" s="37">
        <v>50.943424350252634</v>
      </c>
      <c r="I150" s="36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227"/>
      <c r="Z150" s="228"/>
      <c r="AA150" s="7"/>
      <c r="AB150" s="7"/>
      <c r="AC150" s="7"/>
      <c r="AD150" s="14"/>
      <c r="AE150" s="7"/>
      <c r="AF150" s="7"/>
      <c r="AG150" s="14"/>
      <c r="AH150" s="7"/>
      <c r="AI150" s="7"/>
      <c r="AJ150" s="7"/>
      <c r="AK150" s="7"/>
      <c r="AL150" s="7"/>
      <c r="AM150" s="7"/>
      <c r="AN150" s="7"/>
      <c r="AO150" s="74"/>
      <c r="AP150" s="7"/>
      <c r="AQ150" s="74"/>
      <c r="AR150" s="70"/>
      <c r="AS150" s="7"/>
      <c r="AT150" s="70"/>
      <c r="AU150" s="7"/>
      <c r="AV150" s="70"/>
      <c r="AW150" s="7"/>
      <c r="AX150" s="8"/>
      <c r="AY150" s="36"/>
      <c r="AZ150" s="7">
        <f>(INDEX('Race 44'!$E$8:$E$200,(MATCH($B150,'Race 44'!$B$8:$B$200,0)),1))*100</f>
        <v>60.845518541336688</v>
      </c>
      <c r="BA150" s="7"/>
      <c r="BB150" s="7">
        <f>(INDEX('Race 46'!$E$8:$E$200,(MATCH($B150,'Race 46'!$B$8:$B$200,0)),1))*100</f>
        <v>58.999521530118457</v>
      </c>
      <c r="BC150" s="7"/>
      <c r="BD150" s="7"/>
      <c r="BE150" s="7">
        <f>(INDEX('Race 49'!$E$8:$E$200,(MATCH($B150,'Race 49'!$B$8:$B$200,0)),1))*100</f>
        <v>55.332233405300947</v>
      </c>
      <c r="BF150" s="7"/>
      <c r="BG150" s="7"/>
      <c r="BH150" s="7"/>
      <c r="BI150" s="7"/>
      <c r="BJ150" s="7"/>
      <c r="BK150" s="7"/>
      <c r="BL150" s="7"/>
      <c r="BM150" s="7"/>
      <c r="BN150" s="103"/>
      <c r="BO150" s="14"/>
      <c r="BP150" s="7">
        <f>(INDEX('Race 60'!$E$8:$E$200,(MATCH($B150,'Race 60'!$B$8:$B$200,0)),1))*100</f>
        <v>54.304139112992168</v>
      </c>
      <c r="BQ150" s="7">
        <f>(INDEX('Race 61'!$E$8:$E$200,(MATCH($B150,'Race 61'!$B$8:$B$200,0)),1))*100</f>
        <v>41.851437423875765</v>
      </c>
      <c r="BR150" s="7"/>
      <c r="BS150" s="7"/>
      <c r="BT150" s="7"/>
      <c r="BU150" s="7"/>
      <c r="BV150" s="7"/>
      <c r="BW150" s="7"/>
      <c r="BX150" s="7"/>
      <c r="BY150" s="7"/>
      <c r="BZ150" s="14"/>
      <c r="CA150" s="7"/>
      <c r="CB150" s="7"/>
      <c r="CC150" s="7"/>
      <c r="CD150" s="7"/>
      <c r="CE150" s="74"/>
      <c r="CF150" s="74"/>
      <c r="CG150" s="7"/>
      <c r="CH150" s="7"/>
      <c r="CI150" s="7"/>
      <c r="CJ150" s="7"/>
      <c r="CK150" s="101"/>
      <c r="CL150" s="74"/>
      <c r="CM150" s="74"/>
      <c r="CN150" s="74"/>
      <c r="CO150" s="70"/>
      <c r="CP150" s="74"/>
      <c r="CQ150" s="7"/>
      <c r="CR150" s="74"/>
      <c r="CS150" s="74"/>
      <c r="CT150" s="74"/>
      <c r="CU150" s="74"/>
      <c r="CV150" s="7"/>
      <c r="CW150" s="7"/>
      <c r="CX150" s="7"/>
      <c r="CY150" s="7"/>
      <c r="CZ150" s="7"/>
      <c r="DA150" s="7"/>
      <c r="DB150" s="7"/>
      <c r="DC150" s="7"/>
      <c r="DD150" s="7"/>
      <c r="DE150" s="74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8">
        <f t="shared" si="30"/>
        <v>54.266570002724805</v>
      </c>
      <c r="EA150" s="3" t="str">
        <f t="shared" si="31"/>
        <v>Fink, Don</v>
      </c>
      <c r="EB150" s="2">
        <f t="shared" si="32"/>
        <v>1</v>
      </c>
      <c r="EC150" s="112">
        <f t="shared" si="41"/>
        <v>50.943424350252634</v>
      </c>
      <c r="ED150" s="29">
        <f t="shared" si="33"/>
        <v>53.39095828682094</v>
      </c>
      <c r="EE150" s="2">
        <f t="shared" si="34"/>
        <v>0</v>
      </c>
      <c r="EF150" s="46">
        <f t="shared" si="35"/>
        <v>5</v>
      </c>
      <c r="EG150" s="46">
        <f t="shared" si="36"/>
        <v>5</v>
      </c>
      <c r="EH150" s="29" t="str">
        <f t="shared" si="37"/>
        <v>NH</v>
      </c>
      <c r="EI150" s="29">
        <f>IF(COUNT(I150:Y150)&lt;5,DZ150,SUMPRODUCT(LARGE(I150:Y150,{1,2,3,4,5}))/5)</f>
        <v>54.266570002724805</v>
      </c>
      <c r="EJ150" s="29">
        <f>IF(COUNT(I150:AX150)&lt;5,DZ150,SUMPRODUCT(LARGE(I150:AX150,{1,2,3,4,5}))/5)</f>
        <v>54.266570002724805</v>
      </c>
      <c r="EK150" s="29">
        <f>IF(COUNT(I150:DY150)&lt;5,AVERAGE(I150:DY150),SUMPRODUCT(LARGE(I150:DY150,{1,2,3,4,5}))/5)</f>
        <v>54.266570002724805</v>
      </c>
      <c r="EL150" s="29">
        <f t="shared" si="38"/>
        <v>53.39095828682094</v>
      </c>
      <c r="EM150" s="116" t="str">
        <f t="shared" si="39"/>
        <v>Fink, Don</v>
      </c>
      <c r="EQ150"/>
    </row>
    <row r="151" spans="1:147" x14ac:dyDescent="0.25">
      <c r="A151" s="59">
        <f t="shared" si="40"/>
        <v>148</v>
      </c>
      <c r="B151" s="32" t="s">
        <v>301</v>
      </c>
      <c r="C151" s="5" t="s">
        <v>6</v>
      </c>
      <c r="D151" s="6" t="s">
        <v>96</v>
      </c>
      <c r="E151" s="6">
        <v>49.337749083784765</v>
      </c>
      <c r="F151" s="6">
        <v>54.169281080393333</v>
      </c>
      <c r="G151" s="5">
        <f t="shared" si="29"/>
        <v>2</v>
      </c>
      <c r="H151" s="37">
        <v>49.337749083784765</v>
      </c>
      <c r="I151" s="107"/>
      <c r="J151" s="7"/>
      <c r="K151" s="74"/>
      <c r="L151" s="7"/>
      <c r="M151" s="74"/>
      <c r="N151" s="74"/>
      <c r="O151" s="7"/>
      <c r="P151" s="74"/>
      <c r="Q151" s="7"/>
      <c r="R151" s="74"/>
      <c r="S151" s="74"/>
      <c r="T151" s="7"/>
      <c r="U151" s="7"/>
      <c r="V151" s="74"/>
      <c r="W151" s="74"/>
      <c r="X151" s="74"/>
      <c r="Y151" s="227"/>
      <c r="Z151" s="228"/>
      <c r="AA151" s="74"/>
      <c r="AB151" s="74"/>
      <c r="AC151" s="74"/>
      <c r="AD151" s="74"/>
      <c r="AE151" s="7"/>
      <c r="AF151" s="74"/>
      <c r="AG151" s="74"/>
      <c r="AH151" s="7"/>
      <c r="AI151" s="7"/>
      <c r="AJ151" s="7"/>
      <c r="AK151" s="7"/>
      <c r="AL151" s="7"/>
      <c r="AM151" s="7"/>
      <c r="AN151" s="7"/>
      <c r="AO151" s="74"/>
      <c r="AP151" s="7"/>
      <c r="AQ151" s="74"/>
      <c r="AR151" s="101"/>
      <c r="AS151" s="7"/>
      <c r="AT151" s="101"/>
      <c r="AU151" s="7"/>
      <c r="AV151" s="101"/>
      <c r="AW151" s="7">
        <f>(INDEX('Race 41'!$E$8:$E$200,(MATCH($B151,'Race 41'!$B$8:$B$200,0)),1))*100</f>
        <v>52.156732596766261</v>
      </c>
      <c r="AX151" s="8">
        <f>(INDEX('Race 42'!$E$8:$E$200,(MATCH($B151,'Race 42'!$B$8:$B$200,0)),1))*100</f>
        <v>56.181829564020411</v>
      </c>
      <c r="AY151" s="36"/>
      <c r="AZ151" s="74"/>
      <c r="BA151" s="74"/>
      <c r="BB151" s="74"/>
      <c r="BC151" s="74"/>
      <c r="BD151" s="7"/>
      <c r="BE151" s="7"/>
      <c r="BF151" s="74"/>
      <c r="BG151" s="74"/>
      <c r="BH151" s="74"/>
      <c r="BI151" s="74"/>
      <c r="BJ151" s="74"/>
      <c r="BK151" s="7"/>
      <c r="BL151" s="74"/>
      <c r="BM151" s="7"/>
      <c r="BN151" s="103"/>
      <c r="BO151" s="103"/>
      <c r="BP151" s="7"/>
      <c r="BQ151" s="7"/>
      <c r="BR151" s="74"/>
      <c r="BS151" s="7"/>
      <c r="BT151" s="7"/>
      <c r="BU151" s="74"/>
      <c r="BV151" s="74"/>
      <c r="BW151" s="74"/>
      <c r="BX151" s="74"/>
      <c r="BY151" s="74"/>
      <c r="BZ151" s="103"/>
      <c r="CA151" s="7"/>
      <c r="CB151" s="74"/>
      <c r="CC151" s="74"/>
      <c r="CD151" s="74"/>
      <c r="CE151" s="7"/>
      <c r="CF151" s="74"/>
      <c r="CG151" s="74"/>
      <c r="CH151" s="7"/>
      <c r="CI151" s="74"/>
      <c r="CJ151" s="74"/>
      <c r="CK151" s="101"/>
      <c r="CL151" s="74"/>
      <c r="CM151" s="74"/>
      <c r="CN151" s="74"/>
      <c r="CO151" s="101"/>
      <c r="CP151" s="74"/>
      <c r="CQ151" s="74"/>
      <c r="CR151" s="74"/>
      <c r="CS151" s="74"/>
      <c r="CT151" s="74"/>
      <c r="CU151" s="74"/>
      <c r="CV151" s="74"/>
      <c r="CW151" s="74"/>
      <c r="CX151" s="7"/>
      <c r="CY151" s="7"/>
      <c r="CZ151" s="74"/>
      <c r="DA151" s="74"/>
      <c r="DB151" s="74"/>
      <c r="DC151" s="74"/>
      <c r="DD151" s="74"/>
      <c r="DE151" s="74"/>
      <c r="DF151" s="74"/>
      <c r="DG151" s="74"/>
      <c r="DH151" s="74"/>
      <c r="DI151" s="74"/>
      <c r="DJ151" s="74"/>
      <c r="DK151" s="74"/>
      <c r="DL151" s="74"/>
      <c r="DM151" s="74"/>
      <c r="DN151" s="74"/>
      <c r="DO151" s="74"/>
      <c r="DP151" s="74"/>
      <c r="DQ151" s="74"/>
      <c r="DR151" s="7"/>
      <c r="DS151" s="7"/>
      <c r="DT151" s="74"/>
      <c r="DU151" s="74"/>
      <c r="DV151" s="74"/>
      <c r="DW151" s="74"/>
      <c r="DX151" s="74"/>
      <c r="DY151" s="74"/>
      <c r="DZ151" s="8">
        <f t="shared" si="30"/>
        <v>54.169281080393333</v>
      </c>
      <c r="EA151" s="3" t="str">
        <f t="shared" si="31"/>
        <v>Flanery, Michael</v>
      </c>
      <c r="EB151" s="2">
        <f t="shared" si="32"/>
        <v>1</v>
      </c>
      <c r="EC151" s="112">
        <f t="shared" si="41"/>
        <v>49.337749083784765</v>
      </c>
      <c r="ED151" s="29">
        <f t="shared" si="33"/>
        <v>53.295239158198868</v>
      </c>
      <c r="EE151" s="2">
        <f t="shared" si="34"/>
        <v>0</v>
      </c>
      <c r="EF151" s="46">
        <f t="shared" si="35"/>
        <v>2</v>
      </c>
      <c r="EG151" s="46">
        <f t="shared" si="36"/>
        <v>2</v>
      </c>
      <c r="EH151" s="29" t="str">
        <f t="shared" si="37"/>
        <v>SD</v>
      </c>
      <c r="EI151" s="29">
        <f>IF(COUNT(I151:Y151)&lt;5,DZ151,SUMPRODUCT(LARGE(I151:Y151,{1,2,3,4,5}))/5)</f>
        <v>54.169281080393333</v>
      </c>
      <c r="EJ151" s="29">
        <f>IF(COUNT(I151:AX151)&lt;5,DZ151,SUMPRODUCT(LARGE(I151:AX151,{1,2,3,4,5}))/5)</f>
        <v>54.169281080393333</v>
      </c>
      <c r="EK151" s="112">
        <f>IF(COUNT(I151:DY151)&lt;5,AVERAGE(I151:DY151),SUMPRODUCT(LARGE(I151:DY151,{1,2,3,4,5}))/5)</f>
        <v>54.169281080393333</v>
      </c>
      <c r="EL151" s="29">
        <f t="shared" si="38"/>
        <v>53.295239158198868</v>
      </c>
      <c r="EM151" s="116" t="str">
        <f t="shared" si="39"/>
        <v>Flanery, Michael</v>
      </c>
      <c r="EQ151"/>
    </row>
    <row r="152" spans="1:147" x14ac:dyDescent="0.25">
      <c r="A152" s="59">
        <f t="shared" si="40"/>
        <v>149</v>
      </c>
      <c r="B152" s="32" t="s">
        <v>1104</v>
      </c>
      <c r="C152" s="5" t="s">
        <v>16</v>
      </c>
      <c r="D152" s="6" t="s">
        <v>63</v>
      </c>
      <c r="E152" s="6">
        <v>0</v>
      </c>
      <c r="F152" s="6">
        <v>67.26815085005471</v>
      </c>
      <c r="G152" s="5">
        <f t="shared" si="29"/>
        <v>2</v>
      </c>
      <c r="H152" s="37">
        <v>0</v>
      </c>
      <c r="I152" s="36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227"/>
      <c r="Z152" s="228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4"/>
      <c r="AP152" s="7"/>
      <c r="AQ152" s="74"/>
      <c r="AR152" s="70"/>
      <c r="AS152" s="74">
        <f>(INDEX('Race 37'!$E$8:$E$200,(MATCH($B152,'Race 37'!$B$8:$B$200,0)),1))*100</f>
        <v>67.26815085005471</v>
      </c>
      <c r="AT152" s="70"/>
      <c r="AU152" s="7"/>
      <c r="AV152" s="70"/>
      <c r="AW152" s="7"/>
      <c r="AX152" s="183"/>
      <c r="AY152" s="10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0"/>
      <c r="BK152" s="74">
        <f>(INDEX('Race 55'!$E$8:$E$200,(MATCH($B152,'Race 55'!$B$8:$B$200,0)),1))*100</f>
        <v>70.609693244163751</v>
      </c>
      <c r="BL152" s="70"/>
      <c r="BM152" s="7"/>
      <c r="BN152" s="74"/>
      <c r="BO152" s="14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4"/>
      <c r="CG152" s="74"/>
      <c r="CH152" s="7"/>
      <c r="CI152" s="7"/>
      <c r="CJ152" s="7"/>
      <c r="CK152" s="101"/>
      <c r="CL152" s="74"/>
      <c r="CM152" s="74"/>
      <c r="CN152" s="74"/>
      <c r="CO152" s="70"/>
      <c r="CP152" s="74"/>
      <c r="CQ152" s="7"/>
      <c r="CR152" s="74"/>
      <c r="CS152" s="74"/>
      <c r="CT152" s="74"/>
      <c r="CU152" s="74"/>
      <c r="CV152" s="7"/>
      <c r="CW152" s="7"/>
      <c r="CX152" s="7"/>
      <c r="CY152" s="7"/>
      <c r="CZ152" s="7"/>
      <c r="DA152" s="7"/>
      <c r="DB152" s="7"/>
      <c r="DC152" s="7"/>
      <c r="DD152" s="7"/>
      <c r="DE152" s="74"/>
      <c r="DF152" s="74"/>
      <c r="DG152" s="74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8">
        <f t="shared" si="30"/>
        <v>68.93892204710923</v>
      </c>
      <c r="EA152" s="3" t="str">
        <f t="shared" si="31"/>
        <v>Flanigan, James</v>
      </c>
      <c r="EB152" s="2">
        <f t="shared" si="32"/>
        <v>1</v>
      </c>
      <c r="EC152" s="112">
        <f t="shared" si="41"/>
        <v>0</v>
      </c>
      <c r="ED152" s="29">
        <f t="shared" si="33"/>
        <v>67.826566358824508</v>
      </c>
      <c r="EE152" s="2">
        <f t="shared" si="34"/>
        <v>0</v>
      </c>
      <c r="EF152" s="46">
        <f t="shared" si="35"/>
        <v>2</v>
      </c>
      <c r="EG152" s="46">
        <f t="shared" si="36"/>
        <v>2</v>
      </c>
      <c r="EH152" s="29" t="str">
        <f t="shared" si="37"/>
        <v>VT</v>
      </c>
      <c r="EI152" s="29">
        <f>IF(COUNT(I152:Y152)&lt;5,DZ152,SUMPRODUCT(LARGE(I152:Y152,{1,2,3,4,5}))/5)</f>
        <v>68.93892204710923</v>
      </c>
      <c r="EJ152" s="29">
        <f>IF(COUNT(I152:AX152)&lt;5,DZ152,SUMPRODUCT(LARGE(I152:AX152,{1,2,3,4,5}))/5)</f>
        <v>68.93892204710923</v>
      </c>
      <c r="EK152" s="29">
        <f>IF(COUNT(I152:DY152)&lt;5,AVERAGE(I152:DY152),SUMPRODUCT(LARGE(I152:DY152,{1,2,3,4,5}))/5)</f>
        <v>68.93892204710923</v>
      </c>
      <c r="EL152" s="29">
        <f t="shared" si="38"/>
        <v>67.826566358824508</v>
      </c>
      <c r="EM152" s="116" t="str">
        <f t="shared" si="39"/>
        <v>Flanigan, James</v>
      </c>
      <c r="EQ152"/>
    </row>
    <row r="153" spans="1:147" x14ac:dyDescent="0.25">
      <c r="A153" s="59">
        <f t="shared" si="40"/>
        <v>150</v>
      </c>
      <c r="B153" s="32" t="s">
        <v>810</v>
      </c>
      <c r="C153" s="5" t="s">
        <v>6</v>
      </c>
      <c r="D153" s="6" t="s">
        <v>62</v>
      </c>
      <c r="E153" s="6">
        <v>36.274265135592508</v>
      </c>
      <c r="F153" s="6">
        <v>37.864959554198414</v>
      </c>
      <c r="G153" s="5">
        <f t="shared" si="29"/>
        <v>2</v>
      </c>
      <c r="H153" s="37">
        <v>36.274265135592508</v>
      </c>
      <c r="I153" s="36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227"/>
      <c r="Z153" s="228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4">
        <f>(INDEX('Race 30'!$E$8:$E$200,(MATCH($B153,'Race 30'!$B$8:$B$200,0)),1))*100</f>
        <v>37.864959554198414</v>
      </c>
      <c r="AM153" s="7"/>
      <c r="AN153" s="7"/>
      <c r="AO153" s="7"/>
      <c r="AP153" s="7"/>
      <c r="AQ153" s="74"/>
      <c r="AR153" s="70"/>
      <c r="AS153" s="7"/>
      <c r="AT153" s="70"/>
      <c r="AU153" s="7"/>
      <c r="AV153" s="70"/>
      <c r="AW153" s="7"/>
      <c r="AX153" s="8"/>
      <c r="AY153" s="36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103"/>
      <c r="BO153" s="14"/>
      <c r="BP153" s="7"/>
      <c r="BQ153" s="7"/>
      <c r="BR153" s="7"/>
      <c r="BS153" s="7">
        <f>(INDEX('Race 63'!$E$8:$E$200,(MATCH($B153,'Race 63'!$B$8:$B$200,0)),1))*100</f>
        <v>75.680664691138105</v>
      </c>
      <c r="BT153" s="7"/>
      <c r="BU153" s="7"/>
      <c r="BV153" s="7"/>
      <c r="BW153" s="7"/>
      <c r="BX153" s="70"/>
      <c r="BY153" s="7"/>
      <c r="BZ153" s="14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101"/>
      <c r="CL153" s="74"/>
      <c r="CM153" s="74"/>
      <c r="CN153" s="74"/>
      <c r="CO153" s="70"/>
      <c r="CP153" s="74"/>
      <c r="CQ153" s="7"/>
      <c r="CR153" s="74"/>
      <c r="CS153" s="74"/>
      <c r="CT153" s="74"/>
      <c r="CU153" s="74"/>
      <c r="CV153" s="7"/>
      <c r="CW153" s="7"/>
      <c r="CX153" s="7"/>
      <c r="CY153" s="7"/>
      <c r="CZ153" s="7"/>
      <c r="DA153" s="7"/>
      <c r="DB153" s="7"/>
      <c r="DC153" s="7"/>
      <c r="DD153" s="7"/>
      <c r="DE153" s="74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8">
        <f t="shared" si="30"/>
        <v>56.772812122668256</v>
      </c>
      <c r="EA153" s="3" t="str">
        <f t="shared" si="31"/>
        <v>Fleshman, James</v>
      </c>
      <c r="EB153" s="2">
        <f t="shared" si="32"/>
        <v>1</v>
      </c>
      <c r="EC153" s="112">
        <f t="shared" si="41"/>
        <v>36.274265135592508</v>
      </c>
      <c r="ED153" s="29">
        <f t="shared" si="33"/>
        <v>55.856761238359162</v>
      </c>
      <c r="EE153" s="2">
        <f t="shared" si="34"/>
        <v>0</v>
      </c>
      <c r="EF153" s="46">
        <f t="shared" si="35"/>
        <v>1</v>
      </c>
      <c r="EG153" s="46">
        <f t="shared" si="36"/>
        <v>2</v>
      </c>
      <c r="EH153" s="29" t="str">
        <f t="shared" si="37"/>
        <v>CO</v>
      </c>
      <c r="EI153" s="29">
        <f>IF(COUNT(I153:Y153)&lt;5,DZ153,SUMPRODUCT(LARGE(I153:Y153,{1,2,3,4,5}))/5)</f>
        <v>56.772812122668256</v>
      </c>
      <c r="EJ153" s="29">
        <f>IF(COUNT(I153:AX153)&lt;5,DZ153,SUMPRODUCT(LARGE(I153:AX153,{1,2,3,4,5}))/5)</f>
        <v>56.772812122668256</v>
      </c>
      <c r="EK153" s="29">
        <f>IF(COUNT(I153:DY153)&lt;5,AVERAGE(I153:DY153),SUMPRODUCT(LARGE(I153:DY153,{1,2,3,4,5}))/5)</f>
        <v>56.772812122668256</v>
      </c>
      <c r="EL153" s="29">
        <f t="shared" si="38"/>
        <v>55.856761238359162</v>
      </c>
      <c r="EM153" s="116" t="str">
        <f t="shared" si="39"/>
        <v>Fleshman, James</v>
      </c>
      <c r="EQ153"/>
    </row>
    <row r="154" spans="1:147" x14ac:dyDescent="0.25">
      <c r="A154" s="59">
        <f t="shared" si="40"/>
        <v>151</v>
      </c>
      <c r="B154" s="32" t="s">
        <v>101</v>
      </c>
      <c r="C154" s="5" t="s">
        <v>6</v>
      </c>
      <c r="D154" s="6" t="s">
        <v>69</v>
      </c>
      <c r="E154" s="6">
        <v>68.20924978926152</v>
      </c>
      <c r="F154" s="6">
        <v>68.20924978926152</v>
      </c>
      <c r="G154" s="5">
        <f t="shared" si="29"/>
        <v>1</v>
      </c>
      <c r="H154" s="37">
        <v>68.20924978926152</v>
      </c>
      <c r="I154" s="107"/>
      <c r="J154" s="7"/>
      <c r="K154" s="74"/>
      <c r="L154" s="7"/>
      <c r="M154" s="74"/>
      <c r="N154" s="74"/>
      <c r="O154" s="7"/>
      <c r="P154" s="74"/>
      <c r="Q154" s="74"/>
      <c r="R154" s="74"/>
      <c r="S154" s="74"/>
      <c r="T154" s="7"/>
      <c r="U154" s="7"/>
      <c r="V154" s="74"/>
      <c r="W154" s="7"/>
      <c r="X154" s="74"/>
      <c r="Y154" s="227"/>
      <c r="Z154" s="228"/>
      <c r="AA154" s="74"/>
      <c r="AB154" s="74"/>
      <c r="AC154" s="74"/>
      <c r="AD154" s="74"/>
      <c r="AE154" s="7"/>
      <c r="AF154" s="74"/>
      <c r="AG154" s="74"/>
      <c r="AH154" s="7"/>
      <c r="AI154" s="7"/>
      <c r="AJ154" s="7"/>
      <c r="AK154" s="7"/>
      <c r="AL154" s="7"/>
      <c r="AM154" s="7"/>
      <c r="AN154" s="7"/>
      <c r="AO154" s="74"/>
      <c r="AP154" s="7"/>
      <c r="AQ154" s="74"/>
      <c r="AR154" s="101"/>
      <c r="AS154" s="7"/>
      <c r="AT154" s="101"/>
      <c r="AU154" s="7"/>
      <c r="AV154" s="101"/>
      <c r="AW154" s="7"/>
      <c r="AX154" s="183"/>
      <c r="AY154" s="107"/>
      <c r="AZ154" s="74"/>
      <c r="BA154" s="74"/>
      <c r="BB154" s="74"/>
      <c r="BC154" s="74"/>
      <c r="BD154" s="7"/>
      <c r="BE154" s="7"/>
      <c r="BF154" s="74"/>
      <c r="BG154" s="74"/>
      <c r="BH154" s="74"/>
      <c r="BI154" s="74"/>
      <c r="BJ154" s="74"/>
      <c r="BK154" s="7"/>
      <c r="BL154" s="7"/>
      <c r="BM154" s="7"/>
      <c r="BN154" s="103"/>
      <c r="BO154" s="103"/>
      <c r="BP154" s="7"/>
      <c r="BQ154" s="7"/>
      <c r="BR154" s="74"/>
      <c r="BS154" s="7"/>
      <c r="BT154" s="7"/>
      <c r="BU154" s="74"/>
      <c r="BV154" s="74"/>
      <c r="BW154" s="74"/>
      <c r="BX154" s="74"/>
      <c r="BY154" s="74"/>
      <c r="BZ154" s="14"/>
      <c r="CA154" s="7">
        <f>(INDEX('Race 71'!$E$8:$E$200,(MATCH($B154,'Race 71'!$B$8:$B$200,0)),1))*100</f>
        <v>52.436361469370361</v>
      </c>
      <c r="CB154" s="7"/>
      <c r="CC154" s="7"/>
      <c r="CD154" s="7"/>
      <c r="CE154" s="74"/>
      <c r="CF154" s="74"/>
      <c r="CG154" s="74"/>
      <c r="CH154" s="7"/>
      <c r="CI154" s="74"/>
      <c r="CJ154" s="74"/>
      <c r="CK154" s="101"/>
      <c r="CL154" s="74"/>
      <c r="CM154" s="74"/>
      <c r="CN154" s="74"/>
      <c r="CO154" s="101"/>
      <c r="CP154" s="74"/>
      <c r="CQ154" s="74"/>
      <c r="CR154" s="74"/>
      <c r="CS154" s="74"/>
      <c r="CT154" s="74"/>
      <c r="CU154" s="74"/>
      <c r="CV154" s="74"/>
      <c r="CW154" s="7"/>
      <c r="CX154" s="7"/>
      <c r="CY154" s="7"/>
      <c r="CZ154" s="74"/>
      <c r="DA154" s="7"/>
      <c r="DB154" s="74"/>
      <c r="DC154" s="74"/>
      <c r="DD154" s="74"/>
      <c r="DE154" s="74"/>
      <c r="DF154" s="74"/>
      <c r="DG154" s="74"/>
      <c r="DH154" s="74"/>
      <c r="DI154" s="74"/>
      <c r="DJ154" s="74"/>
      <c r="DK154" s="74"/>
      <c r="DL154" s="74"/>
      <c r="DM154" s="74"/>
      <c r="DN154" s="74"/>
      <c r="DO154" s="74"/>
      <c r="DP154" s="74"/>
      <c r="DQ154" s="74"/>
      <c r="DR154" s="7"/>
      <c r="DS154" s="7"/>
      <c r="DT154" s="7"/>
      <c r="DU154" s="7"/>
      <c r="DV154" s="74"/>
      <c r="DW154" s="74"/>
      <c r="DX154" s="74"/>
      <c r="DY154" s="74"/>
      <c r="DZ154" s="8">
        <f t="shared" si="30"/>
        <v>52.436361469370361</v>
      </c>
      <c r="EA154" s="3" t="str">
        <f t="shared" si="31"/>
        <v>Fletcher, Chris</v>
      </c>
      <c r="EB154" s="2">
        <f t="shared" si="32"/>
        <v>1</v>
      </c>
      <c r="EC154" s="112">
        <f t="shared" si="41"/>
        <v>68.20924978926152</v>
      </c>
      <c r="ED154" s="29">
        <f t="shared" si="33"/>
        <v>51.590280863213657</v>
      </c>
      <c r="EE154" s="2">
        <f t="shared" si="34"/>
        <v>0</v>
      </c>
      <c r="EF154" s="46">
        <f t="shared" si="35"/>
        <v>0</v>
      </c>
      <c r="EG154" s="46">
        <f t="shared" si="36"/>
        <v>1</v>
      </c>
      <c r="EH154" s="29" t="str">
        <f t="shared" si="37"/>
        <v>WA</v>
      </c>
      <c r="EI154" s="29">
        <f>IF(COUNT(I154:Y154)&lt;5,DZ154,SUMPRODUCT(LARGE(I154:Y154,{1,2,3,4,5}))/5)</f>
        <v>52.436361469370361</v>
      </c>
      <c r="EJ154" s="29">
        <f>IF(COUNT(I154:AX154)&lt;5,DZ154,SUMPRODUCT(LARGE(I154:AX154,{1,2,3,4,5}))/5)</f>
        <v>52.436361469370361</v>
      </c>
      <c r="EK154" s="29">
        <f>IF(COUNT(I154:DY154)&lt;5,AVERAGE(I154:DY154),SUMPRODUCT(LARGE(I154:DY154,{1,2,3,4,5}))/5)</f>
        <v>52.436361469370361</v>
      </c>
      <c r="EL154" s="29">
        <f t="shared" si="38"/>
        <v>51.590280863213657</v>
      </c>
      <c r="EM154" s="116" t="str">
        <f t="shared" si="39"/>
        <v>Fletcher, Chris</v>
      </c>
      <c r="EQ154"/>
    </row>
    <row r="155" spans="1:147" x14ac:dyDescent="0.25">
      <c r="A155" s="59">
        <f t="shared" si="40"/>
        <v>152</v>
      </c>
      <c r="B155" s="4" t="s">
        <v>73</v>
      </c>
      <c r="C155" s="5" t="s">
        <v>6</v>
      </c>
      <c r="D155" s="5" t="s">
        <v>57</v>
      </c>
      <c r="E155" s="6">
        <v>47.182553604157363</v>
      </c>
      <c r="F155" s="6">
        <v>47.182553604157363</v>
      </c>
      <c r="G155" s="5">
        <f t="shared" si="29"/>
        <v>0</v>
      </c>
      <c r="H155" s="37">
        <v>47.182553604157363</v>
      </c>
      <c r="I155" s="107"/>
      <c r="J155" s="7"/>
      <c r="K155" s="74"/>
      <c r="L155" s="7"/>
      <c r="M155" s="74"/>
      <c r="N155" s="74"/>
      <c r="O155" s="7"/>
      <c r="P155" s="74"/>
      <c r="Q155" s="7"/>
      <c r="R155" s="74"/>
      <c r="S155" s="74"/>
      <c r="T155" s="7"/>
      <c r="U155" s="7"/>
      <c r="V155" s="74"/>
      <c r="W155" s="74"/>
      <c r="X155" s="7"/>
      <c r="Y155" s="227"/>
      <c r="Z155" s="228"/>
      <c r="AA155" s="74"/>
      <c r="AB155" s="74"/>
      <c r="AC155" s="74"/>
      <c r="AD155" s="74"/>
      <c r="AE155" s="7"/>
      <c r="AF155" s="74"/>
      <c r="AG155" s="74"/>
      <c r="AH155" s="7"/>
      <c r="AI155" s="7"/>
      <c r="AJ155" s="7"/>
      <c r="AK155" s="7"/>
      <c r="AL155" s="7"/>
      <c r="AM155" s="7"/>
      <c r="AN155" s="7"/>
      <c r="AO155" s="7"/>
      <c r="AP155" s="7"/>
      <c r="AQ155" s="74"/>
      <c r="AR155" s="101"/>
      <c r="AS155" s="7"/>
      <c r="AT155" s="101"/>
      <c r="AU155" s="7"/>
      <c r="AV155" s="101"/>
      <c r="AW155" s="7"/>
      <c r="AX155" s="8"/>
      <c r="AY155" s="36"/>
      <c r="AZ155" s="101"/>
      <c r="BA155" s="74"/>
      <c r="BB155" s="7"/>
      <c r="BC155" s="74"/>
      <c r="BD155" s="7"/>
      <c r="BE155" s="7"/>
      <c r="BF155" s="74"/>
      <c r="BG155" s="74"/>
      <c r="BH155" s="74"/>
      <c r="BI155" s="74"/>
      <c r="BJ155" s="74"/>
      <c r="BK155" s="7"/>
      <c r="BL155" s="74"/>
      <c r="BM155" s="7"/>
      <c r="BN155" s="74"/>
      <c r="BO155" s="103"/>
      <c r="BP155" s="7"/>
      <c r="BQ155" s="7"/>
      <c r="BR155" s="74"/>
      <c r="BS155" s="7"/>
      <c r="BT155" s="7"/>
      <c r="BU155" s="74"/>
      <c r="BV155" s="74"/>
      <c r="BW155" s="74"/>
      <c r="BX155" s="74"/>
      <c r="BY155" s="74"/>
      <c r="BZ155" s="103"/>
      <c r="CA155" s="7"/>
      <c r="CB155" s="74"/>
      <c r="CC155" s="74"/>
      <c r="CD155" s="74"/>
      <c r="CE155" s="7"/>
      <c r="CF155" s="74"/>
      <c r="CG155" s="74"/>
      <c r="CH155" s="7"/>
      <c r="CI155" s="74"/>
      <c r="CJ155" s="74"/>
      <c r="CK155" s="101"/>
      <c r="CL155" s="7"/>
      <c r="CM155" s="74"/>
      <c r="CN155" s="74"/>
      <c r="CO155" s="101"/>
      <c r="CP155" s="74"/>
      <c r="CQ155" s="74"/>
      <c r="CR155" s="74"/>
      <c r="CS155" s="74"/>
      <c r="CT155" s="74"/>
      <c r="CU155" s="74"/>
      <c r="CV155" s="74"/>
      <c r="CW155" s="74"/>
      <c r="CX155" s="7"/>
      <c r="CY155" s="7"/>
      <c r="CZ155" s="74"/>
      <c r="DA155" s="74"/>
      <c r="DB155" s="74"/>
      <c r="DC155" s="74"/>
      <c r="DD155" s="74"/>
      <c r="DE155" s="74"/>
      <c r="DF155" s="74"/>
      <c r="DG155" s="74"/>
      <c r="DH155" s="74"/>
      <c r="DI155" s="74"/>
      <c r="DJ155" s="74"/>
      <c r="DK155" s="74"/>
      <c r="DL155" s="74"/>
      <c r="DM155" s="74"/>
      <c r="DN155" s="74"/>
      <c r="DO155" s="74"/>
      <c r="DP155" s="74"/>
      <c r="DQ155" s="74"/>
      <c r="DR155" s="7"/>
      <c r="DS155" s="7"/>
      <c r="DT155" s="74"/>
      <c r="DU155" s="74"/>
      <c r="DV155" s="74"/>
      <c r="DW155" s="74"/>
      <c r="DX155" s="74"/>
      <c r="DY155" s="74"/>
      <c r="DZ155" s="8">
        <f t="shared" si="30"/>
        <v>47.182553604157363</v>
      </c>
      <c r="EA155" s="3" t="str">
        <f t="shared" si="31"/>
        <v>French, Steven</v>
      </c>
      <c r="EB155" s="2">
        <f t="shared" si="32"/>
        <v>0</v>
      </c>
      <c r="EC155" s="112">
        <f t="shared" si="41"/>
        <v>47.182553604157363</v>
      </c>
      <c r="ED155" s="29">
        <f t="shared" si="33"/>
        <v>0</v>
      </c>
      <c r="EE155" s="2">
        <f t="shared" si="34"/>
        <v>0</v>
      </c>
      <c r="EF155" s="46">
        <f t="shared" si="35"/>
        <v>0</v>
      </c>
      <c r="EG155" s="46">
        <f t="shared" si="36"/>
        <v>0</v>
      </c>
      <c r="EH155" s="29" t="str">
        <f t="shared" si="37"/>
        <v>NY</v>
      </c>
      <c r="EI155" s="29">
        <f>IF(COUNT(I155:Y155)&lt;5,DZ155,SUMPRODUCT(LARGE(I155:Y155,{1,2,3,4,5}))/5)</f>
        <v>47.182553604157363</v>
      </c>
      <c r="EJ155" s="29">
        <f>IF(COUNT(I155:AX155)&lt;5,DZ155,SUMPRODUCT(LARGE(I155:AX155,{1,2,3,4,5}))/5)</f>
        <v>47.182553604157363</v>
      </c>
      <c r="EK155" s="112">
        <f>IF(EG155&lt;0,AVERAGE(I155:DY155),0)</f>
        <v>0</v>
      </c>
      <c r="EL155" s="29">
        <f t="shared" si="38"/>
        <v>0</v>
      </c>
      <c r="EM155" s="116" t="str">
        <f t="shared" si="39"/>
        <v>French, Steven</v>
      </c>
      <c r="EQ155"/>
    </row>
    <row r="156" spans="1:147" x14ac:dyDescent="0.25">
      <c r="A156" s="59">
        <f t="shared" si="40"/>
        <v>153</v>
      </c>
      <c r="B156" s="32" t="s">
        <v>1135</v>
      </c>
      <c r="C156" s="5" t="s">
        <v>6</v>
      </c>
      <c r="D156" s="6" t="s">
        <v>781</v>
      </c>
      <c r="E156" s="6">
        <v>0</v>
      </c>
      <c r="F156" s="6">
        <v>41.224138015960648</v>
      </c>
      <c r="G156" s="5">
        <f t="shared" si="29"/>
        <v>4</v>
      </c>
      <c r="H156" s="37">
        <v>0</v>
      </c>
      <c r="I156" s="36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227"/>
      <c r="Z156" s="228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4"/>
      <c r="AP156" s="7"/>
      <c r="AQ156" s="74"/>
      <c r="AR156" s="70"/>
      <c r="AS156" s="7"/>
      <c r="AT156" s="70"/>
      <c r="AU156" s="7"/>
      <c r="AV156" s="70"/>
      <c r="AW156" s="7">
        <f>(INDEX('Race 41'!$E$8:$E$200,(MATCH($B156,'Race 41'!$B$8:$B$200,0)),1))*100</f>
        <v>38.34009747107784</v>
      </c>
      <c r="AX156" s="8">
        <f>(INDEX('Race 42'!$E$8:$E$200,(MATCH($B156,'Race 42'!$B$8:$B$200,0)),1))*100</f>
        <v>44.108178560843456</v>
      </c>
      <c r="AY156" s="36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103"/>
      <c r="BO156" s="14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14"/>
      <c r="CA156" s="7"/>
      <c r="CB156" s="7"/>
      <c r="CC156" s="7"/>
      <c r="CD156" s="7"/>
      <c r="CE156" s="7">
        <f>(INDEX('Race 75'!$E$8:$E$200,(MATCH($B156,'Race 75'!$B$8:$B$200,0)),1))*100</f>
        <v>35.081445546339665</v>
      </c>
      <c r="CF156" s="7">
        <f>(INDEX('Race 76'!$E$8:$E$200,(MATCH($B156,'Race 76'!$B$8:$B$200,0)),1))*100</f>
        <v>37.57676535362264</v>
      </c>
      <c r="CG156" s="7"/>
      <c r="CH156" s="7"/>
      <c r="CI156" s="7"/>
      <c r="CJ156" s="7"/>
      <c r="CK156" s="101"/>
      <c r="CL156" s="74"/>
      <c r="CM156" s="74"/>
      <c r="CN156" s="74"/>
      <c r="CO156" s="70"/>
      <c r="CP156" s="74"/>
      <c r="CQ156" s="7"/>
      <c r="CR156" s="74"/>
      <c r="CS156" s="74"/>
      <c r="CT156" s="74"/>
      <c r="CU156" s="74"/>
      <c r="CV156" s="7"/>
      <c r="CW156" s="7"/>
      <c r="CX156" s="7"/>
      <c r="CY156" s="7"/>
      <c r="CZ156" s="7"/>
      <c r="DA156" s="7"/>
      <c r="DB156" s="7"/>
      <c r="DC156" s="7"/>
      <c r="DD156" s="7"/>
      <c r="DE156" s="74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8">
        <f t="shared" si="30"/>
        <v>38.776621732970902</v>
      </c>
      <c r="EA156" s="3" t="str">
        <f t="shared" si="31"/>
        <v>Fugate, Christopher</v>
      </c>
      <c r="EB156" s="2">
        <f t="shared" si="32"/>
        <v>1</v>
      </c>
      <c r="EC156" s="112">
        <f t="shared" si="41"/>
        <v>0</v>
      </c>
      <c r="ED156" s="29">
        <f t="shared" si="33"/>
        <v>38.150946215044179</v>
      </c>
      <c r="EE156" s="2">
        <f t="shared" si="34"/>
        <v>0</v>
      </c>
      <c r="EF156" s="46">
        <f t="shared" si="35"/>
        <v>2</v>
      </c>
      <c r="EG156" s="46">
        <f t="shared" si="36"/>
        <v>4</v>
      </c>
      <c r="EH156" s="29" t="str">
        <f t="shared" si="37"/>
        <v>KY</v>
      </c>
      <c r="EI156" s="29">
        <f>IF(COUNT(I156:AD156)&lt;5,DZ156,SUMPRODUCT(LARGE(I156:AD156,{1,2,3,4,5}))/5)</f>
        <v>38.776621732970902</v>
      </c>
      <c r="EJ156" s="29">
        <f>IF(COUNT(I156:AX156)&lt;5,DZ156,SUMPRODUCT(LARGE(I156:AX156,{1,2,3,4,5}))/5)</f>
        <v>38.776621732970902</v>
      </c>
      <c r="EK156" s="29">
        <f>IF(COUNT(I156:DY156)&lt;5,AVERAGE(I156:DY156),SUMPRODUCT(LARGE(I156:DY156,{1,2,3,4,5}))/5)</f>
        <v>38.776621732970902</v>
      </c>
      <c r="EL156" s="29">
        <f t="shared" si="38"/>
        <v>38.150946215044179</v>
      </c>
      <c r="EM156" s="116" t="str">
        <f t="shared" si="39"/>
        <v>Fugate, Christopher</v>
      </c>
      <c r="EQ156"/>
    </row>
    <row r="157" spans="1:147" x14ac:dyDescent="0.25">
      <c r="A157" s="59">
        <f t="shared" si="40"/>
        <v>154</v>
      </c>
      <c r="B157" s="32" t="s">
        <v>1283</v>
      </c>
      <c r="C157" s="5" t="s">
        <v>6</v>
      </c>
      <c r="D157" s="6" t="s">
        <v>63</v>
      </c>
      <c r="E157" s="6">
        <v>0</v>
      </c>
      <c r="F157" s="6">
        <v>0</v>
      </c>
      <c r="G157" s="5">
        <f t="shared" si="29"/>
        <v>1</v>
      </c>
      <c r="H157" s="99">
        <v>0</v>
      </c>
      <c r="I157" s="36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227"/>
      <c r="Z157" s="228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4"/>
      <c r="AP157" s="7"/>
      <c r="AQ157" s="74"/>
      <c r="AR157" s="70"/>
      <c r="AS157" s="7"/>
      <c r="AT157" s="70"/>
      <c r="AU157" s="7"/>
      <c r="AV157" s="70"/>
      <c r="AW157" s="7"/>
      <c r="AX157" s="8"/>
      <c r="AY157" s="36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103"/>
      <c r="BO157" s="14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14"/>
      <c r="CA157" s="7"/>
      <c r="CB157" s="7"/>
      <c r="CC157" s="7"/>
      <c r="CD157" s="7"/>
      <c r="CE157" s="74"/>
      <c r="CF157" s="74">
        <f>(INDEX('Race 76'!$E$8:$E$200,(MATCH($B157,'Race 76'!$B$8:$B$200,0)),1))*100</f>
        <v>36.330466457295948</v>
      </c>
      <c r="CG157" s="7"/>
      <c r="CH157" s="70"/>
      <c r="CI157" s="7"/>
      <c r="CJ157" s="7"/>
      <c r="CK157" s="101"/>
      <c r="CL157" s="74"/>
      <c r="CM157" s="74"/>
      <c r="CN157" s="74"/>
      <c r="CO157" s="70"/>
      <c r="CP157" s="74"/>
      <c r="CQ157" s="7"/>
      <c r="CR157" s="74"/>
      <c r="CS157" s="74"/>
      <c r="CT157" s="74"/>
      <c r="CU157" s="74"/>
      <c r="CV157" s="7"/>
      <c r="CW157" s="7"/>
      <c r="CX157" s="7"/>
      <c r="CY157" s="7"/>
      <c r="CZ157" s="7"/>
      <c r="DA157" s="7"/>
      <c r="DB157" s="7"/>
      <c r="DC157" s="7"/>
      <c r="DD157" s="7"/>
      <c r="DE157" s="74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8">
        <f t="shared" si="30"/>
        <v>36.330466457295948</v>
      </c>
      <c r="EA157" s="3" t="str">
        <f t="shared" si="31"/>
        <v>GAGNON, TODD</v>
      </c>
      <c r="EB157" s="2">
        <f t="shared" si="32"/>
        <v>1</v>
      </c>
      <c r="EC157" s="29">
        <v>0</v>
      </c>
      <c r="ED157" s="29">
        <f t="shared" si="33"/>
        <v>35.744260583722891</v>
      </c>
      <c r="EE157" s="2">
        <f t="shared" si="34"/>
        <v>0</v>
      </c>
      <c r="EF157" s="46">
        <f t="shared" si="35"/>
        <v>0</v>
      </c>
      <c r="EG157" s="46">
        <f t="shared" si="36"/>
        <v>1</v>
      </c>
      <c r="EH157" s="29" t="str">
        <f t="shared" si="37"/>
        <v>VT</v>
      </c>
      <c r="EI157" s="29">
        <f>IF(COUNT(I157:AD157)&lt;5,DZ157,SUMPRODUCT(LARGE(I157:AD157,{1,2,3,4,5}))/5)</f>
        <v>36.330466457295948</v>
      </c>
      <c r="EJ157" s="29">
        <f>IF(COUNT(I157:BE157)&lt;5,DZ157,SUMPRODUCT(LARGE(I157:BE157,{1,2,3,4,5}))/5)</f>
        <v>36.330466457295948</v>
      </c>
      <c r="EK157" s="29">
        <f>IF(COUNT(I157:DY157)&lt;5,AVERAGE(I157:DY157),SUMPRODUCT(LARGE(I157:DY157,{1,2,3,4,5}))/5)</f>
        <v>36.330466457295948</v>
      </c>
      <c r="EL157" s="29">
        <f t="shared" si="38"/>
        <v>35.744260583722891</v>
      </c>
      <c r="EM157" s="116" t="str">
        <f t="shared" si="39"/>
        <v>GAGNON, TODD</v>
      </c>
      <c r="EQ157"/>
    </row>
    <row r="158" spans="1:147" x14ac:dyDescent="0.25">
      <c r="A158" s="59">
        <f t="shared" si="40"/>
        <v>155</v>
      </c>
      <c r="B158" s="32" t="s">
        <v>116</v>
      </c>
      <c r="C158" s="5" t="s">
        <v>6</v>
      </c>
      <c r="D158" s="6" t="s">
        <v>58</v>
      </c>
      <c r="E158" s="6">
        <v>63.412418623415896</v>
      </c>
      <c r="F158" s="6">
        <v>65.870234715866289</v>
      </c>
      <c r="G158" s="5">
        <f t="shared" si="29"/>
        <v>6</v>
      </c>
      <c r="H158" s="37">
        <v>61.715806117498708</v>
      </c>
      <c r="I158" s="107"/>
      <c r="J158" s="7"/>
      <c r="K158" s="74"/>
      <c r="L158" s="7"/>
      <c r="M158" s="74"/>
      <c r="N158" s="74"/>
      <c r="O158" s="7"/>
      <c r="P158" s="74"/>
      <c r="Q158" s="7"/>
      <c r="R158" s="74"/>
      <c r="S158" s="74"/>
      <c r="T158" s="7"/>
      <c r="U158" s="7"/>
      <c r="V158" s="74"/>
      <c r="W158" s="7">
        <f>(INDEX('Race 15'!$E$8:$E$200,(MATCH($B158,'Race 15'!$B$8:$B$200,0)),1))*100</f>
        <v>63.325324169305134</v>
      </c>
      <c r="X158" s="7">
        <f>(INDEX('Race 16'!$E$8:$E$200,(MATCH($B158,'Race 16'!$B$8:$B$200,0)),1))*100</f>
        <v>63.499513077526657</v>
      </c>
      <c r="Y158" s="227"/>
      <c r="Z158" s="228"/>
      <c r="AA158" s="74"/>
      <c r="AB158" s="7"/>
      <c r="AC158" s="7"/>
      <c r="AD158" s="74"/>
      <c r="AE158" s="74"/>
      <c r="AF158" s="74"/>
      <c r="AG158" s="74"/>
      <c r="AH158" s="7"/>
      <c r="AI158" s="7"/>
      <c r="AJ158" s="7"/>
      <c r="AK158" s="7"/>
      <c r="AL158" s="7"/>
      <c r="AM158" s="7"/>
      <c r="AN158" s="7"/>
      <c r="AO158" s="74"/>
      <c r="AP158" s="7"/>
      <c r="AQ158" s="74"/>
      <c r="AR158" s="101"/>
      <c r="AS158" s="7"/>
      <c r="AT158" s="101"/>
      <c r="AU158" s="7"/>
      <c r="AV158" s="101"/>
      <c r="AW158" s="7">
        <f>(INDEX('Race 41'!$E$8:$E$200,(MATCH($B158,'Race 41'!$B$8:$B$200,0)),1))*100</f>
        <v>66.488752602109969</v>
      </c>
      <c r="AX158" s="8">
        <f>(INDEX('Race 42'!$E$8:$E$200,(MATCH($B158,'Race 42'!$B$8:$B$200,0)),1))*100</f>
        <v>70.167349014523367</v>
      </c>
      <c r="AY158" s="36"/>
      <c r="AZ158" s="74"/>
      <c r="BA158" s="74"/>
      <c r="BB158" s="74"/>
      <c r="BC158" s="74"/>
      <c r="BD158" s="7"/>
      <c r="BE158" s="7"/>
      <c r="BF158" s="74"/>
      <c r="BG158" s="74"/>
      <c r="BH158" s="74"/>
      <c r="BI158" s="74"/>
      <c r="BJ158" s="74"/>
      <c r="BK158" s="7"/>
      <c r="BL158" s="74"/>
      <c r="BM158" s="7"/>
      <c r="BN158" s="103"/>
      <c r="BO158" s="103"/>
      <c r="BP158" s="7"/>
      <c r="BQ158" s="7"/>
      <c r="BR158" s="74"/>
      <c r="BS158" s="7"/>
      <c r="BT158" s="7"/>
      <c r="BU158" s="74"/>
      <c r="BV158" s="74"/>
      <c r="BW158" s="74"/>
      <c r="BX158" s="74"/>
      <c r="BY158" s="74"/>
      <c r="BZ158" s="103"/>
      <c r="CA158" s="7"/>
      <c r="CB158" s="74"/>
      <c r="CC158" s="74"/>
      <c r="CD158" s="74"/>
      <c r="CE158" s="7">
        <f>(INDEX('Race 75'!$E$8:$E$200,(MATCH($B158,'Race 75'!$B$8:$B$200,0)),1))*100</f>
        <v>69.989756259631406</v>
      </c>
      <c r="CF158" s="74">
        <f>(INDEX('Race 76'!$E$8:$E$200,(MATCH($B158,'Race 76'!$B$8:$B$200,0)),1))*100</f>
        <v>65.597503422898029</v>
      </c>
      <c r="CG158" s="7"/>
      <c r="CH158" s="70"/>
      <c r="CI158" s="74"/>
      <c r="CJ158" s="74"/>
      <c r="CK158" s="101"/>
      <c r="CL158" s="74"/>
      <c r="CM158" s="74"/>
      <c r="CN158" s="74"/>
      <c r="CO158" s="101"/>
      <c r="CP158" s="74"/>
      <c r="CQ158" s="74"/>
      <c r="CR158" s="74"/>
      <c r="CS158" s="74"/>
      <c r="CT158" s="74"/>
      <c r="CU158" s="74"/>
      <c r="CV158" s="74"/>
      <c r="CW158" s="74"/>
      <c r="CX158" s="7"/>
      <c r="CY158" s="7"/>
      <c r="CZ158" s="74"/>
      <c r="DA158" s="74"/>
      <c r="DB158" s="74"/>
      <c r="DC158" s="74"/>
      <c r="DD158" s="74"/>
      <c r="DE158" s="74"/>
      <c r="DF158" s="74"/>
      <c r="DG158" s="74"/>
      <c r="DH158" s="74"/>
      <c r="DI158" s="74"/>
      <c r="DJ158" s="74"/>
      <c r="DK158" s="74"/>
      <c r="DL158" s="74"/>
      <c r="DM158" s="74"/>
      <c r="DN158" s="74"/>
      <c r="DO158" s="74"/>
      <c r="DP158" s="74"/>
      <c r="DQ158" s="74"/>
      <c r="DR158" s="7"/>
      <c r="DS158" s="7"/>
      <c r="DT158" s="74"/>
      <c r="DU158" s="74"/>
      <c r="DV158" s="74"/>
      <c r="DW158" s="74"/>
      <c r="DX158" s="74"/>
      <c r="DY158" s="74"/>
      <c r="DZ158" s="8">
        <f t="shared" si="30"/>
        <v>66.511366424332437</v>
      </c>
      <c r="EA158" s="3" t="str">
        <f t="shared" si="31"/>
        <v>Gangi, Frank</v>
      </c>
      <c r="EB158" s="2">
        <f t="shared" si="32"/>
        <v>1</v>
      </c>
      <c r="EC158" s="112">
        <f t="shared" ref="EC158:EC171" si="42">H158</f>
        <v>61.715806117498708</v>
      </c>
      <c r="ED158" s="29">
        <f t="shared" si="33"/>
        <v>66.065107118592962</v>
      </c>
      <c r="EE158" s="2">
        <f t="shared" si="34"/>
        <v>2</v>
      </c>
      <c r="EF158" s="46">
        <f t="shared" si="35"/>
        <v>4</v>
      </c>
      <c r="EG158" s="46">
        <f t="shared" si="36"/>
        <v>6</v>
      </c>
      <c r="EH158" s="29" t="str">
        <f t="shared" si="37"/>
        <v>MN</v>
      </c>
      <c r="EI158" s="29">
        <f>IF(COUNT(I158:Y158)&lt;5,DZ158,SUMPRODUCT(LARGE(I158:Y158,{1,2,3,4,5}))/5)</f>
        <v>66.511366424332437</v>
      </c>
      <c r="EJ158" s="29">
        <f>IF(COUNT(I158:AX158)&lt;5,DZ158,SUMPRODUCT(LARGE(I158:AX158,{1,2,3,4,5}))/5)</f>
        <v>66.511366424332437</v>
      </c>
      <c r="EK158" s="29">
        <f>IF(COUNT(I158:DY158)&lt;5,AVERAGE(I158:DY158),SUMPRODUCT(LARGE(I158:DY158,{1,2,3,4,5}))/5)</f>
        <v>67.148574875337886</v>
      </c>
      <c r="EL158" s="29">
        <f t="shared" si="38"/>
        <v>66.065107118592962</v>
      </c>
      <c r="EM158" s="116" t="str">
        <f t="shared" si="39"/>
        <v>Gangi, Frank</v>
      </c>
      <c r="EQ158"/>
    </row>
    <row r="159" spans="1:147" x14ac:dyDescent="0.25">
      <c r="A159" s="59">
        <f t="shared" si="40"/>
        <v>156</v>
      </c>
      <c r="B159" s="32" t="s">
        <v>1046</v>
      </c>
      <c r="C159" s="5" t="s">
        <v>16</v>
      </c>
      <c r="D159" s="6" t="s">
        <v>58</v>
      </c>
      <c r="E159" s="6">
        <v>55.446606937245257</v>
      </c>
      <c r="F159" s="6">
        <v>55.446606937245257</v>
      </c>
      <c r="G159" s="5">
        <f t="shared" si="29"/>
        <v>1</v>
      </c>
      <c r="H159" s="37">
        <v>0</v>
      </c>
      <c r="I159" s="10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227">
        <f>(INDEX('Race 17'!$E$8:$E$200,(MATCH($B159,'Race 17'!$B$8:$B$200,0)),1))*100</f>
        <v>55.446606937245257</v>
      </c>
      <c r="Z159" s="228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4"/>
      <c r="AP159" s="7"/>
      <c r="AQ159" s="74"/>
      <c r="AR159" s="70"/>
      <c r="AS159" s="7"/>
      <c r="AT159" s="70"/>
      <c r="AU159" s="7"/>
      <c r="AV159" s="70"/>
      <c r="AW159" s="7"/>
      <c r="AX159" s="183"/>
      <c r="AY159" s="10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103"/>
      <c r="BO159" s="14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14"/>
      <c r="CA159" s="7"/>
      <c r="CB159" s="7"/>
      <c r="CC159" s="7"/>
      <c r="CD159" s="7"/>
      <c r="CE159" s="7"/>
      <c r="CF159" s="74"/>
      <c r="CG159" s="7"/>
      <c r="CH159" s="7"/>
      <c r="CI159" s="7"/>
      <c r="CJ159" s="7"/>
      <c r="CK159" s="101"/>
      <c r="CL159" s="74"/>
      <c r="CM159" s="74"/>
      <c r="CN159" s="74"/>
      <c r="CO159" s="70"/>
      <c r="CP159" s="74"/>
      <c r="CQ159" s="7"/>
      <c r="CR159" s="74"/>
      <c r="CS159" s="74"/>
      <c r="CT159" s="74"/>
      <c r="CU159" s="74"/>
      <c r="CV159" s="7"/>
      <c r="CW159" s="7"/>
      <c r="CX159" s="7"/>
      <c r="CY159" s="7"/>
      <c r="CZ159" s="7"/>
      <c r="DA159" s="7"/>
      <c r="DB159" s="7"/>
      <c r="DC159" s="7"/>
      <c r="DD159" s="7"/>
      <c r="DE159" s="74"/>
      <c r="DF159" s="74"/>
      <c r="DG159" s="74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8">
        <f t="shared" si="30"/>
        <v>55.446606937245257</v>
      </c>
      <c r="EA159" s="3" t="str">
        <f t="shared" si="31"/>
        <v>Garlick, Will</v>
      </c>
      <c r="EB159" s="2">
        <f t="shared" si="32"/>
        <v>1</v>
      </c>
      <c r="EC159" s="112">
        <f t="shared" si="42"/>
        <v>0</v>
      </c>
      <c r="ED159" s="29">
        <f t="shared" si="33"/>
        <v>54.551954877258225</v>
      </c>
      <c r="EE159" s="2">
        <f t="shared" si="34"/>
        <v>1</v>
      </c>
      <c r="EF159" s="46">
        <f t="shared" si="35"/>
        <v>1</v>
      </c>
      <c r="EG159" s="46">
        <f t="shared" si="36"/>
        <v>1</v>
      </c>
      <c r="EH159" s="2" t="str">
        <f t="shared" si="37"/>
        <v>MN</v>
      </c>
      <c r="EI159" s="29">
        <f>IF(COUNT(I159:Y159)&lt;5,DZ159,SUMPRODUCT(LARGE(I159:Y159,{1,2,3,4,5}))/5)</f>
        <v>55.446606937245257</v>
      </c>
      <c r="EJ159" s="29">
        <f>IF(COUNT(I159:AX159)&lt;5,DZ159,SUMPRODUCT(LARGE(I159:AX159,{1,2,3,4,5}))/5)</f>
        <v>55.446606937245257</v>
      </c>
      <c r="EK159" s="29">
        <f>IF(COUNT(I159:DY159)&lt;5,AVERAGE(I159:DY159),SUMPRODUCT(LARGE(I159:DY159,{1,2,3,4,5}))/5)</f>
        <v>55.446606937245257</v>
      </c>
      <c r="EL159" s="29">
        <f t="shared" si="38"/>
        <v>54.551954877258225</v>
      </c>
      <c r="EM159" s="116" t="str">
        <f t="shared" si="39"/>
        <v>Garlick, Will</v>
      </c>
      <c r="EQ159"/>
    </row>
    <row r="160" spans="1:147" x14ac:dyDescent="0.25">
      <c r="A160" s="59">
        <f t="shared" si="40"/>
        <v>157</v>
      </c>
      <c r="B160" s="32" t="s">
        <v>1154</v>
      </c>
      <c r="C160" s="5" t="s">
        <v>6</v>
      </c>
      <c r="D160" s="6" t="s">
        <v>75</v>
      </c>
      <c r="E160" s="6">
        <v>0</v>
      </c>
      <c r="F160" s="6">
        <v>32.157315266098983</v>
      </c>
      <c r="G160" s="5">
        <f t="shared" si="29"/>
        <v>2</v>
      </c>
      <c r="H160" s="37">
        <v>0</v>
      </c>
      <c r="I160" s="36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227"/>
      <c r="Z160" s="228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4"/>
      <c r="AP160" s="7"/>
      <c r="AQ160" s="74"/>
      <c r="AR160" s="7"/>
      <c r="AS160" s="7"/>
      <c r="AT160" s="70"/>
      <c r="AU160" s="7"/>
      <c r="AV160" s="70"/>
      <c r="AW160" s="7">
        <f>(INDEX('Race 41'!$E$8:$E$200,(MATCH($B160,'Race 41'!$B$8:$B$200,0)),1))*100</f>
        <v>29.155937476453193</v>
      </c>
      <c r="AX160" s="8">
        <f>(INDEX('Race 42'!$E$8:$E$200,(MATCH($B160,'Race 42'!$B$8:$B$200,0)),1))*100</f>
        <v>35.158693055744777</v>
      </c>
      <c r="AY160" s="36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103"/>
      <c r="BO160" s="14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14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101"/>
      <c r="CL160" s="74"/>
      <c r="CM160" s="74"/>
      <c r="CN160" s="74"/>
      <c r="CO160" s="70"/>
      <c r="CP160" s="74"/>
      <c r="CQ160" s="7"/>
      <c r="CR160" s="74"/>
      <c r="CS160" s="74"/>
      <c r="CT160" s="74"/>
      <c r="CU160" s="74"/>
      <c r="CV160" s="7"/>
      <c r="CW160" s="7"/>
      <c r="CX160" s="7"/>
      <c r="CY160" s="7"/>
      <c r="CZ160" s="7"/>
      <c r="DA160" s="7"/>
      <c r="DB160" s="7"/>
      <c r="DC160" s="7"/>
      <c r="DD160" s="7"/>
      <c r="DE160" s="74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8">
        <f t="shared" si="30"/>
        <v>32.157315266098983</v>
      </c>
      <c r="EA160" s="3" t="str">
        <f t="shared" si="31"/>
        <v>Garrison, Charles</v>
      </c>
      <c r="EB160" s="2">
        <f t="shared" si="32"/>
        <v>1</v>
      </c>
      <c r="EC160" s="112">
        <f t="shared" si="42"/>
        <v>0</v>
      </c>
      <c r="ED160" s="29">
        <f t="shared" si="33"/>
        <v>31.638444771840796</v>
      </c>
      <c r="EE160" s="2">
        <f t="shared" si="34"/>
        <v>0</v>
      </c>
      <c r="EF160" s="46">
        <f t="shared" si="35"/>
        <v>2</v>
      </c>
      <c r="EG160" s="46">
        <f t="shared" si="36"/>
        <v>2</v>
      </c>
      <c r="EH160" s="29" t="str">
        <f t="shared" si="37"/>
        <v>ID</v>
      </c>
      <c r="EI160" s="29">
        <f>IF(COUNT(I160:AD160)&lt;5,DZ160,SUMPRODUCT(LARGE(I160:AD160,{1,2,3,4,5}))/5)</f>
        <v>32.157315266098983</v>
      </c>
      <c r="EJ160" s="29">
        <f>IF(COUNT(I160:AX160)&lt;5,DZ160,SUMPRODUCT(LARGE(I160:AX160,{1,2,3,4,5}))/5)</f>
        <v>32.157315266098983</v>
      </c>
      <c r="EK160" s="29">
        <f>IF(COUNT(I160:DY160)&lt;5,AVERAGE(I160:DY160),SUMPRODUCT(LARGE(I160:DY160,{1,2,3,4,5}))/5)</f>
        <v>32.157315266098983</v>
      </c>
      <c r="EL160" s="29">
        <f t="shared" si="38"/>
        <v>31.638444771840796</v>
      </c>
      <c r="EM160" s="116" t="str">
        <f t="shared" si="39"/>
        <v>Garrison, Charles</v>
      </c>
      <c r="EQ160"/>
    </row>
    <row r="161" spans="1:147" x14ac:dyDescent="0.25">
      <c r="A161" s="59">
        <f t="shared" si="40"/>
        <v>158</v>
      </c>
      <c r="B161" s="32" t="s">
        <v>1201</v>
      </c>
      <c r="C161" s="5" t="s">
        <v>6</v>
      </c>
      <c r="D161" s="6" t="s">
        <v>62</v>
      </c>
      <c r="E161" s="6">
        <v>0</v>
      </c>
      <c r="F161" s="6">
        <v>0</v>
      </c>
      <c r="G161" s="5">
        <f t="shared" si="29"/>
        <v>1</v>
      </c>
      <c r="H161" s="37">
        <v>0</v>
      </c>
      <c r="I161" s="36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227"/>
      <c r="Z161" s="228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4"/>
      <c r="AP161" s="7"/>
      <c r="AQ161" s="74"/>
      <c r="AR161" s="70"/>
      <c r="AS161" s="7"/>
      <c r="AT161" s="7"/>
      <c r="AU161" s="7"/>
      <c r="AV161" s="7"/>
      <c r="AW161" s="7"/>
      <c r="AX161" s="8"/>
      <c r="AY161" s="36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4"/>
      <c r="BK161" s="7"/>
      <c r="BL161" s="74"/>
      <c r="BM161" s="7"/>
      <c r="BN161" s="14"/>
      <c r="BO161" s="14"/>
      <c r="BP161" s="7"/>
      <c r="BQ161" s="7"/>
      <c r="BR161" s="7"/>
      <c r="BS161" s="7"/>
      <c r="BT161" s="7">
        <f>(INDEX('Race 64'!$E$8:$E$200,(MATCH($B161,'Race 64'!$B$8:$B$200,0)),1))*100</f>
        <v>56.632612660142833</v>
      </c>
      <c r="BU161" s="7"/>
      <c r="BV161" s="7"/>
      <c r="BW161" s="7"/>
      <c r="BX161" s="7"/>
      <c r="BY161" s="7"/>
      <c r="BZ161" s="14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101"/>
      <c r="CL161" s="74"/>
      <c r="CM161" s="74"/>
      <c r="CN161" s="74"/>
      <c r="CO161" s="70"/>
      <c r="CP161" s="74"/>
      <c r="CQ161" s="7"/>
      <c r="CR161" s="74"/>
      <c r="CS161" s="74"/>
      <c r="CT161" s="74"/>
      <c r="CU161" s="74"/>
      <c r="CV161" s="74"/>
      <c r="CW161" s="7"/>
      <c r="CX161" s="7"/>
      <c r="CY161" s="7"/>
      <c r="CZ161" s="7"/>
      <c r="DA161" s="7"/>
      <c r="DB161" s="7"/>
      <c r="DC161" s="7"/>
      <c r="DD161" s="7"/>
      <c r="DE161" s="74"/>
      <c r="DF161" s="74"/>
      <c r="DG161" s="74"/>
      <c r="DH161" s="74"/>
      <c r="DI161" s="74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8">
        <f t="shared" si="30"/>
        <v>56.632612660142833</v>
      </c>
      <c r="EA161" s="3" t="str">
        <f t="shared" si="31"/>
        <v>Garry, Sam</v>
      </c>
      <c r="EB161" s="2">
        <f t="shared" si="32"/>
        <v>1</v>
      </c>
      <c r="EC161" s="112">
        <f t="shared" si="42"/>
        <v>0</v>
      </c>
      <c r="ED161" s="29">
        <f t="shared" si="33"/>
        <v>55.718823947405383</v>
      </c>
      <c r="EE161" s="2">
        <f t="shared" si="34"/>
        <v>0</v>
      </c>
      <c r="EF161" s="46">
        <f t="shared" si="35"/>
        <v>0</v>
      </c>
      <c r="EG161" s="46">
        <f t="shared" si="36"/>
        <v>1</v>
      </c>
      <c r="EH161" s="2" t="str">
        <f t="shared" si="37"/>
        <v>CO</v>
      </c>
      <c r="EI161" s="29">
        <f>IF(COUNT(I161:AD161)&lt;5,DZ161,SUMPRODUCT(LARGE(I161:AD161,{1,2,3,4,5}))/5)</f>
        <v>56.632612660142833</v>
      </c>
      <c r="EJ161" s="29">
        <f>IF(COUNT(I161:BE161)&lt;5,DZ161,SUMPRODUCT(LARGE(I161:BE161,{1,2,3,4,5}))/5)</f>
        <v>56.632612660142833</v>
      </c>
      <c r="EK161" s="29">
        <f>IF(COUNT(I161:DY161)&lt;5,AVERAGE(I161:DY161),SUMPRODUCT(LARGE(I161:DY161,{1,2,3,4,5}))/5)</f>
        <v>56.632612660142833</v>
      </c>
      <c r="EL161" s="29">
        <f t="shared" si="38"/>
        <v>55.718823947405383</v>
      </c>
      <c r="EM161" s="116" t="str">
        <f t="shared" si="39"/>
        <v>Garry, Sam</v>
      </c>
      <c r="EQ161"/>
    </row>
    <row r="162" spans="1:147" x14ac:dyDescent="0.25">
      <c r="A162" s="59">
        <f t="shared" si="40"/>
        <v>159</v>
      </c>
      <c r="B162" s="32" t="s">
        <v>836</v>
      </c>
      <c r="C162" s="5" t="s">
        <v>6</v>
      </c>
      <c r="D162" s="6" t="s">
        <v>62</v>
      </c>
      <c r="E162" s="6">
        <v>50.486359785060678</v>
      </c>
      <c r="F162" s="6">
        <v>50.486359785060678</v>
      </c>
      <c r="G162" s="5">
        <f t="shared" si="29"/>
        <v>0</v>
      </c>
      <c r="H162" s="37">
        <v>50.486359785060678</v>
      </c>
      <c r="I162" s="36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227"/>
      <c r="Z162" s="228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4"/>
      <c r="AP162" s="7"/>
      <c r="AQ162" s="74"/>
      <c r="AR162" s="70"/>
      <c r="AS162" s="7"/>
      <c r="AT162" s="70"/>
      <c r="AU162" s="7"/>
      <c r="AV162" s="70"/>
      <c r="AW162" s="7"/>
      <c r="AX162" s="183"/>
      <c r="AY162" s="10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103"/>
      <c r="BO162" s="14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14"/>
      <c r="CA162" s="7"/>
      <c r="CB162" s="7"/>
      <c r="CC162" s="7"/>
      <c r="CD162" s="7"/>
      <c r="CE162" s="74"/>
      <c r="CF162" s="74"/>
      <c r="CG162" s="7"/>
      <c r="CH162" s="7"/>
      <c r="CI162" s="7"/>
      <c r="CJ162" s="7"/>
      <c r="CK162" s="101"/>
      <c r="CL162" s="74"/>
      <c r="CM162" s="74"/>
      <c r="CN162" s="74"/>
      <c r="CO162" s="70"/>
      <c r="CP162" s="74"/>
      <c r="CQ162" s="7"/>
      <c r="CR162" s="74"/>
      <c r="CS162" s="74"/>
      <c r="CT162" s="74"/>
      <c r="CU162" s="74"/>
      <c r="CV162" s="7"/>
      <c r="CW162" s="7"/>
      <c r="CX162" s="7"/>
      <c r="CY162" s="7"/>
      <c r="CZ162" s="7"/>
      <c r="DA162" s="7"/>
      <c r="DB162" s="7"/>
      <c r="DC162" s="7"/>
      <c r="DD162" s="7"/>
      <c r="DE162" s="74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8">
        <f t="shared" si="30"/>
        <v>50.486359785060678</v>
      </c>
      <c r="EA162" s="3" t="str">
        <f t="shared" si="31"/>
        <v>Gazley, Carson</v>
      </c>
      <c r="EB162" s="2">
        <f t="shared" si="32"/>
        <v>0</v>
      </c>
      <c r="EC162" s="112">
        <f t="shared" si="42"/>
        <v>50.486359785060678</v>
      </c>
      <c r="ED162" s="29">
        <f t="shared" si="33"/>
        <v>0</v>
      </c>
      <c r="EE162" s="2">
        <f t="shared" si="34"/>
        <v>0</v>
      </c>
      <c r="EF162" s="46">
        <f t="shared" si="35"/>
        <v>0</v>
      </c>
      <c r="EG162" s="46">
        <f t="shared" si="36"/>
        <v>0</v>
      </c>
      <c r="EH162" s="29" t="str">
        <f t="shared" si="37"/>
        <v>CO</v>
      </c>
      <c r="EI162" s="29">
        <f>IF(COUNT(I162:Y162)&lt;5,DZ162,SUMPRODUCT(LARGE(I162:Y162,{1,2,3,4,5}))/5)</f>
        <v>50.486359785060678</v>
      </c>
      <c r="EJ162" s="29">
        <f>IF(COUNT(I162:AX162)&lt;5,DZ162,SUMPRODUCT(LARGE(I162:AX162,{1,2,3,4,5}))/5)</f>
        <v>50.486359785060678</v>
      </c>
      <c r="EK162" s="112">
        <f>IF(EG162&lt;0,AVERAGE(I162:DY162),0)</f>
        <v>0</v>
      </c>
      <c r="EL162" s="29">
        <f t="shared" si="38"/>
        <v>0</v>
      </c>
      <c r="EM162" s="116" t="str">
        <f t="shared" si="39"/>
        <v>Gazley, Carson</v>
      </c>
      <c r="EQ162"/>
    </row>
    <row r="163" spans="1:147" x14ac:dyDescent="0.25">
      <c r="A163" s="59">
        <f t="shared" si="40"/>
        <v>160</v>
      </c>
      <c r="B163" s="32" t="s">
        <v>824</v>
      </c>
      <c r="C163" s="5" t="s">
        <v>6</v>
      </c>
      <c r="D163" s="6" t="s">
        <v>88</v>
      </c>
      <c r="E163" s="6">
        <v>45.59893970758165</v>
      </c>
      <c r="F163" s="6">
        <v>45.662834399900476</v>
      </c>
      <c r="G163" s="5">
        <f t="shared" si="29"/>
        <v>5</v>
      </c>
      <c r="H163" s="37">
        <v>45.59893970758165</v>
      </c>
      <c r="I163" s="36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227"/>
      <c r="Z163" s="228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4">
        <f>(INDEX('Race 33'!$E$8:$E$200,(MATCH($B163,'Race 33'!$B$8:$B$200,0)),1))*100</f>
        <v>45.662834399900476</v>
      </c>
      <c r="AP163" s="7"/>
      <c r="AQ163" s="74"/>
      <c r="AR163" s="70"/>
      <c r="AS163" s="7"/>
      <c r="AT163" s="70"/>
      <c r="AU163" s="7"/>
      <c r="AV163" s="70"/>
      <c r="AW163" s="7"/>
      <c r="AX163" s="183"/>
      <c r="AY163" s="107"/>
      <c r="AZ163" s="7"/>
      <c r="BA163" s="7"/>
      <c r="BB163" s="7"/>
      <c r="BC163" s="7"/>
      <c r="BD163" s="7"/>
      <c r="BE163" s="7"/>
      <c r="BF163" s="7"/>
      <c r="BG163" s="7">
        <f>(INDEX('Race 51'!$E$8:$E$200,(MATCH($B163,'Race 51'!$B$8:$B$200,0)),1))*100</f>
        <v>48.353551513255255</v>
      </c>
      <c r="BH163" s="7">
        <f>(INDEX('Race 52'!$E$8:$E$200,(MATCH($B163,'Race 52'!$B$8:$B$200,0)),1))*100</f>
        <v>48.781927028309966</v>
      </c>
      <c r="BI163" s="7"/>
      <c r="BJ163" s="70"/>
      <c r="BK163" s="7"/>
      <c r="BL163" s="70"/>
      <c r="BM163" s="7"/>
      <c r="BN163" s="103"/>
      <c r="BO163" s="14">
        <f>(INDEX('Race 59'!$E$8:$E$200,(MATCH($B163,'Race 59'!$B$8:$B$200,0)),1))*100</f>
        <v>50.741903453096029</v>
      </c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14"/>
      <c r="CA163" s="7"/>
      <c r="CB163" s="7"/>
      <c r="CC163" s="7"/>
      <c r="CD163" s="7">
        <f>(INDEX('Race 74'!$E$8:$E$200,(MATCH($B163,'Race 74'!$B$8:$B$200,0)),1))*100</f>
        <v>51.79050116191258</v>
      </c>
      <c r="CE163" s="7"/>
      <c r="CF163" s="7"/>
      <c r="CG163" s="7"/>
      <c r="CH163" s="7"/>
      <c r="CI163" s="7"/>
      <c r="CJ163" s="7"/>
      <c r="CK163" s="101"/>
      <c r="CL163" s="74"/>
      <c r="CM163" s="74"/>
      <c r="CN163" s="74"/>
      <c r="CO163" s="70"/>
      <c r="CP163" s="74"/>
      <c r="CQ163" s="7"/>
      <c r="CR163" s="74"/>
      <c r="CS163" s="74"/>
      <c r="CT163" s="74"/>
      <c r="CU163" s="74"/>
      <c r="CV163" s="7"/>
      <c r="CW163" s="7"/>
      <c r="CX163" s="7"/>
      <c r="CY163" s="7"/>
      <c r="CZ163" s="7"/>
      <c r="DA163" s="7"/>
      <c r="DB163" s="7"/>
      <c r="DC163" s="7"/>
      <c r="DD163" s="7"/>
      <c r="DE163" s="74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8">
        <f t="shared" si="30"/>
        <v>49.066143511294861</v>
      </c>
      <c r="EA163" s="3" t="str">
        <f t="shared" si="31"/>
        <v>Geffert, Andrew</v>
      </c>
      <c r="EB163" s="2">
        <f t="shared" si="32"/>
        <v>1</v>
      </c>
      <c r="EC163" s="112">
        <f t="shared" si="42"/>
        <v>45.59893970758165</v>
      </c>
      <c r="ED163" s="29">
        <f t="shared" si="33"/>
        <v>48.274442651805245</v>
      </c>
      <c r="EE163" s="2">
        <f t="shared" si="34"/>
        <v>0</v>
      </c>
      <c r="EF163" s="46">
        <f t="shared" si="35"/>
        <v>4</v>
      </c>
      <c r="EG163" s="46">
        <f t="shared" si="36"/>
        <v>5</v>
      </c>
      <c r="EH163" s="29" t="str">
        <f t="shared" si="37"/>
        <v>WI</v>
      </c>
      <c r="EI163" s="29">
        <f>IF(COUNT(I163:Y163)&lt;5,DZ163,SUMPRODUCT(LARGE(I163:Y163,{1,2,3,4,5}))/5)</f>
        <v>49.066143511294861</v>
      </c>
      <c r="EJ163" s="29">
        <f>IF(COUNT(I163:AX163)&lt;5,DZ163,SUMPRODUCT(LARGE(I163:AX163,{1,2,3,4,5}))/5)</f>
        <v>49.066143511294861</v>
      </c>
      <c r="EK163" s="29">
        <f>IF(COUNT(I163:DY163)&lt;5,AVERAGE(I163:DY163),SUMPRODUCT(LARGE(I163:DY163,{1,2,3,4,5}))/5)</f>
        <v>49.066143511294854</v>
      </c>
      <c r="EL163" s="29">
        <f t="shared" si="38"/>
        <v>48.274442651805245</v>
      </c>
      <c r="EM163" s="116" t="str">
        <f t="shared" si="39"/>
        <v>Geffert, Andrew</v>
      </c>
      <c r="EQ163"/>
    </row>
    <row r="164" spans="1:147" x14ac:dyDescent="0.25">
      <c r="A164" s="59">
        <f t="shared" si="40"/>
        <v>161</v>
      </c>
      <c r="B164" s="32" t="s">
        <v>1035</v>
      </c>
      <c r="C164" s="5" t="s">
        <v>16</v>
      </c>
      <c r="D164" s="6" t="s">
        <v>61</v>
      </c>
      <c r="E164" s="6">
        <v>0</v>
      </c>
      <c r="F164" s="6">
        <v>84.346791796224068</v>
      </c>
      <c r="G164" s="5">
        <f t="shared" si="29"/>
        <v>4</v>
      </c>
      <c r="H164" s="37">
        <v>0</v>
      </c>
      <c r="I164" s="36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>
        <f>(INDEX('Race 16'!$E$8:$E$200,(MATCH($B164,'Race 16'!$B$8:$B$200,0)),1))*100</f>
        <v>84.935430607848332</v>
      </c>
      <c r="Y164" s="227">
        <f>(INDEX('Race 17'!$E$8:$E$200,(MATCH($B164,'Race 17'!$B$8:$B$200,0)),1))*100</f>
        <v>83.758152984599789</v>
      </c>
      <c r="Z164" s="228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4"/>
      <c r="AP164" s="7"/>
      <c r="AQ164" s="74"/>
      <c r="AR164" s="70"/>
      <c r="AS164" s="7"/>
      <c r="AT164" s="70"/>
      <c r="AU164" s="7"/>
      <c r="AV164" s="70"/>
      <c r="AW164" s="7"/>
      <c r="AX164" s="8"/>
      <c r="AY164" s="36"/>
      <c r="AZ164" s="7"/>
      <c r="BA164" s="7"/>
      <c r="BB164" s="7"/>
      <c r="BC164" s="7"/>
      <c r="BD164" s="7"/>
      <c r="BE164" s="7"/>
      <c r="BF164" s="7"/>
      <c r="BG164" s="14"/>
      <c r="BH164" s="7"/>
      <c r="BI164" s="7"/>
      <c r="BJ164" s="7"/>
      <c r="BK164" s="7"/>
      <c r="BL164" s="7"/>
      <c r="BM164" s="7"/>
      <c r="BN164" s="103"/>
      <c r="BO164" s="14"/>
      <c r="BP164" s="7"/>
      <c r="BQ164" s="7"/>
      <c r="BR164" s="7"/>
      <c r="BS164" s="7"/>
      <c r="BT164" s="7"/>
      <c r="BU164" s="7">
        <f>(INDEX('Race 65'!$E$8:$E$200,(MATCH($B164,'Race 65'!$B$8:$B$200,0)),1))*100</f>
        <v>84.714080267563219</v>
      </c>
      <c r="BV164" s="7"/>
      <c r="BW164" s="7"/>
      <c r="BX164" s="7"/>
      <c r="BY164" s="7"/>
      <c r="BZ164" s="14">
        <f>(INDEX('Race 70'!$E$8:$E$200,(MATCH($B164,'Race 70'!$B$8:$B$200,0)),1))*100</f>
        <v>82.217897125921695</v>
      </c>
      <c r="CA164" s="7"/>
      <c r="CB164" s="7"/>
      <c r="CC164" s="7"/>
      <c r="CD164" s="7"/>
      <c r="CE164" s="74"/>
      <c r="CF164" s="74"/>
      <c r="CG164" s="7"/>
      <c r="CH164" s="7"/>
      <c r="CI164" s="7"/>
      <c r="CJ164" s="7"/>
      <c r="CK164" s="101"/>
      <c r="CL164" s="74"/>
      <c r="CM164" s="74"/>
      <c r="CN164" s="74"/>
      <c r="CO164" s="70"/>
      <c r="CP164" s="74"/>
      <c r="CQ164" s="7"/>
      <c r="CR164" s="74"/>
      <c r="CS164" s="74"/>
      <c r="CT164" s="74"/>
      <c r="CU164" s="74"/>
      <c r="CV164" s="7"/>
      <c r="CW164" s="7"/>
      <c r="CX164" s="7"/>
      <c r="CY164" s="7"/>
      <c r="CZ164" s="7"/>
      <c r="DA164" s="7"/>
      <c r="DB164" s="7"/>
      <c r="DC164" s="7"/>
      <c r="DD164" s="7"/>
      <c r="DE164" s="74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8">
        <f t="shared" si="30"/>
        <v>83.906390246483255</v>
      </c>
      <c r="EA164" s="3" t="str">
        <f t="shared" si="31"/>
        <v>Germain, Maxime</v>
      </c>
      <c r="EB164" s="2">
        <f t="shared" si="32"/>
        <v>1</v>
      </c>
      <c r="EC164" s="112">
        <f t="shared" si="42"/>
        <v>0</v>
      </c>
      <c r="ED164" s="29">
        <f t="shared" si="33"/>
        <v>82.552528774580139</v>
      </c>
      <c r="EE164" s="2">
        <f t="shared" si="34"/>
        <v>2</v>
      </c>
      <c r="EF164" s="46">
        <f t="shared" si="35"/>
        <v>2</v>
      </c>
      <c r="EG164" s="46">
        <f t="shared" si="36"/>
        <v>4</v>
      </c>
      <c r="EH164" s="29" t="str">
        <f t="shared" si="37"/>
        <v>AK</v>
      </c>
      <c r="EI164" s="29">
        <f>IF(COUNT(I164:Y164)&lt;5,DZ164,SUMPRODUCT(LARGE(I164:Y164,{1,2,3,4,5}))/5)</f>
        <v>83.906390246483255</v>
      </c>
      <c r="EJ164" s="29">
        <f>IF(COUNT(I164:AX164)&lt;5,DZ164,SUMPRODUCT(LARGE(I164:AX164,{1,2,3,4,5}))/5)</f>
        <v>83.906390246483255</v>
      </c>
      <c r="EK164" s="29">
        <f>IF(COUNT(I164:DY164)&lt;5,AVERAGE(I164:DY164),SUMPRODUCT(LARGE(I164:DY164,{1,2,3,4,5}))/5)</f>
        <v>83.906390246483255</v>
      </c>
      <c r="EL164" s="29">
        <f t="shared" si="38"/>
        <v>82.552528774580139</v>
      </c>
      <c r="EM164" s="116" t="str">
        <f t="shared" si="39"/>
        <v>Germain, Maxime</v>
      </c>
      <c r="EQ164"/>
    </row>
    <row r="165" spans="1:147" x14ac:dyDescent="0.25">
      <c r="A165" s="59">
        <f t="shared" si="40"/>
        <v>162</v>
      </c>
      <c r="B165" s="32" t="s">
        <v>1058</v>
      </c>
      <c r="C165" s="5" t="s">
        <v>6</v>
      </c>
      <c r="D165" s="6" t="s">
        <v>75</v>
      </c>
      <c r="E165" s="6">
        <v>52.63724253082016</v>
      </c>
      <c r="F165" s="6">
        <v>53.525078450978434</v>
      </c>
      <c r="G165" s="5">
        <f t="shared" si="29"/>
        <v>5</v>
      </c>
      <c r="H165" s="37">
        <v>54.233639543797466</v>
      </c>
      <c r="I165" s="36">
        <f>(INDEX('Race 1'!$E$8:$E$200,(MATCH($B165,'Race 1'!$B$8:$B$200,0)),1))*100</f>
        <v>52.206313358188062</v>
      </c>
      <c r="J165" s="7"/>
      <c r="K165" s="7"/>
      <c r="L165" s="7"/>
      <c r="M165" s="7"/>
      <c r="N165" s="7"/>
      <c r="O165" s="7">
        <f>(INDEX('Race 7'!$E$8:$E$200,(MATCH($B165,'Race 7'!$B$8:$B$200,0)),1))*100</f>
        <v>53.068171703452258</v>
      </c>
      <c r="P165" s="7"/>
      <c r="Q165" s="7"/>
      <c r="R165" s="7"/>
      <c r="S165" s="7"/>
      <c r="T165" s="7"/>
      <c r="U165" s="7"/>
      <c r="V165" s="7"/>
      <c r="W165" s="7"/>
      <c r="X165" s="7"/>
      <c r="Y165" s="227"/>
      <c r="Z165" s="228"/>
      <c r="AA165" s="7"/>
      <c r="AB165" s="7"/>
      <c r="AC165" s="7"/>
      <c r="AD165" s="74">
        <f>(INDEX('Race 22'!$E$8:$E$200,(MATCH($B165,'Race 22'!$B$8:$B$200,0)),1))*100</f>
        <v>55.300750291294975</v>
      </c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4"/>
      <c r="AP165" s="7"/>
      <c r="AQ165" s="74"/>
      <c r="AR165" s="70"/>
      <c r="AS165" s="7"/>
      <c r="AT165" s="70"/>
      <c r="AU165" s="7"/>
      <c r="AV165" s="70"/>
      <c r="AW165" s="7"/>
      <c r="AX165" s="8"/>
      <c r="AY165" s="36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103"/>
      <c r="BO165" s="14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14"/>
      <c r="CA165" s="7"/>
      <c r="CB165" s="7"/>
      <c r="CC165" s="7"/>
      <c r="CD165" s="7"/>
      <c r="CE165" s="74"/>
      <c r="CF165" s="74"/>
      <c r="CG165" s="7"/>
      <c r="CH165" s="7"/>
      <c r="CI165" s="7"/>
      <c r="CJ165" s="7"/>
      <c r="CK165" s="101"/>
      <c r="CL165" s="74"/>
      <c r="CM165" s="74"/>
      <c r="CN165" s="74"/>
      <c r="CO165" s="70">
        <f>(INDEX('Race 85'!$E$8:$E$200,(MATCH($B165,'Race 85'!$B$8:$B$200,0)),1))*100</f>
        <v>48.169227498619165</v>
      </c>
      <c r="CP165" s="101"/>
      <c r="CQ165" s="7">
        <f>(INDEX('Race 87'!$E$8:$E$200,(MATCH($B165,'Race 87'!$B$8:$B$200,0)),1))*100</f>
        <v>44.821381295670385</v>
      </c>
      <c r="CR165" s="101"/>
      <c r="CS165" s="101"/>
      <c r="CT165" s="74"/>
      <c r="CU165" s="74"/>
      <c r="CV165" s="7"/>
      <c r="CW165" s="7"/>
      <c r="CX165" s="7"/>
      <c r="CY165" s="7"/>
      <c r="CZ165" s="7"/>
      <c r="DA165" s="74"/>
      <c r="DB165" s="7"/>
      <c r="DC165" s="7"/>
      <c r="DD165" s="7"/>
      <c r="DE165" s="74"/>
      <c r="DF165" s="74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8">
        <f t="shared" si="30"/>
        <v>50.713168829444967</v>
      </c>
      <c r="EA165" s="3" t="str">
        <f t="shared" si="31"/>
        <v xml:space="preserve">Gervase, Matthew </v>
      </c>
      <c r="EB165" s="2">
        <f t="shared" si="32"/>
        <v>1</v>
      </c>
      <c r="EC165" s="112">
        <f t="shared" si="42"/>
        <v>54.233639543797466</v>
      </c>
      <c r="ED165" s="29">
        <f t="shared" si="33"/>
        <v>49.894892590953333</v>
      </c>
      <c r="EE165" s="2">
        <f t="shared" si="34"/>
        <v>3</v>
      </c>
      <c r="EF165" s="46">
        <f t="shared" si="35"/>
        <v>3</v>
      </c>
      <c r="EG165" s="46">
        <f t="shared" si="36"/>
        <v>5</v>
      </c>
      <c r="EH165" s="29" t="str">
        <f t="shared" si="37"/>
        <v>ID</v>
      </c>
      <c r="EI165" s="29">
        <f>IF(COUNT(I165:Y165)&lt;5,DZ165,SUMPRODUCT(LARGE(I165:Y165,{1,2,3,4,5}))/5)</f>
        <v>50.713168829444967</v>
      </c>
      <c r="EJ165" s="29">
        <f>IF(COUNT(I165:AX165)&lt;5,DZ165,SUMPRODUCT(LARGE(I165:AX165,{1,2,3,4,5}))/5)</f>
        <v>50.713168829444967</v>
      </c>
      <c r="EK165" s="29">
        <f>IF(COUNT(I165:DY165)&lt;5,AVERAGE(I165:DY165),SUMPRODUCT(LARGE(I165:DY165,{1,2,3,4,5}))/5)</f>
        <v>50.713168829444967</v>
      </c>
      <c r="EL165" s="29">
        <f t="shared" si="38"/>
        <v>49.894892590953333</v>
      </c>
      <c r="EM165" s="116" t="str">
        <f t="shared" si="39"/>
        <v xml:space="preserve">Gervase, Matthew </v>
      </c>
      <c r="EQ165"/>
    </row>
    <row r="166" spans="1:147" x14ac:dyDescent="0.25">
      <c r="A166" s="59">
        <f t="shared" si="40"/>
        <v>163</v>
      </c>
      <c r="B166" s="32" t="s">
        <v>103</v>
      </c>
      <c r="C166" s="5" t="s">
        <v>6</v>
      </c>
      <c r="D166" s="6" t="s">
        <v>63</v>
      </c>
      <c r="E166" s="6">
        <v>87.153898367817163</v>
      </c>
      <c r="F166" s="6">
        <v>87.153898367817163</v>
      </c>
      <c r="G166" s="5">
        <f t="shared" si="29"/>
        <v>6</v>
      </c>
      <c r="H166" s="37">
        <v>89.964188620219048</v>
      </c>
      <c r="I166" s="36"/>
      <c r="J166" s="7"/>
      <c r="K166" s="7"/>
      <c r="L166" s="7"/>
      <c r="M166" s="7"/>
      <c r="N166" s="7"/>
      <c r="O166" s="7"/>
      <c r="P166" s="7"/>
      <c r="Q166" s="7">
        <f>(INDEX('Race 9'!$E$8:$E$200,(MATCH($B166,'Race 9'!$B$8:$B$200,0)),1))*100</f>
        <v>89.201957081962107</v>
      </c>
      <c r="R166" s="7"/>
      <c r="S166" s="7">
        <f>(INDEX('Race 11'!$E$8:$E$200,(MATCH($B166,'Race 11'!$B$8:$B$200,0)),1))*100</f>
        <v>85.423477375266614</v>
      </c>
      <c r="T166" s="7">
        <f>(INDEX('Race 12'!$E$8:$E$200,(MATCH($B166,'Race 12'!$B$8:$B$200,0)),1))*100</f>
        <v>84.634730926903941</v>
      </c>
      <c r="U166" s="7"/>
      <c r="V166" s="7">
        <f>(INDEX('Race 14'!$E$8:$E$200,(MATCH($B166,'Race 14'!$B$8:$B$200,0)),1))*100</f>
        <v>89.355428087135948</v>
      </c>
      <c r="W166" s="7"/>
      <c r="X166" s="7"/>
      <c r="Y166" s="227"/>
      <c r="Z166" s="228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0"/>
      <c r="AS166" s="7"/>
      <c r="AT166" s="70"/>
      <c r="AU166" s="7"/>
      <c r="AV166" s="70"/>
      <c r="AW166" s="7"/>
      <c r="AX166" s="8"/>
      <c r="AY166" s="36"/>
      <c r="AZ166" s="7"/>
      <c r="BA166" s="7">
        <f>(INDEX('Race 45'!$E$8:$E$200,(MATCH($B166,'Race 45'!$B$8:$B$200,0)),1))*100</f>
        <v>90.223886428597538</v>
      </c>
      <c r="BB166" s="7"/>
      <c r="BC166" s="74"/>
      <c r="BD166" s="7">
        <f>(INDEX('Race 48'!$E$8:$E$200,(MATCH($B166,'Race 48'!$B$8:$B$200,0)),1))*100</f>
        <v>86.639754900571447</v>
      </c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14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14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101"/>
      <c r="CL166" s="74"/>
      <c r="CM166" s="74"/>
      <c r="CN166" s="74"/>
      <c r="CO166" s="70"/>
      <c r="CP166" s="74"/>
      <c r="CQ166" s="7"/>
      <c r="CR166" s="74"/>
      <c r="CS166" s="7"/>
      <c r="CT166" s="74"/>
      <c r="CU166" s="7"/>
      <c r="CV166" s="74"/>
      <c r="CW166" s="7"/>
      <c r="CX166" s="7"/>
      <c r="CY166" s="7"/>
      <c r="CZ166" s="7"/>
      <c r="DA166" s="74"/>
      <c r="DB166" s="7"/>
      <c r="DC166" s="7"/>
      <c r="DD166" s="7"/>
      <c r="DE166" s="74"/>
      <c r="DF166" s="74"/>
      <c r="DG166" s="74"/>
      <c r="DH166" s="74"/>
      <c r="DI166" s="74"/>
      <c r="DJ166" s="7"/>
      <c r="DK166" s="74"/>
      <c r="DL166" s="7"/>
      <c r="DM166" s="74"/>
      <c r="DN166" s="7"/>
      <c r="DO166" s="74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8">
        <f t="shared" si="30"/>
        <v>87.579872466739616</v>
      </c>
      <c r="EA166" s="3" t="str">
        <f t="shared" si="31"/>
        <v>Gibson, Michael</v>
      </c>
      <c r="EB166" s="2">
        <f t="shared" si="32"/>
        <v>1</v>
      </c>
      <c r="EC166" s="112">
        <f t="shared" si="42"/>
        <v>89.964188620219048</v>
      </c>
      <c r="ED166" s="29">
        <f t="shared" si="33"/>
        <v>86.746262076649671</v>
      </c>
      <c r="EE166" s="2">
        <f t="shared" si="34"/>
        <v>4</v>
      </c>
      <c r="EF166" s="46">
        <f t="shared" si="35"/>
        <v>6</v>
      </c>
      <c r="EG166" s="46">
        <f t="shared" si="36"/>
        <v>6</v>
      </c>
      <c r="EH166" s="2" t="str">
        <f t="shared" si="37"/>
        <v>VT</v>
      </c>
      <c r="EI166" s="29">
        <f>IF(COUNT(I166:Y166)&lt;5,DZ166,SUMPRODUCT(LARGE(I166:Y166,{1,2,3,4,5}))/5)</f>
        <v>87.579872466739616</v>
      </c>
      <c r="EJ166" s="29">
        <f>IF(COUNT(I166:AX166)&lt;5,DZ166,SUMPRODUCT(LARGE(I166:AX166,{1,2,3,4,5}))/5)</f>
        <v>87.579872466739616</v>
      </c>
      <c r="EK166" s="29">
        <f>IF(COUNT(I166:DY166)&lt;5,AVERAGE(I166:DY166),SUMPRODUCT(LARGE(I166:DY166,{1,2,3,4,5}))/5)</f>
        <v>88.168900774706728</v>
      </c>
      <c r="EL166" s="29">
        <f t="shared" si="38"/>
        <v>86.746262076649671</v>
      </c>
      <c r="EM166" s="116" t="str">
        <f t="shared" si="39"/>
        <v>Gibson, Michael</v>
      </c>
      <c r="EQ166"/>
    </row>
    <row r="167" spans="1:147" x14ac:dyDescent="0.25">
      <c r="A167" s="59">
        <f t="shared" si="40"/>
        <v>164</v>
      </c>
      <c r="B167" s="32" t="s">
        <v>1041</v>
      </c>
      <c r="C167" s="5" t="s">
        <v>16</v>
      </c>
      <c r="D167" s="6" t="s">
        <v>69</v>
      </c>
      <c r="E167" s="6">
        <v>66.642101248900715</v>
      </c>
      <c r="F167" s="6">
        <v>66.642101248900715</v>
      </c>
      <c r="G167" s="5">
        <f t="shared" si="29"/>
        <v>2</v>
      </c>
      <c r="H167" s="37">
        <v>0</v>
      </c>
      <c r="I167" s="36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>
        <f>(INDEX('Race 16'!$E$8:$E$200,(MATCH($B167,'Race 16'!$B$8:$B$200,0)),1))*100</f>
        <v>71.853147522650701</v>
      </c>
      <c r="Y167" s="227">
        <f>(INDEX('Race 17'!$E$8:$E$200,(MATCH($B167,'Race 17'!$B$8:$B$200,0)),1))*100</f>
        <v>61.431054975150737</v>
      </c>
      <c r="Z167" s="228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4"/>
      <c r="AP167" s="7"/>
      <c r="AQ167" s="74"/>
      <c r="AR167" s="7"/>
      <c r="AS167" s="7"/>
      <c r="AT167" s="70"/>
      <c r="AU167" s="7"/>
      <c r="AV167" s="70"/>
      <c r="AW167" s="7"/>
      <c r="AX167" s="8"/>
      <c r="AY167" s="36"/>
      <c r="AZ167" s="7"/>
      <c r="BA167" s="7"/>
      <c r="BB167" s="7"/>
      <c r="BC167" s="7"/>
      <c r="BD167" s="7"/>
      <c r="BE167" s="7"/>
      <c r="BF167" s="7"/>
      <c r="BG167" s="70"/>
      <c r="BH167" s="7"/>
      <c r="BI167" s="7"/>
      <c r="BJ167" s="70"/>
      <c r="BK167" s="7"/>
      <c r="BL167" s="70"/>
      <c r="BM167" s="7"/>
      <c r="BN167" s="14"/>
      <c r="BO167" s="14"/>
      <c r="BP167" s="7"/>
      <c r="BQ167" s="7"/>
      <c r="BR167" s="7"/>
      <c r="BS167" s="7"/>
      <c r="BT167" s="7"/>
      <c r="BU167" s="7"/>
      <c r="BV167" s="7"/>
      <c r="BW167" s="7"/>
      <c r="BX167" s="7"/>
      <c r="BY167" s="74"/>
      <c r="BZ167" s="14"/>
      <c r="CA167" s="7"/>
      <c r="CB167" s="7"/>
      <c r="CC167" s="7"/>
      <c r="CD167" s="74"/>
      <c r="CE167" s="7"/>
      <c r="CF167" s="7"/>
      <c r="CG167" s="74"/>
      <c r="CH167" s="74"/>
      <c r="CI167" s="7"/>
      <c r="CJ167" s="70"/>
      <c r="CK167" s="101"/>
      <c r="CL167" s="74"/>
      <c r="CM167" s="74"/>
      <c r="CN167" s="74"/>
      <c r="CO167" s="70"/>
      <c r="CP167" s="74"/>
      <c r="CQ167" s="7"/>
      <c r="CR167" s="74"/>
      <c r="CS167" s="74"/>
      <c r="CT167" s="74"/>
      <c r="CU167" s="74"/>
      <c r="CV167" s="74"/>
      <c r="CW167" s="7"/>
      <c r="CX167" s="7"/>
      <c r="CY167" s="7"/>
      <c r="CZ167" s="74"/>
      <c r="DA167" s="7"/>
      <c r="DB167" s="74"/>
      <c r="DC167" s="74"/>
      <c r="DD167" s="74"/>
      <c r="DE167" s="74"/>
      <c r="DF167" s="74"/>
      <c r="DG167" s="74"/>
      <c r="DH167" s="74"/>
      <c r="DI167" s="74"/>
      <c r="DJ167" s="74"/>
      <c r="DK167" s="7"/>
      <c r="DL167" s="74"/>
      <c r="DM167" s="7"/>
      <c r="DN167" s="14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8">
        <f t="shared" si="30"/>
        <v>66.642101248900715</v>
      </c>
      <c r="EA167" s="3" t="str">
        <f t="shared" si="31"/>
        <v>Gitchos, Lazo</v>
      </c>
      <c r="EB167" s="2">
        <f t="shared" si="32"/>
        <v>1</v>
      </c>
      <c r="EC167" s="112">
        <f t="shared" si="42"/>
        <v>0</v>
      </c>
      <c r="ED167" s="29">
        <f t="shared" si="33"/>
        <v>0</v>
      </c>
      <c r="EE167" s="2">
        <f t="shared" si="34"/>
        <v>2</v>
      </c>
      <c r="EF167" s="46">
        <f t="shared" si="35"/>
        <v>2</v>
      </c>
      <c r="EG167" s="46">
        <f t="shared" si="36"/>
        <v>2</v>
      </c>
      <c r="EH167" s="2" t="str">
        <f t="shared" si="37"/>
        <v>WA</v>
      </c>
      <c r="EI167" s="29">
        <f>IF(COUNT(I167:Y167)&lt;5,DZ167,SUMPRODUCT(LARGE(I167:Y167,{1,2,3,4,5}))/5)</f>
        <v>66.642101248900715</v>
      </c>
      <c r="EJ167" s="29">
        <f>IF(COUNT(I167:AX167)&lt;5,DZ167,SUMPRODUCT(LARGE(I167:AX167,{1,2,3,4,5}))/5)</f>
        <v>66.642101248900715</v>
      </c>
      <c r="EK167" s="29">
        <f>IF(EG167&lt;0,AVERAGE(I167:DY167),0)</f>
        <v>0</v>
      </c>
      <c r="EL167" s="29">
        <f t="shared" si="38"/>
        <v>0</v>
      </c>
      <c r="EM167" s="116" t="str">
        <f t="shared" si="39"/>
        <v>Gitchos, Lazo</v>
      </c>
      <c r="EQ167"/>
    </row>
    <row r="168" spans="1:147" x14ac:dyDescent="0.25">
      <c r="A168" s="59">
        <f t="shared" si="40"/>
        <v>165</v>
      </c>
      <c r="B168" s="32" t="s">
        <v>917</v>
      </c>
      <c r="C168" s="5" t="s">
        <v>6</v>
      </c>
      <c r="D168" s="6" t="s">
        <v>932</v>
      </c>
      <c r="E168" s="6">
        <v>45.986216168141205</v>
      </c>
      <c r="F168" s="6">
        <v>52.845765543978409</v>
      </c>
      <c r="G168" s="5">
        <f t="shared" si="29"/>
        <v>4</v>
      </c>
      <c r="H168" s="37">
        <v>45.986216168141205</v>
      </c>
      <c r="I168" s="36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227"/>
      <c r="Z168" s="228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4"/>
      <c r="AP168" s="7"/>
      <c r="AQ168" s="74"/>
      <c r="AR168" s="70"/>
      <c r="AS168" s="7"/>
      <c r="AT168" s="70"/>
      <c r="AU168" s="7"/>
      <c r="AV168" s="70"/>
      <c r="AW168" s="7">
        <f>(INDEX('Race 41'!$E$8:$E$200,(MATCH($B168,'Race 41'!$B$8:$B$200,0)),1))*100</f>
        <v>49.848912570360675</v>
      </c>
      <c r="AX168" s="8">
        <f>(INDEX('Race 42'!$E$8:$E$200,(MATCH($B168,'Race 42'!$B$8:$B$200,0)),1))*100</f>
        <v>55.842618517596144</v>
      </c>
      <c r="AY168" s="36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103"/>
      <c r="BO168" s="14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14"/>
      <c r="CA168" s="7"/>
      <c r="CB168" s="7"/>
      <c r="CC168" s="7"/>
      <c r="CD168" s="7"/>
      <c r="CE168" s="74">
        <f>(INDEX('Race 75'!$E$8:$E$200,(MATCH($B168,'Race 75'!$B$8:$B$200,0)),1))*100</f>
        <v>56.067899627804543</v>
      </c>
      <c r="CF168" s="74">
        <f>(INDEX('Race 76'!$E$8:$E$200,(MATCH($B168,'Race 76'!$B$8:$B$200,0)),1))*100</f>
        <v>56.812331561283415</v>
      </c>
      <c r="CG168" s="7"/>
      <c r="CH168" s="7"/>
      <c r="CI168" s="7"/>
      <c r="CJ168" s="7"/>
      <c r="CK168" s="101"/>
      <c r="CL168" s="74"/>
      <c r="CM168" s="74"/>
      <c r="CN168" s="74"/>
      <c r="CO168" s="70"/>
      <c r="CP168" s="74"/>
      <c r="CQ168" s="7"/>
      <c r="CR168" s="74"/>
      <c r="CS168" s="74"/>
      <c r="CT168" s="74"/>
      <c r="CU168" s="74"/>
      <c r="CV168" s="7"/>
      <c r="CW168" s="7"/>
      <c r="CX168" s="7"/>
      <c r="CY168" s="7"/>
      <c r="CZ168" s="7"/>
      <c r="DA168" s="7"/>
      <c r="DB168" s="7"/>
      <c r="DC168" s="7"/>
      <c r="DD168" s="7"/>
      <c r="DE168" s="74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8">
        <f t="shared" si="30"/>
        <v>54.642940569261199</v>
      </c>
      <c r="EA168" s="3" t="str">
        <f t="shared" si="31"/>
        <v>Glavin, Timothy</v>
      </c>
      <c r="EB168" s="2">
        <f t="shared" si="32"/>
        <v>1</v>
      </c>
      <c r="EC168" s="112">
        <f t="shared" si="42"/>
        <v>45.986216168141205</v>
      </c>
      <c r="ED168" s="29">
        <f t="shared" si="33"/>
        <v>53.761255971331366</v>
      </c>
      <c r="EE168" s="2">
        <f t="shared" si="34"/>
        <v>0</v>
      </c>
      <c r="EF168" s="46">
        <f t="shared" si="35"/>
        <v>2</v>
      </c>
      <c r="EG168" s="46">
        <f t="shared" si="36"/>
        <v>4</v>
      </c>
      <c r="EH168" s="29" t="str">
        <f t="shared" si="37"/>
        <v xml:space="preserve">MO </v>
      </c>
      <c r="EI168" s="29">
        <f>IF(COUNT(I168:Y168)&lt;5,DZ168,SUMPRODUCT(LARGE(I168:Y168,{1,2,3,4,5}))/5)</f>
        <v>54.642940569261199</v>
      </c>
      <c r="EJ168" s="29">
        <f>IF(COUNT(I168:AX168)&lt;5,DZ168,SUMPRODUCT(LARGE(I168:AX168,{1,2,3,4,5}))/5)</f>
        <v>54.642940569261199</v>
      </c>
      <c r="EK168" s="29">
        <f>IF(COUNT(I168:DY168)&lt;5,AVERAGE(I168:DY168),SUMPRODUCT(LARGE(I168:DY168,{1,2,3,4,5}))/5)</f>
        <v>54.642940569261199</v>
      </c>
      <c r="EL168" s="29">
        <f t="shared" si="38"/>
        <v>53.761255971331366</v>
      </c>
      <c r="EM168" s="116" t="str">
        <f t="shared" si="39"/>
        <v>Glavin, Timothy</v>
      </c>
      <c r="EQ168"/>
    </row>
    <row r="169" spans="1:147" x14ac:dyDescent="0.25">
      <c r="A169" s="59">
        <f t="shared" si="40"/>
        <v>166</v>
      </c>
      <c r="B169" s="32" t="s">
        <v>104</v>
      </c>
      <c r="C169" s="5" t="s">
        <v>16</v>
      </c>
      <c r="D169" s="6" t="s">
        <v>58</v>
      </c>
      <c r="E169" s="6">
        <v>89.981553251588309</v>
      </c>
      <c r="F169" s="6">
        <v>89.981553251588309</v>
      </c>
      <c r="G169" s="5">
        <f t="shared" si="29"/>
        <v>6</v>
      </c>
      <c r="H169" s="37">
        <v>87.280515799112706</v>
      </c>
      <c r="I169" s="36"/>
      <c r="J169" s="7"/>
      <c r="K169" s="7"/>
      <c r="L169" s="7"/>
      <c r="M169" s="7"/>
      <c r="N169" s="7"/>
      <c r="O169" s="7"/>
      <c r="P169" s="7"/>
      <c r="Q169" s="7">
        <f>(INDEX('Race 9'!$E$8:$E$200,(MATCH($B169,'Race 9'!$B$8:$B$200,0)),1))*100</f>
        <v>89.892646690557086</v>
      </c>
      <c r="R169" s="7"/>
      <c r="S169" s="7">
        <f>(INDEX('Race 11'!$E$8:$E$200,(MATCH($B169,'Race 11'!$B$8:$B$200,0)),1))*100</f>
        <v>89.692401481655025</v>
      </c>
      <c r="T169" s="7">
        <f>(INDEX('Race 12'!$E$8:$E$200,(MATCH($B169,'Race 12'!$B$8:$B$200,0)),1))*100</f>
        <v>84.071091493462731</v>
      </c>
      <c r="U169" s="7"/>
      <c r="V169" s="7">
        <f>(INDEX('Race 14'!$E$8:$E$200,(MATCH($B169,'Race 14'!$B$8:$B$200,0)),1))*100</f>
        <v>96.270073340678394</v>
      </c>
      <c r="W169" s="7"/>
      <c r="X169" s="7"/>
      <c r="Y169" s="227"/>
      <c r="Z169" s="228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4"/>
      <c r="AP169" s="7"/>
      <c r="AQ169" s="74"/>
      <c r="AR169" s="70"/>
      <c r="AS169" s="7"/>
      <c r="AT169" s="70"/>
      <c r="AU169" s="7"/>
      <c r="AV169" s="70"/>
      <c r="AW169" s="7"/>
      <c r="AX169" s="8"/>
      <c r="AY169" s="36"/>
      <c r="AZ169" s="7"/>
      <c r="BA169" s="7">
        <f>(INDEX('Race 45'!$E$8:$E$200,(MATCH($B169,'Race 45'!$B$8:$B$200,0)),1))*100</f>
        <v>90.170594115290641</v>
      </c>
      <c r="BB169" s="7"/>
      <c r="BC169" s="7"/>
      <c r="BD169" s="7">
        <f>(INDEX('Race 48'!$E$8:$E$200,(MATCH($B169,'Race 48'!$B$8:$B$200,0)),1))*100</f>
        <v>86.925773348661366</v>
      </c>
      <c r="BE169" s="7"/>
      <c r="BF169" s="7"/>
      <c r="BG169" s="7"/>
      <c r="BH169" s="7"/>
      <c r="BI169" s="7"/>
      <c r="BJ169" s="7"/>
      <c r="BK169" s="7"/>
      <c r="BL169" s="7"/>
      <c r="BM169" s="7"/>
      <c r="BN169" s="14"/>
      <c r="BO169" s="14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14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101"/>
      <c r="CL169" s="74"/>
      <c r="CM169" s="74"/>
      <c r="CN169" s="74"/>
      <c r="CO169" s="70"/>
      <c r="CP169" s="74"/>
      <c r="CQ169" s="7"/>
      <c r="CR169" s="74"/>
      <c r="CS169" s="7"/>
      <c r="CT169" s="74"/>
      <c r="CU169" s="7"/>
      <c r="CV169" s="74"/>
      <c r="CW169" s="7"/>
      <c r="CX169" s="7"/>
      <c r="CY169" s="7"/>
      <c r="CZ169" s="74"/>
      <c r="DA169" s="74"/>
      <c r="DB169" s="7"/>
      <c r="DC169" s="7"/>
      <c r="DD169" s="7"/>
      <c r="DE169" s="74"/>
      <c r="DF169" s="74"/>
      <c r="DG169" s="74"/>
      <c r="DH169" s="74"/>
      <c r="DI169" s="74"/>
      <c r="DJ169" s="7"/>
      <c r="DK169" s="7"/>
      <c r="DL169" s="7"/>
      <c r="DM169" s="74"/>
      <c r="DN169" s="7"/>
      <c r="DO169" s="74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8">
        <f t="shared" si="30"/>
        <v>89.503763411717543</v>
      </c>
      <c r="EA169" s="3" t="str">
        <f t="shared" si="31"/>
        <v>Goessling, Raleigh</v>
      </c>
      <c r="EB169" s="2">
        <f t="shared" si="32"/>
        <v>1</v>
      </c>
      <c r="EC169" s="112">
        <f t="shared" si="42"/>
        <v>87.280515799112706</v>
      </c>
      <c r="ED169" s="29">
        <f t="shared" si="33"/>
        <v>89.128588936804917</v>
      </c>
      <c r="EE169" s="2">
        <f t="shared" si="34"/>
        <v>4</v>
      </c>
      <c r="EF169" s="46">
        <f t="shared" si="35"/>
        <v>6</v>
      </c>
      <c r="EG169" s="46">
        <f t="shared" si="36"/>
        <v>6</v>
      </c>
      <c r="EH169" s="2" t="str">
        <f t="shared" si="37"/>
        <v>MN</v>
      </c>
      <c r="EI169" s="29">
        <f>IF(COUNT(I169:Y169)&lt;5,DZ169,SUMPRODUCT(LARGE(I169:Y169,{1,2,3,4,5}))/5)</f>
        <v>89.503763411717543</v>
      </c>
      <c r="EJ169" s="29">
        <f>IF(COUNT(I169:AX169)&lt;5,DZ169,SUMPRODUCT(LARGE(I169:AX169,{1,2,3,4,5}))/5)</f>
        <v>89.503763411717543</v>
      </c>
      <c r="EK169" s="29">
        <f>IF(COUNT(I169:DY169)&lt;5,AVERAGE(I169:DY169),SUMPRODUCT(LARGE(I169:DY169,{1,2,3,4,5}))/5)</f>
        <v>90.590297795368514</v>
      </c>
      <c r="EL169" s="29">
        <f t="shared" si="38"/>
        <v>89.128588936804917</v>
      </c>
      <c r="EM169" s="116" t="str">
        <f t="shared" si="39"/>
        <v>Goessling, Raleigh</v>
      </c>
      <c r="EQ169"/>
    </row>
    <row r="170" spans="1:147" x14ac:dyDescent="0.25">
      <c r="A170" s="59">
        <f t="shared" si="40"/>
        <v>167</v>
      </c>
      <c r="B170" s="32" t="s">
        <v>719</v>
      </c>
      <c r="C170" s="5" t="s">
        <v>6</v>
      </c>
      <c r="D170" s="6" t="s">
        <v>66</v>
      </c>
      <c r="E170" s="6">
        <v>63.109597344854912</v>
      </c>
      <c r="F170" s="6">
        <v>63.109597344854912</v>
      </c>
      <c r="G170" s="5">
        <f t="shared" si="29"/>
        <v>0</v>
      </c>
      <c r="H170" s="37">
        <v>63.109597344854912</v>
      </c>
      <c r="I170" s="36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227"/>
      <c r="Z170" s="228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4"/>
      <c r="AP170" s="7"/>
      <c r="AQ170" s="74"/>
      <c r="AR170" s="70"/>
      <c r="AS170" s="7"/>
      <c r="AT170" s="7"/>
      <c r="AU170" s="7"/>
      <c r="AV170" s="7"/>
      <c r="AW170" s="7"/>
      <c r="AX170" s="206"/>
      <c r="AY170" s="36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103"/>
      <c r="BO170" s="14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0"/>
      <c r="CI170" s="7"/>
      <c r="CJ170" s="7"/>
      <c r="CK170" s="101"/>
      <c r="CL170" s="74"/>
      <c r="CM170" s="74"/>
      <c r="CN170" s="74"/>
      <c r="CO170" s="70"/>
      <c r="CP170" s="74"/>
      <c r="CQ170" s="7"/>
      <c r="CR170" s="74"/>
      <c r="CS170" s="74"/>
      <c r="CT170" s="74"/>
      <c r="CU170" s="74"/>
      <c r="CV170" s="7"/>
      <c r="CW170" s="7"/>
      <c r="CX170" s="7"/>
      <c r="CY170" s="7"/>
      <c r="CZ170" s="7"/>
      <c r="DA170" s="7"/>
      <c r="DB170" s="7"/>
      <c r="DC170" s="7"/>
      <c r="DD170" s="7"/>
      <c r="DE170" s="74"/>
      <c r="DF170" s="74"/>
      <c r="DG170" s="74"/>
      <c r="DH170" s="7"/>
      <c r="DI170" s="74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8">
        <f t="shared" si="30"/>
        <v>63.109597344854912</v>
      </c>
      <c r="EA170" s="3" t="str">
        <f t="shared" si="31"/>
        <v>Goldfarb, Alex</v>
      </c>
      <c r="EB170" s="2">
        <f t="shared" si="32"/>
        <v>0</v>
      </c>
      <c r="EC170" s="112">
        <f t="shared" si="42"/>
        <v>63.109597344854912</v>
      </c>
      <c r="ED170" s="29">
        <f t="shared" si="33"/>
        <v>0</v>
      </c>
      <c r="EE170" s="2">
        <f t="shared" si="34"/>
        <v>0</v>
      </c>
      <c r="EF170" s="46">
        <f t="shared" si="35"/>
        <v>0</v>
      </c>
      <c r="EG170" s="46">
        <f t="shared" si="36"/>
        <v>0</v>
      </c>
      <c r="EH170" s="2" t="str">
        <f t="shared" si="37"/>
        <v>WY</v>
      </c>
      <c r="EI170" s="29">
        <f>IF(COUNT(I170:Y170)&lt;5,DZ170,SUMPRODUCT(LARGE(I170:Y170,{1,2,3,4,5}))/5)</f>
        <v>63.109597344854912</v>
      </c>
      <c r="EJ170" s="29">
        <f>IF(COUNT(I170:AX170)&lt;5,DZ170,SUMPRODUCT(LARGE(I170:AX170,{1,2,3,4,5}))/5)</f>
        <v>63.109597344854912</v>
      </c>
      <c r="EK170" s="112">
        <f>IF(EG170&lt;0,AVERAGE(I170:DY170),0)</f>
        <v>0</v>
      </c>
      <c r="EL170" s="29">
        <f t="shared" si="38"/>
        <v>0</v>
      </c>
      <c r="EM170" s="116" t="str">
        <f t="shared" si="39"/>
        <v>Goldfarb, Alex</v>
      </c>
      <c r="EQ170"/>
    </row>
    <row r="171" spans="1:147" x14ac:dyDescent="0.25">
      <c r="A171" s="59">
        <f t="shared" si="40"/>
        <v>168</v>
      </c>
      <c r="B171" s="32" t="s">
        <v>846</v>
      </c>
      <c r="C171" s="5" t="s">
        <v>16</v>
      </c>
      <c r="D171" s="6" t="s">
        <v>66</v>
      </c>
      <c r="E171" s="6">
        <v>80.041551324306269</v>
      </c>
      <c r="F171" s="6">
        <v>80.041551324306269</v>
      </c>
      <c r="G171" s="5">
        <f t="shared" si="29"/>
        <v>9</v>
      </c>
      <c r="H171" s="37">
        <v>72.812737226805623</v>
      </c>
      <c r="I171" s="36"/>
      <c r="J171" s="7"/>
      <c r="K171" s="7"/>
      <c r="L171" s="7"/>
      <c r="M171" s="7"/>
      <c r="N171" s="7"/>
      <c r="O171" s="7"/>
      <c r="P171" s="7"/>
      <c r="Q171" s="7">
        <f>(INDEX('Race 9'!$E$8:$E$200,(MATCH($B171,'Race 9'!$B$8:$B$200,0)),1))*100</f>
        <v>76.312600889411968</v>
      </c>
      <c r="R171" s="7"/>
      <c r="S171" s="7"/>
      <c r="T171" s="7"/>
      <c r="U171" s="7"/>
      <c r="V171" s="7">
        <f>(INDEX('Race 14'!$E$8:$E$200,(MATCH($B171,'Race 14'!$B$8:$B$200,0)),1))*100</f>
        <v>76.201674809537778</v>
      </c>
      <c r="W171" s="7"/>
      <c r="X171" s="7">
        <f>(INDEX('Race 16'!$E$8:$E$200,(MATCH($B171,'Race 16'!$B$8:$B$200,0)),1))*100</f>
        <v>84.375108910600289</v>
      </c>
      <c r="Y171" s="227">
        <f>(INDEX('Race 17'!$E$8:$E$200,(MATCH($B171,'Race 17'!$B$8:$B$200,0)),1))*100</f>
        <v>83.276820687675041</v>
      </c>
      <c r="Z171" s="228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4"/>
      <c r="AP171" s="7"/>
      <c r="AQ171" s="74"/>
      <c r="AR171" s="7"/>
      <c r="AS171" s="7"/>
      <c r="AT171" s="70"/>
      <c r="AU171" s="7"/>
      <c r="AV171" s="70"/>
      <c r="AW171" s="7"/>
      <c r="AX171" s="8"/>
      <c r="AY171" s="36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103"/>
      <c r="BO171" s="14"/>
      <c r="BP171" s="7"/>
      <c r="BQ171" s="7"/>
      <c r="BR171" s="7"/>
      <c r="BS171" s="7">
        <f>(INDEX('Race 63'!$E$8:$E$200,(MATCH($B171,'Race 63'!$B$8:$B$200,0)),1))*100</f>
        <v>85.352049523509848</v>
      </c>
      <c r="BT171" s="7">
        <f>(INDEX('Race 64'!$E$8:$E$200,(MATCH($B171,'Race 64'!$B$8:$B$200,0)),1))*100</f>
        <v>82.816002409507576</v>
      </c>
      <c r="BU171" s="70"/>
      <c r="BV171" s="70"/>
      <c r="BW171" s="7"/>
      <c r="BX171" s="7"/>
      <c r="BY171" s="7"/>
      <c r="BZ171" s="14"/>
      <c r="CA171" s="7"/>
      <c r="CB171" s="7"/>
      <c r="CC171" s="7"/>
      <c r="CD171" s="7"/>
      <c r="CE171" s="74"/>
      <c r="CF171" s="74"/>
      <c r="CG171" s="7"/>
      <c r="CH171" s="7"/>
      <c r="CI171" s="7"/>
      <c r="CJ171" s="70"/>
      <c r="CK171" s="101"/>
      <c r="CL171" s="74"/>
      <c r="CM171" s="74"/>
      <c r="CN171" s="74"/>
      <c r="CO171" s="70">
        <f>(INDEX('Race 85'!$E$8:$E$200,(MATCH($B171,'Race 85'!$B$8:$B$200,0)),1))*100</f>
        <v>82.49828258918437</v>
      </c>
      <c r="CP171" s="101"/>
      <c r="CQ171" s="7">
        <f>(INDEX('Race 87'!$E$8:$E$200,(MATCH($B171,'Race 87'!$B$8:$B$200,0)),1))*100</f>
        <v>80.65695614497082</v>
      </c>
      <c r="CR171" s="74"/>
      <c r="CS171" s="74"/>
      <c r="CT171" s="74"/>
      <c r="CU171" s="74"/>
      <c r="CV171" s="7"/>
      <c r="CW171" s="7">
        <f>(INDEX('Race 93'!$E$8:$E$200,(MATCH($B171,'Race 93'!$B$8:$B$200,0)),1))*100</f>
        <v>82.049003169054046</v>
      </c>
      <c r="CX171" s="7"/>
      <c r="CY171" s="7"/>
      <c r="CZ171" s="7"/>
      <c r="DA171" s="7"/>
      <c r="DB171" s="7"/>
      <c r="DC171" s="7"/>
      <c r="DD171" s="7"/>
      <c r="DE171" s="74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8">
        <f t="shared" si="30"/>
        <v>81.504277681494642</v>
      </c>
      <c r="EA171" s="3" t="str">
        <f t="shared" si="31"/>
        <v>Gore, Marcus</v>
      </c>
      <c r="EB171" s="2">
        <f t="shared" si="32"/>
        <v>1</v>
      </c>
      <c r="EC171" s="112">
        <f t="shared" si="42"/>
        <v>72.812737226805623</v>
      </c>
      <c r="ED171" s="29">
        <f t="shared" si="33"/>
        <v>82.313708012687371</v>
      </c>
      <c r="EE171" s="2">
        <f t="shared" si="34"/>
        <v>4</v>
      </c>
      <c r="EF171" s="46">
        <f t="shared" si="35"/>
        <v>4</v>
      </c>
      <c r="EG171" s="46">
        <f t="shared" si="36"/>
        <v>9</v>
      </c>
      <c r="EH171" s="29" t="str">
        <f t="shared" si="37"/>
        <v>WY</v>
      </c>
      <c r="EI171" s="29">
        <f>IF(COUNT(I171:Y171)&lt;5,DZ171,SUMPRODUCT(LARGE(I171:Y171,{1,2,3,4,5}))/5)</f>
        <v>81.504277681494642</v>
      </c>
      <c r="EJ171" s="29">
        <f>IF(COUNT(I171:AX171)&lt;5,DZ171,SUMPRODUCT(LARGE(I171:AX171,{1,2,3,4,5}))/5)</f>
        <v>81.504277681494642</v>
      </c>
      <c r="EK171" s="29">
        <f>IF(COUNT(I171:DY171)&lt;5,AVERAGE(I171:DY171),SUMPRODUCT(LARGE(I171:DY171,{1,2,3,4,5}))/5)</f>
        <v>83.663652824095436</v>
      </c>
      <c r="EL171" s="29">
        <f t="shared" si="38"/>
        <v>82.313708012687371</v>
      </c>
      <c r="EM171" s="116" t="str">
        <f t="shared" si="39"/>
        <v>Gore, Marcus</v>
      </c>
      <c r="EQ171"/>
    </row>
    <row r="172" spans="1:147" x14ac:dyDescent="0.25">
      <c r="A172" s="59">
        <f t="shared" si="40"/>
        <v>169</v>
      </c>
      <c r="B172" s="32" t="s">
        <v>853</v>
      </c>
      <c r="C172" s="5" t="s">
        <v>6</v>
      </c>
      <c r="D172" s="6" t="s">
        <v>61</v>
      </c>
      <c r="E172" s="6">
        <v>67.014696959058867</v>
      </c>
      <c r="F172" s="6">
        <v>67.014696959058867</v>
      </c>
      <c r="G172" s="5">
        <f t="shared" si="29"/>
        <v>0</v>
      </c>
      <c r="H172" s="37">
        <v>67.014696959058867</v>
      </c>
      <c r="I172" s="36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227"/>
      <c r="Z172" s="228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4"/>
      <c r="AP172" s="7"/>
      <c r="AQ172" s="74"/>
      <c r="AR172" s="70"/>
      <c r="AS172" s="7"/>
      <c r="AT172" s="70"/>
      <c r="AU172" s="7"/>
      <c r="AV172" s="70"/>
      <c r="AW172" s="7"/>
      <c r="AX172" s="8"/>
      <c r="AY172" s="36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103"/>
      <c r="BO172" s="14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14"/>
      <c r="CA172" s="7"/>
      <c r="CB172" s="7"/>
      <c r="CC172" s="7"/>
      <c r="CD172" s="7"/>
      <c r="CE172" s="7"/>
      <c r="CF172" s="7"/>
      <c r="CG172" s="7"/>
      <c r="CH172" s="7"/>
      <c r="CI172" s="70"/>
      <c r="CJ172" s="7"/>
      <c r="CK172" s="101"/>
      <c r="CL172" s="74"/>
      <c r="CM172" s="74"/>
      <c r="CN172" s="74"/>
      <c r="CO172" s="70"/>
      <c r="CP172" s="74"/>
      <c r="CQ172" s="7"/>
      <c r="CR172" s="74"/>
      <c r="CS172" s="74"/>
      <c r="CT172" s="74"/>
      <c r="CU172" s="74"/>
      <c r="CV172" s="7"/>
      <c r="CW172" s="7"/>
      <c r="CX172" s="7"/>
      <c r="CY172" s="7"/>
      <c r="CZ172" s="7"/>
      <c r="DA172" s="7"/>
      <c r="DB172" s="7"/>
      <c r="DC172" s="7"/>
      <c r="DD172" s="7"/>
      <c r="DE172" s="74"/>
      <c r="DF172" s="74"/>
      <c r="DG172" s="74"/>
      <c r="DH172" s="7"/>
      <c r="DI172" s="74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8">
        <f t="shared" si="30"/>
        <v>67.014696959058867</v>
      </c>
      <c r="EA172" s="3" t="str">
        <f t="shared" si="31"/>
        <v>GORMAN, Erik</v>
      </c>
      <c r="EB172" s="2">
        <f t="shared" si="32"/>
        <v>0</v>
      </c>
      <c r="EC172" s="112">
        <f>H172</f>
        <v>67.014696959058867</v>
      </c>
      <c r="ED172" s="29">
        <f t="shared" si="33"/>
        <v>0</v>
      </c>
      <c r="EE172" s="2">
        <f t="shared" si="34"/>
        <v>0</v>
      </c>
      <c r="EF172" s="46">
        <f t="shared" si="35"/>
        <v>0</v>
      </c>
      <c r="EG172" s="46">
        <f t="shared" si="36"/>
        <v>0</v>
      </c>
      <c r="EH172" s="29" t="str">
        <f t="shared" si="37"/>
        <v>AK</v>
      </c>
      <c r="EI172" s="29">
        <f>IF(COUNT(I172:Y172)&lt;5,DZ172,SUMPRODUCT(LARGE(I172:Y172,{1,2,3,4,5}))/5)</f>
        <v>67.014696959058867</v>
      </c>
      <c r="EJ172" s="29">
        <f>IF(COUNT(I172:AX172)&lt;5,DZ172,SUMPRODUCT(LARGE(I172:AX172,{1,2,3,4,5}))/5)</f>
        <v>67.014696959058867</v>
      </c>
      <c r="EK172" s="112">
        <f>IF(EG172&lt;0,AVERAGE(I172:DY172),0)</f>
        <v>0</v>
      </c>
      <c r="EL172" s="29">
        <f t="shared" si="38"/>
        <v>0</v>
      </c>
      <c r="EM172" s="116" t="str">
        <f t="shared" si="39"/>
        <v>GORMAN, Erik</v>
      </c>
      <c r="EQ172"/>
    </row>
    <row r="173" spans="1:147" x14ac:dyDescent="0.25">
      <c r="A173" s="59">
        <f t="shared" si="40"/>
        <v>170</v>
      </c>
      <c r="B173" s="32" t="s">
        <v>793</v>
      </c>
      <c r="C173" s="5" t="s">
        <v>6</v>
      </c>
      <c r="D173" s="6" t="s">
        <v>88</v>
      </c>
      <c r="E173" s="6">
        <v>49.490452611040517</v>
      </c>
      <c r="F173" s="6">
        <v>50.281684136132554</v>
      </c>
      <c r="G173" s="5">
        <f t="shared" si="29"/>
        <v>4</v>
      </c>
      <c r="H173" s="99">
        <v>49.490452611040517</v>
      </c>
      <c r="I173" s="36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227"/>
      <c r="Z173" s="228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4">
        <f>(INDEX('Race 33'!$E$8:$E$200,(MATCH($B173,'Race 33'!$B$8:$B$200,0)),1))*100</f>
        <v>50.281684136132554</v>
      </c>
      <c r="AP173" s="7"/>
      <c r="AQ173" s="74"/>
      <c r="AR173" s="70"/>
      <c r="AS173" s="7"/>
      <c r="AT173" s="7"/>
      <c r="AU173" s="7"/>
      <c r="AV173" s="7"/>
      <c r="AW173" s="7"/>
      <c r="AX173" s="8"/>
      <c r="AY173" s="36"/>
      <c r="AZ173" s="7"/>
      <c r="BA173" s="7"/>
      <c r="BB173" s="7"/>
      <c r="BC173" s="7"/>
      <c r="BD173" s="7"/>
      <c r="BE173" s="7"/>
      <c r="BF173" s="7"/>
      <c r="BG173" s="7">
        <f>(INDEX('Race 51'!$E$8:$E$200,(MATCH($B173,'Race 51'!$B$8:$B$200,0)),1))*100</f>
        <v>57.136874540943936</v>
      </c>
      <c r="BH173" s="7">
        <f>(INDEX('Race 52'!$E$8:$E$200,(MATCH($B173,'Race 52'!$B$8:$B$200,0)),1))*100</f>
        <v>56.373102233422742</v>
      </c>
      <c r="BI173" s="7"/>
      <c r="BJ173" s="7"/>
      <c r="BK173" s="7"/>
      <c r="BL173" s="7"/>
      <c r="BM173" s="7"/>
      <c r="BN173" s="103"/>
      <c r="BO173" s="14">
        <f>(INDEX('Race 59'!$E$8:$E$200,(MATCH($B173,'Race 59'!$B$8:$B$200,0)),1))*100</f>
        <v>50.688359411464198</v>
      </c>
      <c r="BP173" s="7"/>
      <c r="BQ173" s="7"/>
      <c r="BR173" s="7"/>
      <c r="BS173" s="7"/>
      <c r="BT173" s="7"/>
      <c r="BU173" s="7"/>
      <c r="BV173" s="7"/>
      <c r="BW173" s="7"/>
      <c r="BX173" s="7"/>
      <c r="BY173" s="74"/>
      <c r="BZ173" s="103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101"/>
      <c r="CL173" s="74"/>
      <c r="CM173" s="74"/>
      <c r="CN173" s="74"/>
      <c r="CO173" s="70"/>
      <c r="CP173" s="74"/>
      <c r="CQ173" s="7"/>
      <c r="CR173" s="74"/>
      <c r="CS173" s="74"/>
      <c r="CT173" s="74"/>
      <c r="CU173" s="74"/>
      <c r="CV173" s="7"/>
      <c r="CW173" s="7"/>
      <c r="CX173" s="7"/>
      <c r="CY173" s="7"/>
      <c r="CZ173" s="7"/>
      <c r="DA173" s="7"/>
      <c r="DB173" s="7"/>
      <c r="DC173" s="7"/>
      <c r="DD173" s="7"/>
      <c r="DE173" s="74"/>
      <c r="DF173" s="74"/>
      <c r="DG173" s="74"/>
      <c r="DH173" s="74"/>
      <c r="DI173" s="74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8">
        <f t="shared" si="30"/>
        <v>53.620005080490856</v>
      </c>
      <c r="EA173" s="3" t="str">
        <f t="shared" si="31"/>
        <v>Goussev, Iouri</v>
      </c>
      <c r="EB173" s="2">
        <f t="shared" si="32"/>
        <v>1</v>
      </c>
      <c r="EC173" s="112">
        <f>H173</f>
        <v>49.490452611040517</v>
      </c>
      <c r="ED173" s="29">
        <f t="shared" si="33"/>
        <v>52.754825935154322</v>
      </c>
      <c r="EE173" s="2">
        <f t="shared" si="34"/>
        <v>0</v>
      </c>
      <c r="EF173" s="46">
        <f t="shared" si="35"/>
        <v>4</v>
      </c>
      <c r="EG173" s="46">
        <f t="shared" si="36"/>
        <v>4</v>
      </c>
      <c r="EH173" s="29" t="str">
        <f t="shared" si="37"/>
        <v>WI</v>
      </c>
      <c r="EI173" s="29">
        <f>IF(COUNT(I173:Y173)&lt;5,DZ173,SUMPRODUCT(LARGE(I173:Y173,{1,2,3,4,5}))/5)</f>
        <v>53.620005080490856</v>
      </c>
      <c r="EJ173" s="29">
        <f>IF(COUNT(I173:AX173)&lt;5,DZ173,SUMPRODUCT(LARGE(I173:AX173,{1,2,3,4,5}))/5)</f>
        <v>53.620005080490856</v>
      </c>
      <c r="EK173" s="29">
        <f>IF(COUNT(I173:DY173)&lt;5,AVERAGE(I173:DY173),SUMPRODUCT(LARGE(I173:DY173,{1,2,3,4,5}))/5)</f>
        <v>53.620005080490856</v>
      </c>
      <c r="EL173" s="29">
        <f t="shared" si="38"/>
        <v>52.754825935154322</v>
      </c>
      <c r="EM173" s="116" t="str">
        <f t="shared" si="39"/>
        <v>Goussev, Iouri</v>
      </c>
      <c r="EQ173"/>
    </row>
    <row r="174" spans="1:147" x14ac:dyDescent="0.25">
      <c r="A174" s="59">
        <f t="shared" si="40"/>
        <v>171</v>
      </c>
      <c r="B174" s="32" t="s">
        <v>1176</v>
      </c>
      <c r="C174" s="5" t="s">
        <v>16</v>
      </c>
      <c r="D174" s="6" t="s">
        <v>88</v>
      </c>
      <c r="E174" s="6">
        <v>0</v>
      </c>
      <c r="F174" s="6">
        <v>0</v>
      </c>
      <c r="G174" s="5">
        <f t="shared" si="29"/>
        <v>2</v>
      </c>
      <c r="H174" s="37">
        <v>0</v>
      </c>
      <c r="I174" s="36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227"/>
      <c r="Z174" s="228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4"/>
      <c r="AP174" s="7"/>
      <c r="AQ174" s="74"/>
      <c r="AR174" s="70"/>
      <c r="AS174" s="7"/>
      <c r="AT174" s="70"/>
      <c r="AU174" s="7"/>
      <c r="AV174" s="70"/>
      <c r="AW174" s="7"/>
      <c r="AX174" s="8"/>
      <c r="AY174" s="36"/>
      <c r="AZ174" s="7"/>
      <c r="BA174" s="7"/>
      <c r="BB174" s="7"/>
      <c r="BC174" s="7"/>
      <c r="BD174" s="7"/>
      <c r="BE174" s="7"/>
      <c r="BF174" s="7"/>
      <c r="BG174" s="7">
        <f>(INDEX('Race 51'!$E$8:$E$200,(MATCH($B174,'Race 51'!$B$8:$B$200,0)),1))*100</f>
        <v>51.582571436794701</v>
      </c>
      <c r="BH174" s="7">
        <f>(INDEX('Race 52'!$E$8:$E$200,(MATCH($B174,'Race 52'!$B$8:$B$200,0)),1))*100</f>
        <v>54.093307657806378</v>
      </c>
      <c r="BI174" s="7"/>
      <c r="BJ174" s="70"/>
      <c r="BK174" s="7"/>
      <c r="BL174" s="70"/>
      <c r="BM174" s="7"/>
      <c r="BN174" s="14"/>
      <c r="BO174" s="14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4"/>
      <c r="CF174" s="74"/>
      <c r="CG174" s="7"/>
      <c r="CH174" s="7"/>
      <c r="CI174" s="7"/>
      <c r="CJ174" s="7"/>
      <c r="CK174" s="101"/>
      <c r="CL174" s="74"/>
      <c r="CM174" s="74"/>
      <c r="CN174" s="74"/>
      <c r="CO174" s="70"/>
      <c r="CP174" s="74"/>
      <c r="CQ174" s="7"/>
      <c r="CR174" s="74"/>
      <c r="CS174" s="74"/>
      <c r="CT174" s="74"/>
      <c r="CU174" s="74"/>
      <c r="CV174" s="74"/>
      <c r="CW174" s="7"/>
      <c r="CX174" s="7"/>
      <c r="CY174" s="7"/>
      <c r="CZ174" s="7"/>
      <c r="DA174" s="7"/>
      <c r="DB174" s="7"/>
      <c r="DC174" s="7"/>
      <c r="DD174" s="7"/>
      <c r="DE174" s="74"/>
      <c r="DF174" s="74"/>
      <c r="DG174" s="74"/>
      <c r="DH174" s="74"/>
      <c r="DI174" s="74"/>
      <c r="DJ174" s="7"/>
      <c r="DK174" s="7"/>
      <c r="DL174" s="7"/>
      <c r="DM174" s="7"/>
      <c r="DN174" s="7"/>
      <c r="DO174" s="7"/>
      <c r="DP174" s="7"/>
      <c r="DQ174" s="74"/>
      <c r="DR174" s="74"/>
      <c r="DS174" s="7"/>
      <c r="DT174" s="7"/>
      <c r="DU174" s="74"/>
      <c r="DV174" s="74"/>
      <c r="DW174" s="7"/>
      <c r="DX174" s="7"/>
      <c r="DY174" s="7"/>
      <c r="DZ174" s="8">
        <f t="shared" si="30"/>
        <v>52.837939547300536</v>
      </c>
      <c r="EA174" s="3" t="str">
        <f t="shared" si="31"/>
        <v>Goussev, Maxim</v>
      </c>
      <c r="EB174" s="2">
        <f t="shared" si="32"/>
        <v>1</v>
      </c>
      <c r="EC174" s="112">
        <f>H174</f>
        <v>0</v>
      </c>
      <c r="ED174" s="29">
        <f t="shared" si="33"/>
        <v>51.985379326348422</v>
      </c>
      <c r="EE174" s="2">
        <f t="shared" si="34"/>
        <v>0</v>
      </c>
      <c r="EF174" s="46">
        <f t="shared" si="35"/>
        <v>2</v>
      </c>
      <c r="EG174" s="46">
        <f t="shared" si="36"/>
        <v>2</v>
      </c>
      <c r="EH174" s="2" t="str">
        <f t="shared" si="37"/>
        <v>WI</v>
      </c>
      <c r="EI174" s="29">
        <f>IF(COUNT(I174:AD174)&lt;5,DZ174,SUMPRODUCT(LARGE(I174:AD174,{1,2,3,4,5}))/5)</f>
        <v>52.837939547300536</v>
      </c>
      <c r="EJ174" s="29">
        <f>IF(COUNT(I174:AX174)&lt;5,DZ174,SUMPRODUCT(LARGE(I174:AX174,{1,2,3,4,5}))/5)</f>
        <v>52.837939547300536</v>
      </c>
      <c r="EK174" s="29">
        <f>IF(COUNT(I174:DY174)&lt;5,AVERAGE(I174:DY174),SUMPRODUCT(LARGE(I174:DY174,{1,2,3,4,5}))/5)</f>
        <v>52.837939547300536</v>
      </c>
      <c r="EL174" s="29">
        <f t="shared" si="38"/>
        <v>51.985379326348422</v>
      </c>
      <c r="EM174" s="116" t="str">
        <f t="shared" si="39"/>
        <v>Goussev, Maxim</v>
      </c>
      <c r="EQ174"/>
    </row>
    <row r="175" spans="1:147" x14ac:dyDescent="0.25">
      <c r="A175" s="59">
        <f t="shared" si="40"/>
        <v>172</v>
      </c>
      <c r="B175" s="32" t="s">
        <v>1095</v>
      </c>
      <c r="C175" s="5" t="s">
        <v>6</v>
      </c>
      <c r="D175" s="6" t="s">
        <v>88</v>
      </c>
      <c r="E175" s="6">
        <v>0</v>
      </c>
      <c r="F175" s="6">
        <v>40.932723775228723</v>
      </c>
      <c r="G175" s="5">
        <f t="shared" si="29"/>
        <v>3</v>
      </c>
      <c r="H175" s="37">
        <v>0</v>
      </c>
      <c r="I175" s="36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227"/>
      <c r="Z175" s="228"/>
      <c r="AA175" s="7"/>
      <c r="AB175" s="7"/>
      <c r="AC175" s="74">
        <f>(INDEX('Race 21'!$E$8:$E$200,(MATCH($B175,'Race 21'!$B$8:$B$200,0)),1))*100</f>
        <v>40.785564598762974</v>
      </c>
      <c r="AD175" s="14"/>
      <c r="AE175" s="7"/>
      <c r="AF175" s="14"/>
      <c r="AG175" s="14"/>
      <c r="AH175" s="7"/>
      <c r="AI175" s="7"/>
      <c r="AJ175" s="7"/>
      <c r="AK175" s="7"/>
      <c r="AL175" s="7"/>
      <c r="AM175" s="7"/>
      <c r="AN175" s="7"/>
      <c r="AO175" s="74">
        <f>(INDEX('Race 33'!$E$8:$E$200,(MATCH($B175,'Race 33'!$B$8:$B$200,0)),1))*100</f>
        <v>41.079882951694472</v>
      </c>
      <c r="AP175" s="7"/>
      <c r="AQ175" s="74"/>
      <c r="AR175" s="70"/>
      <c r="AS175" s="7"/>
      <c r="AT175" s="70"/>
      <c r="AU175" s="7"/>
      <c r="AV175" s="70"/>
      <c r="AW175" s="7"/>
      <c r="AX175" s="8"/>
      <c r="AY175" s="36"/>
      <c r="AZ175" s="7"/>
      <c r="BA175" s="7"/>
      <c r="BB175" s="7"/>
      <c r="BC175" s="7"/>
      <c r="BD175" s="7"/>
      <c r="BE175" s="7"/>
      <c r="BF175" s="7"/>
      <c r="BG175" s="7"/>
      <c r="BH175" s="7">
        <f>(INDEX('Race 52'!$E$8:$E$200,(MATCH($B175,'Race 52'!$B$8:$B$200,0)),1))*100</f>
        <v>42.112271219287393</v>
      </c>
      <c r="BI175" s="7"/>
      <c r="BJ175" s="7"/>
      <c r="BK175" s="7"/>
      <c r="BL175" s="7"/>
      <c r="BM175" s="7"/>
      <c r="BN175" s="103"/>
      <c r="BO175" s="14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14"/>
      <c r="CA175" s="7"/>
      <c r="CB175" s="7"/>
      <c r="CC175" s="7"/>
      <c r="CD175" s="7"/>
      <c r="CE175" s="74"/>
      <c r="CF175" s="74"/>
      <c r="CG175" s="7"/>
      <c r="CH175" s="7"/>
      <c r="CI175" s="7"/>
      <c r="CJ175" s="7"/>
      <c r="CK175" s="101"/>
      <c r="CL175" s="74"/>
      <c r="CM175" s="74"/>
      <c r="CN175" s="74"/>
      <c r="CO175" s="70"/>
      <c r="CP175" s="74"/>
      <c r="CQ175" s="7"/>
      <c r="CR175" s="74"/>
      <c r="CS175" s="74"/>
      <c r="CT175" s="74"/>
      <c r="CU175" s="74"/>
      <c r="CV175" s="7"/>
      <c r="CW175" s="7"/>
      <c r="CX175" s="7"/>
      <c r="CY175" s="7"/>
      <c r="CZ175" s="7"/>
      <c r="DA175" s="7"/>
      <c r="DB175" s="7"/>
      <c r="DC175" s="7"/>
      <c r="DD175" s="7"/>
      <c r="DE175" s="74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8">
        <f t="shared" si="30"/>
        <v>41.325906256581611</v>
      </c>
      <c r="EA175" s="3" t="str">
        <f t="shared" si="31"/>
        <v>Grady, Michael</v>
      </c>
      <c r="EB175" s="2">
        <f t="shared" si="32"/>
        <v>1</v>
      </c>
      <c r="EC175" s="29">
        <v>0</v>
      </c>
      <c r="ED175" s="29">
        <f t="shared" si="33"/>
        <v>40.6590970647202</v>
      </c>
      <c r="EE175" s="2">
        <f t="shared" si="34"/>
        <v>1</v>
      </c>
      <c r="EF175" s="46">
        <f t="shared" si="35"/>
        <v>3</v>
      </c>
      <c r="EG175" s="46">
        <f t="shared" si="36"/>
        <v>3</v>
      </c>
      <c r="EH175" s="29" t="str">
        <f t="shared" si="37"/>
        <v>WI</v>
      </c>
      <c r="EI175" s="29">
        <f>IF(COUNT(I175:AD175)&lt;5,DZ175,SUMPRODUCT(LARGE(I175:AD175,{1,2,3,4,5}))/5)</f>
        <v>41.325906256581611</v>
      </c>
      <c r="EJ175" s="29">
        <f>IF(COUNT(I175:AX175)&lt;5,DZ175,SUMPRODUCT(LARGE(I175:AX175,{1,2,3,4,5}))/5)</f>
        <v>41.325906256581611</v>
      </c>
      <c r="EK175" s="29">
        <f>IF(COUNT(I175:DY175)&lt;5,AVERAGE(I175:DY175),SUMPRODUCT(LARGE(I175:DY175,{1,2,3,4,5}))/5)</f>
        <v>41.325906256581611</v>
      </c>
      <c r="EL175" s="29">
        <f t="shared" si="38"/>
        <v>40.6590970647202</v>
      </c>
      <c r="EM175" s="116" t="str">
        <f t="shared" si="39"/>
        <v>Grady, Michael</v>
      </c>
      <c r="EQ175"/>
    </row>
    <row r="176" spans="1:147" x14ac:dyDescent="0.25">
      <c r="A176" s="59">
        <f t="shared" si="40"/>
        <v>173</v>
      </c>
      <c r="B176" s="32" t="s">
        <v>809</v>
      </c>
      <c r="C176" s="5" t="s">
        <v>6</v>
      </c>
      <c r="D176" s="6" t="s">
        <v>63</v>
      </c>
      <c r="E176" s="6">
        <v>61.993655160509867</v>
      </c>
      <c r="F176" s="6">
        <v>61.993655160509867</v>
      </c>
      <c r="G176" s="5">
        <f t="shared" ref="G176:G224" si="43">COUNT(I176:DY176)</f>
        <v>0</v>
      </c>
      <c r="H176" s="37">
        <v>61.993655160509867</v>
      </c>
      <c r="I176" s="36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227"/>
      <c r="Z176" s="228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4"/>
      <c r="AR176" s="70"/>
      <c r="AS176" s="7"/>
      <c r="AT176" s="70"/>
      <c r="AU176" s="7"/>
      <c r="AV176" s="70"/>
      <c r="AW176" s="7"/>
      <c r="AX176" s="8"/>
      <c r="AY176" s="36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103"/>
      <c r="BO176" s="14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14"/>
      <c r="CA176" s="7"/>
      <c r="CB176" s="7"/>
      <c r="CC176" s="7"/>
      <c r="CD176" s="74"/>
      <c r="CE176" s="7"/>
      <c r="CF176" s="7"/>
      <c r="CG176" s="74"/>
      <c r="CH176" s="7"/>
      <c r="CI176" s="7"/>
      <c r="CJ176" s="7"/>
      <c r="CK176" s="101"/>
      <c r="CL176" s="74"/>
      <c r="CM176" s="74"/>
      <c r="CN176" s="74"/>
      <c r="CO176" s="101"/>
      <c r="CP176" s="74"/>
      <c r="CQ176" s="7"/>
      <c r="CR176" s="74"/>
      <c r="CS176" s="74"/>
      <c r="CT176" s="74"/>
      <c r="CU176" s="74"/>
      <c r="CV176" s="7"/>
      <c r="CW176" s="7"/>
      <c r="CX176" s="7"/>
      <c r="CY176" s="7"/>
      <c r="CZ176" s="7"/>
      <c r="DA176" s="7"/>
      <c r="DB176" s="7"/>
      <c r="DC176" s="7"/>
      <c r="DD176" s="7"/>
      <c r="DE176" s="74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8">
        <f t="shared" ref="DZ176:DZ239" si="44">IF(EB176&gt;0,AVERAGE(I176:DY176),H176)</f>
        <v>61.993655160509867</v>
      </c>
      <c r="EA176" s="3" t="str">
        <f t="shared" ref="EA176:EA239" si="45">B176</f>
        <v>Greenberg, Reid</v>
      </c>
      <c r="EB176" s="2">
        <f t="shared" ref="EB176:EB239" si="46">IF(G176&gt;0,1,0)</f>
        <v>0</v>
      </c>
      <c r="EC176" s="112">
        <f t="shared" ref="EC176:EC195" si="47">H176</f>
        <v>61.993655160509867</v>
      </c>
      <c r="ED176" s="29">
        <f t="shared" ref="ED176:ED239" si="48">EL176</f>
        <v>0</v>
      </c>
      <c r="EE176" s="2">
        <f t="shared" ref="EE176:EE239" si="49">COUNT(I176:AH176)</f>
        <v>0</v>
      </c>
      <c r="EF176" s="46">
        <f t="shared" ref="EF176:EF239" si="50">COUNT(I176:BQ176)</f>
        <v>0</v>
      </c>
      <c r="EG176" s="46">
        <f t="shared" ref="EG176:EG239" si="51">COUNT(I176:DY176)</f>
        <v>0</v>
      </c>
      <c r="EH176" s="29" t="str">
        <f t="shared" ref="EH176:EH239" si="52">D176</f>
        <v>VT</v>
      </c>
      <c r="EI176" s="29">
        <f>IF(COUNT(I176:Y176)&lt;5,DZ176,SUMPRODUCT(LARGE(I176:Y176,{1,2,3,4,5}))/5)</f>
        <v>61.993655160509867</v>
      </c>
      <c r="EJ176" s="29">
        <f>IF(COUNT(I176:AX176)&lt;5,DZ176,SUMPRODUCT(LARGE(I176:AX176,{1,2,3,4,5}))/5)</f>
        <v>61.993655160509867</v>
      </c>
      <c r="EK176" s="112">
        <f>IF(EG176&lt;0,AVERAGE(I176:DY176),0)</f>
        <v>0</v>
      </c>
      <c r="EL176" s="29">
        <f t="shared" ref="EL176:EL239" si="53">(EK176*100)/101.64</f>
        <v>0</v>
      </c>
      <c r="EM176" s="116" t="str">
        <f t="shared" ref="EM176:EM239" si="54">B176</f>
        <v>Greenberg, Reid</v>
      </c>
      <c r="EQ176"/>
    </row>
    <row r="177" spans="1:147" x14ac:dyDescent="0.25">
      <c r="A177" s="59">
        <f t="shared" si="40"/>
        <v>174</v>
      </c>
      <c r="B177" s="32" t="s">
        <v>919</v>
      </c>
      <c r="C177" s="5" t="s">
        <v>6</v>
      </c>
      <c r="D177" s="6" t="s">
        <v>80</v>
      </c>
      <c r="E177" s="6">
        <v>43.629685338634573</v>
      </c>
      <c r="F177" s="6">
        <v>43.629685338634573</v>
      </c>
      <c r="G177" s="5">
        <f t="shared" si="43"/>
        <v>0</v>
      </c>
      <c r="H177" s="37">
        <v>43.629685338634573</v>
      </c>
      <c r="I177" s="36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227"/>
      <c r="Z177" s="228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4"/>
      <c r="AP177" s="7"/>
      <c r="AQ177" s="74"/>
      <c r="AR177" s="70"/>
      <c r="AS177" s="7"/>
      <c r="AT177" s="70"/>
      <c r="AU177" s="7"/>
      <c r="AV177" s="70"/>
      <c r="AW177" s="7"/>
      <c r="AX177" s="8"/>
      <c r="AY177" s="36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103"/>
      <c r="BO177" s="14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14"/>
      <c r="CA177" s="7"/>
      <c r="CB177" s="7"/>
      <c r="CC177" s="7"/>
      <c r="CD177" s="7"/>
      <c r="CE177" s="74"/>
      <c r="CF177" s="74"/>
      <c r="CG177" s="7"/>
      <c r="CH177" s="7"/>
      <c r="CI177" s="7"/>
      <c r="CJ177" s="7"/>
      <c r="CK177" s="101"/>
      <c r="CL177" s="74"/>
      <c r="CM177" s="74"/>
      <c r="CN177" s="74"/>
      <c r="CO177" s="70"/>
      <c r="CP177" s="74"/>
      <c r="CQ177" s="7"/>
      <c r="CR177" s="74"/>
      <c r="CS177" s="74"/>
      <c r="CT177" s="74"/>
      <c r="CU177" s="74"/>
      <c r="CV177" s="7"/>
      <c r="CW177" s="7"/>
      <c r="CX177" s="7"/>
      <c r="CY177" s="7"/>
      <c r="CZ177" s="7"/>
      <c r="DA177" s="7"/>
      <c r="DB177" s="7"/>
      <c r="DC177" s="7"/>
      <c r="DD177" s="7"/>
      <c r="DE177" s="74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8">
        <f t="shared" si="44"/>
        <v>43.629685338634573</v>
      </c>
      <c r="EA177" s="3" t="str">
        <f t="shared" si="45"/>
        <v>Greg Swanson</v>
      </c>
      <c r="EB177" s="2">
        <f t="shared" si="46"/>
        <v>0</v>
      </c>
      <c r="EC177" s="112">
        <f t="shared" si="47"/>
        <v>43.629685338634573</v>
      </c>
      <c r="ED177" s="29">
        <f t="shared" si="48"/>
        <v>0</v>
      </c>
      <c r="EE177" s="2">
        <f t="shared" si="49"/>
        <v>0</v>
      </c>
      <c r="EF177" s="46">
        <f t="shared" si="50"/>
        <v>0</v>
      </c>
      <c r="EG177" s="46">
        <f t="shared" si="51"/>
        <v>0</v>
      </c>
      <c r="EH177" s="29" t="str">
        <f t="shared" si="52"/>
        <v>IN</v>
      </c>
      <c r="EI177" s="29">
        <f>IF(COUNT(I177:Y177)&lt;5,DZ177,SUMPRODUCT(LARGE(I177:Y177,{1,2,3,4,5}))/5)</f>
        <v>43.629685338634573</v>
      </c>
      <c r="EJ177" s="29">
        <f>IF(COUNT(I177:AX177)&lt;5,DZ177,SUMPRODUCT(LARGE(I177:AX177,{1,2,3,4,5}))/5)</f>
        <v>43.629685338634573</v>
      </c>
      <c r="EK177" s="112">
        <f>IF(EG177&lt;0,AVERAGE(I177:DY177),0)</f>
        <v>0</v>
      </c>
      <c r="EL177" s="29">
        <f t="shared" si="53"/>
        <v>0</v>
      </c>
      <c r="EM177" s="116" t="str">
        <f t="shared" si="54"/>
        <v>Greg Swanson</v>
      </c>
      <c r="EQ177"/>
    </row>
    <row r="178" spans="1:147" x14ac:dyDescent="0.25">
      <c r="A178" s="59">
        <f t="shared" si="40"/>
        <v>175</v>
      </c>
      <c r="B178" s="4" t="s">
        <v>46</v>
      </c>
      <c r="C178" s="5" t="s">
        <v>6</v>
      </c>
      <c r="D178" s="6" t="s">
        <v>57</v>
      </c>
      <c r="E178" s="6">
        <v>46.890473746597834</v>
      </c>
      <c r="F178" s="6">
        <v>51.541394971602145</v>
      </c>
      <c r="G178" s="5">
        <f t="shared" si="43"/>
        <v>4</v>
      </c>
      <c r="H178" s="37">
        <v>46.890473746597834</v>
      </c>
      <c r="I178" s="107"/>
      <c r="J178" s="7"/>
      <c r="K178" s="74"/>
      <c r="L178" s="7"/>
      <c r="M178" s="74"/>
      <c r="N178" s="74"/>
      <c r="O178" s="7"/>
      <c r="P178" s="74"/>
      <c r="Q178" s="74"/>
      <c r="R178" s="74"/>
      <c r="S178" s="74"/>
      <c r="T178" s="7"/>
      <c r="U178" s="7"/>
      <c r="V178" s="74"/>
      <c r="W178" s="74"/>
      <c r="X178" s="74"/>
      <c r="Y178" s="227"/>
      <c r="Z178" s="228"/>
      <c r="AA178" s="74"/>
      <c r="AB178" s="74"/>
      <c r="AC178" s="74"/>
      <c r="AD178" s="74"/>
      <c r="AE178" s="7"/>
      <c r="AF178" s="74"/>
      <c r="AG178" s="74"/>
      <c r="AH178" s="7"/>
      <c r="AI178" s="7"/>
      <c r="AJ178" s="74">
        <f>(INDEX('Race 28'!$E$8:$E$200,(MATCH($B178,'Race 28'!$B$8:$B$200,0)),1))*100</f>
        <v>52.227832833264721</v>
      </c>
      <c r="AK178" s="74">
        <f>(INDEX('Race 29'!$E$8:$E$200,(MATCH($B178,'Race 29'!$B$8:$B$200,0)),1))*100</f>
        <v>54.564271571123371</v>
      </c>
      <c r="AL178" s="7"/>
      <c r="AM178" s="7"/>
      <c r="AN178" s="7"/>
      <c r="AO178" s="7"/>
      <c r="AP178" s="7"/>
      <c r="AQ178" s="74"/>
      <c r="AR178" s="101">
        <f>(INDEX('Race 36'!$E$8:$E$200,(MATCH($B178,'Race 36'!$B$8:$B$200,0)),1))*100</f>
        <v>48.223300155098627</v>
      </c>
      <c r="AS178" s="7"/>
      <c r="AT178" s="74"/>
      <c r="AU178" s="7"/>
      <c r="AV178" s="74">
        <f>(INDEX('Race 40'!$E$8:$E$200,(MATCH($B178,'Race 40'!$B$8:$B$200,0)),1))*100</f>
        <v>51.150175326921854</v>
      </c>
      <c r="AW178" s="7"/>
      <c r="AX178" s="8"/>
      <c r="AY178" s="36"/>
      <c r="AZ178" s="74"/>
      <c r="BA178" s="7"/>
      <c r="BB178" s="74"/>
      <c r="BC178" s="74"/>
      <c r="BD178" s="7"/>
      <c r="BE178" s="7"/>
      <c r="BF178" s="74"/>
      <c r="BG178" s="74"/>
      <c r="BH178" s="74"/>
      <c r="BI178" s="74"/>
      <c r="BJ178" s="74"/>
      <c r="BK178" s="7"/>
      <c r="BL178" s="74"/>
      <c r="BM178" s="7"/>
      <c r="BN178" s="103"/>
      <c r="BO178" s="14"/>
      <c r="BP178" s="7"/>
      <c r="BQ178" s="7"/>
      <c r="BR178" s="74"/>
      <c r="BS178" s="7"/>
      <c r="BT178" s="7"/>
      <c r="BU178" s="74"/>
      <c r="BV178" s="74"/>
      <c r="BW178" s="74"/>
      <c r="BX178" s="74"/>
      <c r="BY178" s="74"/>
      <c r="BZ178" s="103"/>
      <c r="CA178" s="7"/>
      <c r="CB178" s="74"/>
      <c r="CC178" s="74"/>
      <c r="CD178" s="74"/>
      <c r="CE178" s="7"/>
      <c r="CF178" s="74"/>
      <c r="CG178" s="74"/>
      <c r="CH178" s="7"/>
      <c r="CI178" s="74"/>
      <c r="CJ178" s="74"/>
      <c r="CK178" s="101"/>
      <c r="CL178" s="101"/>
      <c r="CM178" s="74"/>
      <c r="CN178" s="74"/>
      <c r="CO178" s="101"/>
      <c r="CP178" s="74"/>
      <c r="CQ178" s="74"/>
      <c r="CR178" s="74"/>
      <c r="CS178" s="74"/>
      <c r="CT178" s="74"/>
      <c r="CU178" s="74"/>
      <c r="CV178" s="74"/>
      <c r="CW178" s="74"/>
      <c r="CX178" s="7"/>
      <c r="CY178" s="7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103"/>
      <c r="DO178" s="74"/>
      <c r="DP178" s="74"/>
      <c r="DQ178" s="74"/>
      <c r="DR178" s="7"/>
      <c r="DS178" s="7"/>
      <c r="DT178" s="74"/>
      <c r="DU178" s="74"/>
      <c r="DV178" s="74"/>
      <c r="DW178" s="74"/>
      <c r="DX178" s="74"/>
      <c r="DY178" s="74"/>
      <c r="DZ178" s="8">
        <f t="shared" si="44"/>
        <v>51.541394971602145</v>
      </c>
      <c r="EA178" s="3" t="str">
        <f t="shared" si="45"/>
        <v>Gretzinger, Nick</v>
      </c>
      <c r="EB178" s="2">
        <f t="shared" si="46"/>
        <v>1</v>
      </c>
      <c r="EC178" s="112">
        <f t="shared" si="47"/>
        <v>46.890473746597834</v>
      </c>
      <c r="ED178" s="29">
        <f t="shared" si="48"/>
        <v>50.70975498976992</v>
      </c>
      <c r="EE178" s="2">
        <f t="shared" si="49"/>
        <v>0</v>
      </c>
      <c r="EF178" s="46">
        <f t="shared" si="50"/>
        <v>4</v>
      </c>
      <c r="EG178" s="46">
        <f t="shared" si="51"/>
        <v>4</v>
      </c>
      <c r="EH178" s="2" t="str">
        <f t="shared" si="52"/>
        <v>NY</v>
      </c>
      <c r="EI178" s="29">
        <f>IF(COUNT(I178:Y178)&lt;5,DZ178,SUMPRODUCT(LARGE(I178:Y178,{1,2,3,4,5}))/5)</f>
        <v>51.541394971602145</v>
      </c>
      <c r="EJ178" s="29">
        <f>IF(COUNT(I178:AX178)&lt;5,DZ178,SUMPRODUCT(LARGE(I178:AX178,{1,2,3,4,5}))/5)</f>
        <v>51.541394971602145</v>
      </c>
      <c r="EK178" s="29">
        <f>IF(COUNT(I178:DY178)&lt;5,AVERAGE(I178:DY178),SUMPRODUCT(LARGE(I178:DY178,{1,2,3,4,5}))/5)</f>
        <v>51.541394971602145</v>
      </c>
      <c r="EL178" s="29">
        <f t="shared" si="53"/>
        <v>50.70975498976992</v>
      </c>
      <c r="EM178" s="116" t="str">
        <f t="shared" si="54"/>
        <v>Gretzinger, Nick</v>
      </c>
      <c r="EQ178"/>
    </row>
    <row r="179" spans="1:147" x14ac:dyDescent="0.25">
      <c r="A179" s="59">
        <f t="shared" si="40"/>
        <v>176</v>
      </c>
      <c r="B179" s="32" t="s">
        <v>1093</v>
      </c>
      <c r="C179" s="5" t="s">
        <v>6</v>
      </c>
      <c r="D179" s="187" t="s">
        <v>88</v>
      </c>
      <c r="E179" s="187">
        <v>0</v>
      </c>
      <c r="F179" s="187">
        <v>51.885618901731064</v>
      </c>
      <c r="G179" s="5">
        <f t="shared" si="43"/>
        <v>2</v>
      </c>
      <c r="H179" s="188">
        <v>0</v>
      </c>
      <c r="I179" s="36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227"/>
      <c r="Z179" s="228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4">
        <f>(INDEX('Race 33'!$E$8:$E$200,(MATCH($B179,'Race 33'!$B$8:$B$200,0)),1))*100</f>
        <v>51.885618901731064</v>
      </c>
      <c r="AP179" s="7"/>
      <c r="AQ179" s="74"/>
      <c r="AR179" s="70"/>
      <c r="AS179" s="7"/>
      <c r="AT179" s="70"/>
      <c r="AU179" s="7"/>
      <c r="AV179" s="70"/>
      <c r="AW179" s="7"/>
      <c r="AX179" s="8"/>
      <c r="AY179" s="36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103"/>
      <c r="BO179" s="14">
        <f>(INDEX('Race 59'!$E$8:$E$200,(MATCH($B179,'Race 59'!$B$8:$B$200,0)),1))*100</f>
        <v>51.402534619865428</v>
      </c>
      <c r="BP179" s="7"/>
      <c r="BQ179" s="7"/>
      <c r="BR179" s="70"/>
      <c r="BS179" s="7"/>
      <c r="BT179" s="7"/>
      <c r="BU179" s="7"/>
      <c r="BV179" s="7"/>
      <c r="BW179" s="70"/>
      <c r="BX179" s="7"/>
      <c r="BY179" s="7"/>
      <c r="BZ179" s="14"/>
      <c r="CA179" s="7"/>
      <c r="CB179" s="7"/>
      <c r="CC179" s="74"/>
      <c r="CD179" s="7"/>
      <c r="CE179" s="7"/>
      <c r="CF179" s="7"/>
      <c r="CG179" s="7"/>
      <c r="CH179" s="7"/>
      <c r="CI179" s="7"/>
      <c r="CJ179" s="7"/>
      <c r="CK179" s="101"/>
      <c r="CL179" s="74"/>
      <c r="CM179" s="74"/>
      <c r="CN179" s="74"/>
      <c r="CO179" s="70"/>
      <c r="CP179" s="74"/>
      <c r="CQ179" s="7"/>
      <c r="CR179" s="74"/>
      <c r="CS179" s="74"/>
      <c r="CT179" s="74"/>
      <c r="CU179" s="74"/>
      <c r="CV179" s="7"/>
      <c r="CW179" s="7"/>
      <c r="CX179" s="7"/>
      <c r="CY179" s="7"/>
      <c r="CZ179" s="7"/>
      <c r="DA179" s="7"/>
      <c r="DB179" s="7"/>
      <c r="DC179" s="7"/>
      <c r="DD179" s="74"/>
      <c r="DE179" s="74"/>
      <c r="DF179" s="74"/>
      <c r="DG179" s="74"/>
      <c r="DH179" s="74"/>
      <c r="DI179" s="74"/>
      <c r="DJ179" s="74"/>
      <c r="DK179" s="7"/>
      <c r="DL179" s="74"/>
      <c r="DM179" s="74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8">
        <f t="shared" si="44"/>
        <v>51.644076760798242</v>
      </c>
      <c r="EA179" s="3" t="str">
        <f t="shared" si="45"/>
        <v>Grossklaus, Mark</v>
      </c>
      <c r="EB179" s="2">
        <f t="shared" si="46"/>
        <v>1</v>
      </c>
      <c r="EC179" s="112">
        <f t="shared" si="47"/>
        <v>0</v>
      </c>
      <c r="ED179" s="29">
        <f t="shared" si="48"/>
        <v>50.810779969301699</v>
      </c>
      <c r="EE179" s="2">
        <f t="shared" si="49"/>
        <v>0</v>
      </c>
      <c r="EF179" s="46">
        <f t="shared" si="50"/>
        <v>2</v>
      </c>
      <c r="EG179" s="46">
        <f t="shared" si="51"/>
        <v>2</v>
      </c>
      <c r="EH179" s="29" t="str">
        <f t="shared" si="52"/>
        <v>WI</v>
      </c>
      <c r="EI179" s="29">
        <f>IF(COUNT(I179:Y179)&lt;5,DZ179,SUMPRODUCT(LARGE(I179:Y179,{1,2,3,4,5}))/5)</f>
        <v>51.644076760798242</v>
      </c>
      <c r="EJ179" s="29">
        <f>IF(COUNT(I179:AX179)&lt;5,DZ179,SUMPRODUCT(LARGE(I179:AX179,{1,2,3,4,5}))/5)</f>
        <v>51.644076760798242</v>
      </c>
      <c r="EK179" s="29">
        <f>IF(COUNT(I179:DY179)&lt;5,AVERAGE(I179:DY179),SUMPRODUCT(LARGE(I179:DY179,{1,2,3,4,5}))/5)</f>
        <v>51.644076760798242</v>
      </c>
      <c r="EL179" s="29">
        <f t="shared" si="53"/>
        <v>50.810779969301699</v>
      </c>
      <c r="EM179" s="116" t="str">
        <f t="shared" si="54"/>
        <v>Grossklaus, Mark</v>
      </c>
      <c r="EQ179"/>
    </row>
    <row r="180" spans="1:147" x14ac:dyDescent="0.25">
      <c r="A180" s="59">
        <f t="shared" si="40"/>
        <v>177</v>
      </c>
      <c r="B180" s="186" t="s">
        <v>1091</v>
      </c>
      <c r="C180" s="5" t="s">
        <v>6</v>
      </c>
      <c r="D180" s="187" t="s">
        <v>88</v>
      </c>
      <c r="E180" s="187">
        <v>0</v>
      </c>
      <c r="F180" s="187">
        <v>53.805321991561236</v>
      </c>
      <c r="G180" s="5">
        <f t="shared" si="43"/>
        <v>2</v>
      </c>
      <c r="H180" s="188">
        <v>0</v>
      </c>
      <c r="I180" s="107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"/>
      <c r="Y180" s="227"/>
      <c r="Z180" s="230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>
        <f>(INDEX('Race 33'!$E$8:$E$200,(MATCH($B180,'Race 33'!$B$8:$B$200,0)),1))*100</f>
        <v>53.805321991561236</v>
      </c>
      <c r="AP180" s="74"/>
      <c r="AQ180" s="74"/>
      <c r="AR180" s="101"/>
      <c r="AS180" s="74"/>
      <c r="AT180" s="101"/>
      <c r="AU180" s="74"/>
      <c r="AV180" s="101"/>
      <c r="AW180" s="74"/>
      <c r="AX180" s="8"/>
      <c r="AY180" s="36"/>
      <c r="AZ180" s="74"/>
      <c r="BA180" s="74"/>
      <c r="BB180" s="74"/>
      <c r="BC180" s="74"/>
      <c r="BD180" s="7"/>
      <c r="BE180" s="7"/>
      <c r="BF180" s="74"/>
      <c r="BG180" s="74"/>
      <c r="BH180" s="74"/>
      <c r="BI180" s="74"/>
      <c r="BJ180" s="74"/>
      <c r="BK180" s="74"/>
      <c r="BL180" s="74"/>
      <c r="BM180" s="74"/>
      <c r="BN180" s="103"/>
      <c r="BO180" s="103">
        <f>(INDEX('Race 59'!$E$8:$E$200,(MATCH($B180,'Race 59'!$B$8:$B$200,0)),1))*100</f>
        <v>55.372528648143216</v>
      </c>
      <c r="BP180" s="7"/>
      <c r="BQ180" s="7"/>
      <c r="BR180" s="74"/>
      <c r="BS180" s="7"/>
      <c r="BT180" s="7"/>
      <c r="BU180" s="74"/>
      <c r="BV180" s="74"/>
      <c r="BW180" s="74"/>
      <c r="BX180" s="74"/>
      <c r="BY180" s="74"/>
      <c r="BZ180" s="103"/>
      <c r="CA180" s="7"/>
      <c r="CB180" s="74"/>
      <c r="CC180" s="74"/>
      <c r="CD180" s="74"/>
      <c r="CE180" s="74"/>
      <c r="CF180" s="74"/>
      <c r="CG180" s="74"/>
      <c r="CH180" s="74"/>
      <c r="CI180" s="74"/>
      <c r="CJ180" s="74"/>
      <c r="CK180" s="101"/>
      <c r="CL180" s="74"/>
      <c r="CM180" s="74"/>
      <c r="CN180" s="74"/>
      <c r="CO180" s="74"/>
      <c r="CP180" s="74"/>
      <c r="CQ180" s="74"/>
      <c r="CR180" s="74"/>
      <c r="CS180" s="74"/>
      <c r="CT180" s="74"/>
      <c r="CU180" s="74"/>
      <c r="CV180" s="74"/>
      <c r="CW180" s="74"/>
      <c r="CX180" s="7"/>
      <c r="CY180" s="7"/>
      <c r="CZ180" s="74"/>
      <c r="DA180" s="74"/>
      <c r="DB180" s="74"/>
      <c r="DC180" s="74"/>
      <c r="DD180" s="74"/>
      <c r="DE180" s="74"/>
      <c r="DF180" s="74"/>
      <c r="DG180" s="74"/>
      <c r="DH180" s="74"/>
      <c r="DI180" s="74"/>
      <c r="DJ180" s="74"/>
      <c r="DK180" s="74"/>
      <c r="DL180" s="74"/>
      <c r="DM180" s="74"/>
      <c r="DN180" s="74"/>
      <c r="DO180" s="74"/>
      <c r="DP180" s="74"/>
      <c r="DQ180" s="74"/>
      <c r="DR180" s="74"/>
      <c r="DS180" s="74"/>
      <c r="DT180" s="74"/>
      <c r="DU180" s="74"/>
      <c r="DV180" s="74"/>
      <c r="DW180" s="74"/>
      <c r="DX180" s="74"/>
      <c r="DY180" s="74"/>
      <c r="DZ180" s="8">
        <f t="shared" si="44"/>
        <v>54.588925319852223</v>
      </c>
      <c r="EA180" s="3" t="str">
        <f t="shared" si="45"/>
        <v>Grossklaus, Nathan</v>
      </c>
      <c r="EB180" s="2">
        <f t="shared" si="46"/>
        <v>1</v>
      </c>
      <c r="EC180" s="112">
        <f t="shared" si="47"/>
        <v>0</v>
      </c>
      <c r="ED180" s="29">
        <f t="shared" si="48"/>
        <v>53.708112278485068</v>
      </c>
      <c r="EE180" s="2">
        <f t="shared" si="49"/>
        <v>0</v>
      </c>
      <c r="EF180" s="46">
        <f t="shared" si="50"/>
        <v>2</v>
      </c>
      <c r="EG180" s="46">
        <f t="shared" si="51"/>
        <v>2</v>
      </c>
      <c r="EH180" s="29" t="str">
        <f t="shared" si="52"/>
        <v>WI</v>
      </c>
      <c r="EI180" s="29">
        <f>IF(COUNT(I180:Y180)&lt;5,DZ180,SUMPRODUCT(LARGE(I180:Y180,{1,2,3,4,5}))/5)</f>
        <v>54.588925319852223</v>
      </c>
      <c r="EJ180" s="29">
        <f>IF(COUNT(I180:AX180)&lt;5,DZ180,SUMPRODUCT(LARGE(I180:AX180,{1,2,3,4,5}))/5)</f>
        <v>54.588925319852223</v>
      </c>
      <c r="EK180" s="29">
        <f>IF(COUNT(I180:DY180)&lt;5,AVERAGE(I180:DY180),SUMPRODUCT(LARGE(I180:DY180,{1,2,3,4,5}))/5)</f>
        <v>54.588925319852223</v>
      </c>
      <c r="EL180" s="29">
        <f t="shared" si="53"/>
        <v>53.708112278485068</v>
      </c>
      <c r="EM180" s="116" t="str">
        <f t="shared" si="54"/>
        <v>Grossklaus, Nathan</v>
      </c>
      <c r="EQ180"/>
    </row>
    <row r="181" spans="1:147" x14ac:dyDescent="0.25">
      <c r="A181" s="59">
        <f t="shared" si="40"/>
        <v>178</v>
      </c>
      <c r="B181" s="32" t="s">
        <v>1123</v>
      </c>
      <c r="C181" s="5" t="s">
        <v>6</v>
      </c>
      <c r="D181" s="6" t="s">
        <v>77</v>
      </c>
      <c r="E181" s="6">
        <v>0</v>
      </c>
      <c r="F181" s="6">
        <v>43.644409727346179</v>
      </c>
      <c r="G181" s="5">
        <f t="shared" si="43"/>
        <v>2</v>
      </c>
      <c r="H181" s="37">
        <v>0</v>
      </c>
      <c r="I181" s="36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227"/>
      <c r="Z181" s="228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4"/>
      <c r="AP181" s="7"/>
      <c r="AQ181" s="74"/>
      <c r="AR181" s="70"/>
      <c r="AS181" s="7"/>
      <c r="AT181" s="70"/>
      <c r="AU181" s="7"/>
      <c r="AV181" s="70"/>
      <c r="AW181" s="7">
        <f>(INDEX('Race 41'!$E$8:$E$200,(MATCH($B181,'Race 41'!$B$8:$B$200,0)),1))*100</f>
        <v>42.391083085872644</v>
      </c>
      <c r="AX181" s="8">
        <f>(INDEX('Race 42'!$E$8:$E$200,(MATCH($B181,'Race 42'!$B$8:$B$200,0)),1))*100</f>
        <v>44.897736368819714</v>
      </c>
      <c r="AY181" s="36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103"/>
      <c r="BO181" s="14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14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101"/>
      <c r="CL181" s="74"/>
      <c r="CM181" s="74"/>
      <c r="CN181" s="74"/>
      <c r="CO181" s="70"/>
      <c r="CP181" s="74"/>
      <c r="CQ181" s="7"/>
      <c r="CR181" s="74"/>
      <c r="CS181" s="74"/>
      <c r="CT181" s="74"/>
      <c r="CU181" s="74"/>
      <c r="CV181" s="7"/>
      <c r="CW181" s="7"/>
      <c r="CX181" s="7"/>
      <c r="CY181" s="7"/>
      <c r="CZ181" s="7"/>
      <c r="DA181" s="7"/>
      <c r="DB181" s="7"/>
      <c r="DC181" s="7"/>
      <c r="DD181" s="7"/>
      <c r="DE181" s="74"/>
      <c r="DF181" s="74"/>
      <c r="DG181" s="74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8">
        <f t="shared" si="44"/>
        <v>43.644409727346179</v>
      </c>
      <c r="EA181" s="3" t="str">
        <f t="shared" si="45"/>
        <v>Gruse, Matt</v>
      </c>
      <c r="EB181" s="2">
        <f t="shared" si="46"/>
        <v>1</v>
      </c>
      <c r="EC181" s="112">
        <f t="shared" si="47"/>
        <v>0</v>
      </c>
      <c r="ED181" s="29">
        <f t="shared" si="48"/>
        <v>42.940190601481881</v>
      </c>
      <c r="EE181" s="2">
        <f t="shared" si="49"/>
        <v>0</v>
      </c>
      <c r="EF181" s="46">
        <f t="shared" si="50"/>
        <v>2</v>
      </c>
      <c r="EG181" s="46">
        <f t="shared" si="51"/>
        <v>2</v>
      </c>
      <c r="EH181" s="2" t="str">
        <f t="shared" si="52"/>
        <v>OH</v>
      </c>
      <c r="EI181" s="29">
        <f>IF(COUNT(I181:AD181)&lt;5,DZ181,SUMPRODUCT(LARGE(I181:AD181,{1,2,3,4,5}))/5)</f>
        <v>43.644409727346179</v>
      </c>
      <c r="EJ181" s="29">
        <f>IF(COUNT(I181:AX181)&lt;5,DZ181,SUMPRODUCT(LARGE(I181:AX181,{1,2,3,4,5}))/5)</f>
        <v>43.644409727346179</v>
      </c>
      <c r="EK181" s="29">
        <f>IF(COUNT(I181:DY181)&lt;5,AVERAGE(I181:DY181),SUMPRODUCT(LARGE(I181:DY181,{1,2,3,4,5}))/5)</f>
        <v>43.644409727346179</v>
      </c>
      <c r="EL181" s="29">
        <f t="shared" si="53"/>
        <v>42.940190601481881</v>
      </c>
      <c r="EM181" s="116" t="str">
        <f t="shared" si="54"/>
        <v>Gruse, Matt</v>
      </c>
      <c r="EQ181"/>
    </row>
    <row r="182" spans="1:147" x14ac:dyDescent="0.25">
      <c r="A182" s="59">
        <f t="shared" si="40"/>
        <v>179</v>
      </c>
      <c r="B182" s="32" t="s">
        <v>1310</v>
      </c>
      <c r="C182" s="5" t="s">
        <v>6</v>
      </c>
      <c r="D182" s="6" t="s">
        <v>69</v>
      </c>
      <c r="E182" s="6">
        <v>0</v>
      </c>
      <c r="F182" s="6">
        <v>0</v>
      </c>
      <c r="G182" s="5">
        <f t="shared" si="43"/>
        <v>1</v>
      </c>
      <c r="H182" s="37">
        <v>0</v>
      </c>
      <c r="I182" s="107"/>
      <c r="J182" s="7"/>
      <c r="K182" s="74"/>
      <c r="L182" s="7"/>
      <c r="M182" s="74"/>
      <c r="N182" s="74"/>
      <c r="O182" s="7"/>
      <c r="P182" s="74"/>
      <c r="Q182" s="74"/>
      <c r="R182" s="74"/>
      <c r="S182" s="74"/>
      <c r="T182" s="7"/>
      <c r="U182" s="7"/>
      <c r="V182" s="74"/>
      <c r="W182" s="7"/>
      <c r="X182" s="74"/>
      <c r="Y182" s="227"/>
      <c r="Z182" s="228"/>
      <c r="AA182" s="74"/>
      <c r="AB182" s="74"/>
      <c r="AC182" s="74"/>
      <c r="AD182" s="74"/>
      <c r="AE182" s="7"/>
      <c r="AF182" s="74"/>
      <c r="AG182" s="74"/>
      <c r="AH182" s="7"/>
      <c r="AI182" s="7"/>
      <c r="AJ182" s="7"/>
      <c r="AK182" s="7"/>
      <c r="AL182" s="7"/>
      <c r="AM182" s="7"/>
      <c r="AN182" s="7"/>
      <c r="AO182" s="74"/>
      <c r="AP182" s="7"/>
      <c r="AQ182" s="74"/>
      <c r="AR182" s="101"/>
      <c r="AS182" s="7"/>
      <c r="AT182" s="101"/>
      <c r="AU182" s="7"/>
      <c r="AV182" s="101"/>
      <c r="AW182" s="7"/>
      <c r="AX182" s="8"/>
      <c r="AY182" s="36"/>
      <c r="AZ182" s="74"/>
      <c r="BA182" s="74"/>
      <c r="BB182" s="74"/>
      <c r="BC182" s="74"/>
      <c r="BD182" s="7"/>
      <c r="BE182" s="7"/>
      <c r="BF182" s="74"/>
      <c r="BG182" s="74"/>
      <c r="BH182" s="74"/>
      <c r="BI182" s="74"/>
      <c r="BJ182" s="74"/>
      <c r="BK182" s="7"/>
      <c r="BL182" s="74"/>
      <c r="BM182" s="7"/>
      <c r="BN182" s="103"/>
      <c r="BO182" s="103"/>
      <c r="BP182" s="7"/>
      <c r="BQ182" s="7"/>
      <c r="BR182" s="74"/>
      <c r="BS182" s="7"/>
      <c r="BT182" s="7"/>
      <c r="BU182" s="74"/>
      <c r="BV182" s="74"/>
      <c r="BW182" s="74"/>
      <c r="BX182" s="74"/>
      <c r="BY182" s="74"/>
      <c r="BZ182" s="14"/>
      <c r="CA182" s="7"/>
      <c r="CB182" s="74"/>
      <c r="CC182" s="74"/>
      <c r="CD182" s="74"/>
      <c r="CE182" s="7"/>
      <c r="CF182" s="74"/>
      <c r="CG182" s="74"/>
      <c r="CH182" s="7"/>
      <c r="CI182" s="74"/>
      <c r="CJ182" s="74"/>
      <c r="CK182" s="101">
        <f>(INDEX('Race 81'!$E$8:$E$200,(MATCH($B182,'Race 81'!$B$8:$B$200,0)),1))*100</f>
        <v>33.223904106476176</v>
      </c>
      <c r="CL182" s="74"/>
      <c r="CM182" s="74"/>
      <c r="CN182" s="74"/>
      <c r="CO182" s="101"/>
      <c r="CP182" s="74"/>
      <c r="CQ182" s="74"/>
      <c r="CR182" s="74"/>
      <c r="CS182" s="74"/>
      <c r="CT182" s="74"/>
      <c r="CU182" s="74"/>
      <c r="CV182" s="74"/>
      <c r="CW182" s="74"/>
      <c r="CX182" s="7"/>
      <c r="CY182" s="7"/>
      <c r="CZ182" s="74"/>
      <c r="DA182" s="74"/>
      <c r="DB182" s="74"/>
      <c r="DC182" s="74"/>
      <c r="DD182" s="74"/>
      <c r="DE182" s="74"/>
      <c r="DF182" s="74"/>
      <c r="DG182" s="74"/>
      <c r="DH182" s="74"/>
      <c r="DI182" s="74"/>
      <c r="DJ182" s="74"/>
      <c r="DK182" s="74"/>
      <c r="DL182" s="74"/>
      <c r="DM182" s="74"/>
      <c r="DN182" s="74"/>
      <c r="DO182" s="74"/>
      <c r="DP182" s="74"/>
      <c r="DQ182" s="74"/>
      <c r="DR182" s="74"/>
      <c r="DS182" s="74"/>
      <c r="DT182" s="74"/>
      <c r="DU182" s="74"/>
      <c r="DV182" s="74"/>
      <c r="DW182" s="74"/>
      <c r="DX182" s="74"/>
      <c r="DY182" s="74"/>
      <c r="DZ182" s="8">
        <f t="shared" si="44"/>
        <v>33.223904106476176</v>
      </c>
      <c r="EA182" s="3" t="str">
        <f t="shared" si="45"/>
        <v>GUNTER, Ian</v>
      </c>
      <c r="EB182" s="2">
        <f t="shared" si="46"/>
        <v>1</v>
      </c>
      <c r="EC182" s="112">
        <f t="shared" si="47"/>
        <v>0</v>
      </c>
      <c r="ED182" s="29">
        <f t="shared" si="48"/>
        <v>32.687823796218197</v>
      </c>
      <c r="EE182" s="2">
        <f t="shared" si="49"/>
        <v>0</v>
      </c>
      <c r="EF182" s="46">
        <f t="shared" si="50"/>
        <v>0</v>
      </c>
      <c r="EG182" s="46">
        <f t="shared" si="51"/>
        <v>1</v>
      </c>
      <c r="EH182" s="2" t="str">
        <f t="shared" si="52"/>
        <v>WA</v>
      </c>
      <c r="EI182" s="29">
        <f>IF(COUNT(I182:AD182)&lt;5,DZ182,SUMPRODUCT(LARGE(I182:AD182,{1,2,3,4,5}))/5)</f>
        <v>33.223904106476176</v>
      </c>
      <c r="EJ182" s="29">
        <f>IF(COUNT(I182:BE182)&lt;5,DZ182,SUMPRODUCT(LARGE(I182:BE182,{1,2,3,4,5}))/5)</f>
        <v>33.223904106476176</v>
      </c>
      <c r="EK182" s="29">
        <f>IF(COUNT(I182:DY182)&lt;5,AVERAGE(I182:DY182),SUMPRODUCT(LARGE(I182:DY182,{1,2,3,4,5}))/5)</f>
        <v>33.223904106476176</v>
      </c>
      <c r="EL182" s="29">
        <f t="shared" si="53"/>
        <v>32.687823796218197</v>
      </c>
      <c r="EM182" s="116" t="str">
        <f t="shared" si="54"/>
        <v>GUNTER, Ian</v>
      </c>
      <c r="EQ182"/>
    </row>
    <row r="183" spans="1:147" x14ac:dyDescent="0.25">
      <c r="A183" s="59">
        <f t="shared" si="40"/>
        <v>180</v>
      </c>
      <c r="B183" s="32" t="s">
        <v>405</v>
      </c>
      <c r="C183" s="5" t="s">
        <v>6</v>
      </c>
      <c r="D183" s="6" t="s">
        <v>80</v>
      </c>
      <c r="E183" s="6">
        <v>52.828471688363848</v>
      </c>
      <c r="F183" s="6">
        <v>52.828471688363848</v>
      </c>
      <c r="G183" s="5">
        <f t="shared" si="43"/>
        <v>0</v>
      </c>
      <c r="H183" s="37">
        <v>52.828471688363848</v>
      </c>
      <c r="I183" s="107"/>
      <c r="J183" s="7"/>
      <c r="K183" s="74"/>
      <c r="L183" s="7"/>
      <c r="M183" s="74"/>
      <c r="N183" s="74"/>
      <c r="O183" s="7"/>
      <c r="P183" s="74"/>
      <c r="Q183" s="74"/>
      <c r="R183" s="74"/>
      <c r="S183" s="74"/>
      <c r="T183" s="7"/>
      <c r="U183" s="7"/>
      <c r="V183" s="74"/>
      <c r="W183" s="74"/>
      <c r="X183" s="74"/>
      <c r="Y183" s="227"/>
      <c r="Z183" s="228"/>
      <c r="AA183" s="74"/>
      <c r="AB183" s="74"/>
      <c r="AC183" s="74"/>
      <c r="AD183" s="103"/>
      <c r="AE183" s="7"/>
      <c r="AF183" s="74"/>
      <c r="AG183" s="103"/>
      <c r="AH183" s="7"/>
      <c r="AI183" s="7"/>
      <c r="AJ183" s="7"/>
      <c r="AK183" s="7"/>
      <c r="AL183" s="7"/>
      <c r="AM183" s="7"/>
      <c r="AN183" s="7"/>
      <c r="AO183" s="74"/>
      <c r="AP183" s="7"/>
      <c r="AQ183" s="74"/>
      <c r="AR183" s="101"/>
      <c r="AS183" s="7"/>
      <c r="AT183" s="101"/>
      <c r="AU183" s="7"/>
      <c r="AV183" s="101"/>
      <c r="AW183" s="7"/>
      <c r="AX183" s="183"/>
      <c r="AY183" s="107"/>
      <c r="AZ183" s="74"/>
      <c r="BA183" s="74"/>
      <c r="BB183" s="74"/>
      <c r="BC183" s="74"/>
      <c r="BD183" s="7"/>
      <c r="BE183" s="7"/>
      <c r="BF183" s="74"/>
      <c r="BG183" s="74"/>
      <c r="BH183" s="74"/>
      <c r="BI183" s="74"/>
      <c r="BJ183" s="74"/>
      <c r="BK183" s="7"/>
      <c r="BL183" s="74"/>
      <c r="BM183" s="7"/>
      <c r="BN183" s="103"/>
      <c r="BO183" s="103"/>
      <c r="BP183" s="7"/>
      <c r="BQ183" s="7"/>
      <c r="BR183" s="74"/>
      <c r="BS183" s="7"/>
      <c r="BT183" s="7"/>
      <c r="BU183" s="74"/>
      <c r="BV183" s="74"/>
      <c r="BW183" s="74"/>
      <c r="BX183" s="74"/>
      <c r="BY183" s="74"/>
      <c r="BZ183" s="103"/>
      <c r="CA183" s="7"/>
      <c r="CB183" s="7"/>
      <c r="CC183" s="74"/>
      <c r="CD183" s="74"/>
      <c r="CE183" s="7"/>
      <c r="CF183" s="74"/>
      <c r="CG183" s="74"/>
      <c r="CH183" s="7"/>
      <c r="CI183" s="74"/>
      <c r="CJ183" s="74"/>
      <c r="CK183" s="74"/>
      <c r="CL183" s="74"/>
      <c r="CM183" s="74"/>
      <c r="CN183" s="74"/>
      <c r="CO183" s="101"/>
      <c r="CP183" s="74"/>
      <c r="CQ183" s="74"/>
      <c r="CR183" s="74"/>
      <c r="CS183" s="74"/>
      <c r="CT183" s="74"/>
      <c r="CU183" s="74"/>
      <c r="CV183" s="74"/>
      <c r="CW183" s="74"/>
      <c r="CX183" s="7"/>
      <c r="CY183" s="7"/>
      <c r="CZ183" s="74"/>
      <c r="DA183" s="74"/>
      <c r="DB183" s="74"/>
      <c r="DC183" s="74"/>
      <c r="DD183" s="74"/>
      <c r="DE183" s="74"/>
      <c r="DF183" s="74"/>
      <c r="DG183" s="74"/>
      <c r="DH183" s="74"/>
      <c r="DI183" s="74"/>
      <c r="DJ183" s="74"/>
      <c r="DK183" s="74"/>
      <c r="DL183" s="74"/>
      <c r="DM183" s="74"/>
      <c r="DN183" s="103"/>
      <c r="DO183" s="74"/>
      <c r="DP183" s="74"/>
      <c r="DQ183" s="74"/>
      <c r="DR183" s="7"/>
      <c r="DS183" s="7"/>
      <c r="DT183" s="74"/>
      <c r="DU183" s="74"/>
      <c r="DV183" s="74"/>
      <c r="DW183" s="74"/>
      <c r="DX183" s="74"/>
      <c r="DY183" s="74"/>
      <c r="DZ183" s="8">
        <f t="shared" si="44"/>
        <v>52.828471688363848</v>
      </c>
      <c r="EA183" s="3" t="str">
        <f t="shared" si="45"/>
        <v>Hahn, Chester</v>
      </c>
      <c r="EB183" s="2">
        <f t="shared" si="46"/>
        <v>0</v>
      </c>
      <c r="EC183" s="112">
        <f t="shared" si="47"/>
        <v>52.828471688363848</v>
      </c>
      <c r="ED183" s="29">
        <f t="shared" si="48"/>
        <v>0</v>
      </c>
      <c r="EE183" s="2">
        <f t="shared" si="49"/>
        <v>0</v>
      </c>
      <c r="EF183" s="46">
        <f t="shared" si="50"/>
        <v>0</v>
      </c>
      <c r="EG183" s="46">
        <f t="shared" si="51"/>
        <v>0</v>
      </c>
      <c r="EH183" s="29" t="str">
        <f t="shared" si="52"/>
        <v>IN</v>
      </c>
      <c r="EI183" s="29">
        <f>IF(COUNT(I183:Y183)&lt;5,DZ183,SUMPRODUCT(LARGE(I183:Y183,{1,2,3,4,5}))/5)</f>
        <v>52.828471688363848</v>
      </c>
      <c r="EJ183" s="29">
        <f>IF(COUNT(I183:AX183)&lt;5,DZ183,SUMPRODUCT(LARGE(I183:AX183,{1,2,3,4,5}))/5)</f>
        <v>52.828471688363848</v>
      </c>
      <c r="EK183" s="112">
        <f>IF(EG183&lt;0,AVERAGE(I183:DY183),0)</f>
        <v>0</v>
      </c>
      <c r="EL183" s="29">
        <f t="shared" si="53"/>
        <v>0</v>
      </c>
      <c r="EM183" s="116" t="str">
        <f t="shared" si="54"/>
        <v>Hahn, Chester</v>
      </c>
      <c r="EQ183"/>
    </row>
    <row r="184" spans="1:147" x14ac:dyDescent="0.25">
      <c r="A184" s="59">
        <f t="shared" si="40"/>
        <v>181</v>
      </c>
      <c r="B184" s="32" t="s">
        <v>797</v>
      </c>
      <c r="C184" s="5" t="s">
        <v>6</v>
      </c>
      <c r="D184" s="6" t="s">
        <v>62</v>
      </c>
      <c r="E184" s="6">
        <v>51.877823989586943</v>
      </c>
      <c r="F184" s="6">
        <v>53.946105899327328</v>
      </c>
      <c r="G184" s="5">
        <f t="shared" si="43"/>
        <v>8</v>
      </c>
      <c r="H184" s="37">
        <v>51.877823989586943</v>
      </c>
      <c r="I184" s="36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227"/>
      <c r="Z184" s="228"/>
      <c r="AA184" s="7"/>
      <c r="AB184" s="7"/>
      <c r="AC184" s="7"/>
      <c r="AD184" s="7"/>
      <c r="AE184" s="7"/>
      <c r="AF184" s="7"/>
      <c r="AG184" s="74">
        <f>(INDEX('Race 25'!$E$8:$E$200,(MATCH($B184,'Race 25'!$B$8:$B$200,0)),1))*100</f>
        <v>50.335455889232335</v>
      </c>
      <c r="AH184" s="7"/>
      <c r="AI184" s="7"/>
      <c r="AJ184" s="7"/>
      <c r="AK184" s="7"/>
      <c r="AL184" s="74">
        <f>(INDEX('Race 30'!$E$8:$E$200,(MATCH($B184,'Race 30'!$B$8:$B$200,0)),1))*100</f>
        <v>54.170114954745905</v>
      </c>
      <c r="AM184" s="7"/>
      <c r="AN184" s="7"/>
      <c r="AO184" s="7"/>
      <c r="AP184" s="7"/>
      <c r="AQ184" s="74"/>
      <c r="AR184" s="70"/>
      <c r="AS184" s="7"/>
      <c r="AT184" s="70"/>
      <c r="AU184" s="7"/>
      <c r="AV184" s="70"/>
      <c r="AW184" s="7">
        <f>(INDEX('Race 41'!$E$8:$E$200,(MATCH($B184,'Race 41'!$B$8:$B$200,0)),1))*100</f>
        <v>53.382554212004884</v>
      </c>
      <c r="AX184" s="8">
        <f>(INDEX('Race 42'!$E$8:$E$200,(MATCH($B184,'Race 42'!$B$8:$B$200,0)),1))*100</f>
        <v>57.896298541326196</v>
      </c>
      <c r="AY184" s="36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103"/>
      <c r="BO184" s="14"/>
      <c r="BP184" s="7"/>
      <c r="BQ184" s="7"/>
      <c r="BR184" s="7"/>
      <c r="BS184" s="7">
        <f>(INDEX('Race 63'!$E$8:$E$200,(MATCH($B184,'Race 63'!$B$8:$B$200,0)),1))*100</f>
        <v>56.797379933895066</v>
      </c>
      <c r="BT184" s="7">
        <f>(INDEX('Race 64'!$E$8:$E$200,(MATCH($B184,'Race 64'!$B$8:$B$200,0)),1))*100</f>
        <v>60.47830221483386</v>
      </c>
      <c r="BU184" s="7"/>
      <c r="BV184" s="7"/>
      <c r="BW184" s="7"/>
      <c r="BX184" s="7"/>
      <c r="BY184" s="7"/>
      <c r="BZ184" s="14"/>
      <c r="CA184" s="7"/>
      <c r="CB184" s="7"/>
      <c r="CC184" s="7"/>
      <c r="CD184" s="7"/>
      <c r="CE184" s="7">
        <f>(INDEX('Race 75'!$E$8:$E$200,(MATCH($B184,'Race 75'!$B$8:$B$200,0)),1))*100</f>
        <v>56.220711048990339</v>
      </c>
      <c r="CF184" s="7">
        <f>(INDEX('Race 76'!$E$8:$E$200,(MATCH($B184,'Race 76'!$B$8:$B$200,0)),1))*100</f>
        <v>59.342008662348356</v>
      </c>
      <c r="CG184" s="7"/>
      <c r="CH184" s="7"/>
      <c r="CI184" s="70"/>
      <c r="CJ184" s="74"/>
      <c r="CK184" s="101"/>
      <c r="CL184" s="74"/>
      <c r="CM184" s="74"/>
      <c r="CN184" s="74"/>
      <c r="CO184" s="70"/>
      <c r="CP184" s="74"/>
      <c r="CQ184" s="7"/>
      <c r="CR184" s="74"/>
      <c r="CS184" s="74"/>
      <c r="CT184" s="74"/>
      <c r="CU184" s="74"/>
      <c r="CV184" s="7"/>
      <c r="CW184" s="7"/>
      <c r="CX184" s="7"/>
      <c r="CY184" s="7"/>
      <c r="CZ184" s="7"/>
      <c r="DA184" s="7"/>
      <c r="DB184" s="7"/>
      <c r="DC184" s="7"/>
      <c r="DD184" s="7"/>
      <c r="DE184" s="74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8">
        <f t="shared" si="44"/>
        <v>56.07785318217212</v>
      </c>
      <c r="EA184" s="3" t="str">
        <f t="shared" si="45"/>
        <v>Hahn, Chip</v>
      </c>
      <c r="EB184" s="2">
        <f t="shared" si="46"/>
        <v>1</v>
      </c>
      <c r="EC184" s="112">
        <f t="shared" si="47"/>
        <v>51.877823989586943</v>
      </c>
      <c r="ED184" s="29">
        <f t="shared" si="48"/>
        <v>57.20871711951866</v>
      </c>
      <c r="EE184" s="2">
        <f t="shared" si="49"/>
        <v>1</v>
      </c>
      <c r="EF184" s="46">
        <f t="shared" si="50"/>
        <v>4</v>
      </c>
      <c r="EG184" s="46">
        <f t="shared" si="51"/>
        <v>8</v>
      </c>
      <c r="EH184" s="29" t="str">
        <f t="shared" si="52"/>
        <v>CO</v>
      </c>
      <c r="EI184" s="29">
        <f>IF(COUNT(I184:Y184)&lt;5,DZ184,SUMPRODUCT(LARGE(I184:Y184,{1,2,3,4,5}))/5)</f>
        <v>56.07785318217212</v>
      </c>
      <c r="EJ184" s="29">
        <f>IF(COUNT(I184:AX184)&lt;5,DZ184,SUMPRODUCT(LARGE(I184:AX184,{1,2,3,4,5}))/5)</f>
        <v>56.07785318217212</v>
      </c>
      <c r="EK184" s="29">
        <f>IF(COUNT(I184:DY184)&lt;5,AVERAGE(I184:DY184),SUMPRODUCT(LARGE(I184:DY184,{1,2,3,4,5}))/5)</f>
        <v>58.14694008027876</v>
      </c>
      <c r="EL184" s="29">
        <f t="shared" si="53"/>
        <v>57.20871711951866</v>
      </c>
      <c r="EM184" s="116" t="str">
        <f t="shared" si="54"/>
        <v>Hahn, Chip</v>
      </c>
      <c r="EQ184"/>
    </row>
    <row r="185" spans="1:147" x14ac:dyDescent="0.25">
      <c r="A185" s="59">
        <f t="shared" si="40"/>
        <v>182</v>
      </c>
      <c r="B185" s="32" t="s">
        <v>292</v>
      </c>
      <c r="C185" s="5" t="s">
        <v>6</v>
      </c>
      <c r="D185" s="5" t="s">
        <v>57</v>
      </c>
      <c r="E185" s="6">
        <v>83.303741186886441</v>
      </c>
      <c r="F185" s="6">
        <v>87.317796744326898</v>
      </c>
      <c r="G185" s="5">
        <f t="shared" si="43"/>
        <v>3</v>
      </c>
      <c r="H185" s="37">
        <v>83.303741186886441</v>
      </c>
      <c r="I185" s="107"/>
      <c r="J185" s="7"/>
      <c r="K185" s="7"/>
      <c r="L185" s="7"/>
      <c r="M185" s="74"/>
      <c r="N185" s="74"/>
      <c r="O185" s="7"/>
      <c r="P185" s="7"/>
      <c r="Q185" s="74"/>
      <c r="R185" s="7"/>
      <c r="S185" s="74"/>
      <c r="T185" s="7"/>
      <c r="U185" s="7"/>
      <c r="V185" s="7"/>
      <c r="W185" s="7"/>
      <c r="X185" s="7"/>
      <c r="Y185" s="227"/>
      <c r="Z185" s="228"/>
      <c r="AA185" s="74"/>
      <c r="AB185" s="74"/>
      <c r="AC185" s="74"/>
      <c r="AD185" s="7"/>
      <c r="AE185" s="74"/>
      <c r="AF185" s="74"/>
      <c r="AG185" s="7"/>
      <c r="AH185" s="74"/>
      <c r="AI185" s="74"/>
      <c r="AJ185" s="74"/>
      <c r="AK185" s="74"/>
      <c r="AL185" s="7"/>
      <c r="AM185" s="74"/>
      <c r="AN185" s="7"/>
      <c r="AO185" s="74"/>
      <c r="AP185" s="7"/>
      <c r="AQ185" s="74"/>
      <c r="AR185" s="101"/>
      <c r="AS185" s="7"/>
      <c r="AT185" s="101"/>
      <c r="AU185" s="7"/>
      <c r="AV185" s="101"/>
      <c r="AW185" s="7"/>
      <c r="AX185" s="183"/>
      <c r="AY185" s="107">
        <f>(INDEX('Race 43'!$E$8:$E$200,(MATCH($B185,'Race 43'!$B$8:$B$200,0)),1))*100</f>
        <v>88.436055830578354</v>
      </c>
      <c r="AZ185" s="74"/>
      <c r="BA185" s="74">
        <f>(INDEX('Race 45'!$E$8:$E$200,(MATCH($B185,'Race 45'!$B$8:$B$200,0)),1))*100</f>
        <v>86.286918289162912</v>
      </c>
      <c r="BB185" s="74"/>
      <c r="BC185" s="7"/>
      <c r="BD185" s="7"/>
      <c r="BE185" s="7"/>
      <c r="BF185" s="74"/>
      <c r="BG185" s="7"/>
      <c r="BH185" s="74"/>
      <c r="BI185" s="7"/>
      <c r="BJ185" s="74"/>
      <c r="BK185" s="74"/>
      <c r="BL185" s="74"/>
      <c r="BM185" s="7"/>
      <c r="BN185" s="103"/>
      <c r="BO185" s="14"/>
      <c r="BP185" s="7"/>
      <c r="BQ185" s="7"/>
      <c r="BR185" s="7">
        <f>(INDEX('Race 62'!$E$8:$E$200,(MATCH($B185,'Race 62'!$B$8:$B$200,0)),1))*100</f>
        <v>76.442409977421434</v>
      </c>
      <c r="BS185" s="7"/>
      <c r="BT185" s="7"/>
      <c r="BU185" s="74"/>
      <c r="BV185" s="7"/>
      <c r="BW185" s="74"/>
      <c r="BX185" s="7"/>
      <c r="BY185" s="74"/>
      <c r="BZ185" s="103"/>
      <c r="CA185" s="7"/>
      <c r="CB185" s="74"/>
      <c r="CC185" s="74"/>
      <c r="CD185" s="74"/>
      <c r="CE185" s="74"/>
      <c r="CF185" s="74"/>
      <c r="CG185" s="74"/>
      <c r="CH185" s="7"/>
      <c r="CI185" s="74"/>
      <c r="CJ185" s="74"/>
      <c r="CK185" s="101"/>
      <c r="CL185" s="74"/>
      <c r="CM185" s="74"/>
      <c r="CN185" s="74"/>
      <c r="CO185" s="101"/>
      <c r="CP185" s="74"/>
      <c r="CQ185" s="74"/>
      <c r="CR185" s="74"/>
      <c r="CS185" s="74"/>
      <c r="CT185" s="74"/>
      <c r="CU185" s="74"/>
      <c r="CV185" s="74"/>
      <c r="CW185" s="74"/>
      <c r="CX185" s="7"/>
      <c r="CY185" s="7"/>
      <c r="CZ185" s="74"/>
      <c r="DA185" s="74"/>
      <c r="DB185" s="74"/>
      <c r="DC185" s="74"/>
      <c r="DD185" s="74"/>
      <c r="DE185" s="74"/>
      <c r="DF185" s="74"/>
      <c r="DG185" s="74"/>
      <c r="DH185" s="74"/>
      <c r="DI185" s="74"/>
      <c r="DJ185" s="74"/>
      <c r="DK185" s="74"/>
      <c r="DL185" s="74"/>
      <c r="DM185" s="74"/>
      <c r="DN185" s="74"/>
      <c r="DO185" s="74"/>
      <c r="DP185" s="74"/>
      <c r="DQ185" s="74"/>
      <c r="DR185" s="7"/>
      <c r="DS185" s="7"/>
      <c r="DT185" s="74"/>
      <c r="DU185" s="74"/>
      <c r="DV185" s="74"/>
      <c r="DW185" s="74"/>
      <c r="DX185" s="74"/>
      <c r="DY185" s="74"/>
      <c r="DZ185" s="8">
        <f t="shared" si="44"/>
        <v>83.721794699054229</v>
      </c>
      <c r="EA185" s="3" t="str">
        <f t="shared" si="45"/>
        <v>Halligan, Brian</v>
      </c>
      <c r="EB185" s="2">
        <f t="shared" si="46"/>
        <v>1</v>
      </c>
      <c r="EC185" s="112">
        <f t="shared" si="47"/>
        <v>83.303741186886441</v>
      </c>
      <c r="ED185" s="29">
        <f t="shared" si="48"/>
        <v>82.370911746413057</v>
      </c>
      <c r="EE185" s="2">
        <f t="shared" si="49"/>
        <v>0</v>
      </c>
      <c r="EF185" s="46">
        <f t="shared" si="50"/>
        <v>2</v>
      </c>
      <c r="EG185" s="46">
        <f t="shared" si="51"/>
        <v>3</v>
      </c>
      <c r="EH185" s="29" t="str">
        <f t="shared" si="52"/>
        <v>NY</v>
      </c>
      <c r="EI185" s="29">
        <f>IF(COUNT(I185:Y185)&lt;5,DZ185,SUMPRODUCT(LARGE(I185:Y185,{1,2,3,4,5}))/5)</f>
        <v>83.721794699054229</v>
      </c>
      <c r="EJ185" s="29">
        <f>IF(COUNT(I185:AX185)&lt;5,DZ185,SUMPRODUCT(LARGE(I185:AX185,{1,2,3,4,5}))/5)</f>
        <v>83.721794699054229</v>
      </c>
      <c r="EK185" s="29">
        <f>IF(COUNT(I185:DY185)&lt;5,AVERAGE(I185:DY185),SUMPRODUCT(LARGE(I185:DY185,{1,2,3,4,5}))/5)</f>
        <v>83.721794699054229</v>
      </c>
      <c r="EL185" s="29">
        <f t="shared" si="53"/>
        <v>82.370911746413057</v>
      </c>
      <c r="EM185" s="116" t="str">
        <f t="shared" si="54"/>
        <v>Halligan, Brian</v>
      </c>
      <c r="EQ185"/>
    </row>
    <row r="186" spans="1:147" x14ac:dyDescent="0.25">
      <c r="A186" s="59">
        <f t="shared" si="40"/>
        <v>183</v>
      </c>
      <c r="B186" s="32" t="s">
        <v>848</v>
      </c>
      <c r="C186" s="5" t="s">
        <v>16</v>
      </c>
      <c r="D186" s="6" t="s">
        <v>57</v>
      </c>
      <c r="E186" s="6">
        <v>63.991198989542667</v>
      </c>
      <c r="F186" s="6">
        <v>63.991198989542667</v>
      </c>
      <c r="G186" s="13">
        <f t="shared" si="43"/>
        <v>0</v>
      </c>
      <c r="H186" s="63">
        <v>63.991198989542667</v>
      </c>
      <c r="I186" s="36"/>
      <c r="J186" s="7"/>
      <c r="K186" s="14"/>
      <c r="L186" s="7"/>
      <c r="M186" s="14"/>
      <c r="N186" s="14"/>
      <c r="O186" s="7"/>
      <c r="P186" s="14"/>
      <c r="Q186" s="14"/>
      <c r="R186" s="14"/>
      <c r="S186" s="14"/>
      <c r="T186" s="7"/>
      <c r="U186" s="7"/>
      <c r="V186" s="14"/>
      <c r="W186" s="7"/>
      <c r="X186" s="14"/>
      <c r="Y186" s="227"/>
      <c r="Z186" s="228"/>
      <c r="AA186" s="14"/>
      <c r="AB186" s="14"/>
      <c r="AC186" s="14"/>
      <c r="AD186" s="14"/>
      <c r="AE186" s="7"/>
      <c r="AF186" s="14"/>
      <c r="AG186" s="7"/>
      <c r="AH186" s="7"/>
      <c r="AI186" s="7"/>
      <c r="AJ186" s="7"/>
      <c r="AK186" s="7"/>
      <c r="AL186" s="7"/>
      <c r="AM186" s="7"/>
      <c r="AN186" s="7"/>
      <c r="AO186" s="74"/>
      <c r="AP186" s="7"/>
      <c r="AQ186" s="74"/>
      <c r="AR186" s="70"/>
      <c r="AS186" s="7"/>
      <c r="AT186" s="7"/>
      <c r="AU186" s="7"/>
      <c r="AV186" s="7"/>
      <c r="AW186" s="7"/>
      <c r="AX186" s="183"/>
      <c r="AY186" s="107"/>
      <c r="AZ186" s="14"/>
      <c r="BA186" s="14"/>
      <c r="BB186" s="14"/>
      <c r="BC186" s="7"/>
      <c r="BD186" s="7"/>
      <c r="BE186" s="7"/>
      <c r="BF186" s="14"/>
      <c r="BG186" s="14"/>
      <c r="BH186" s="14"/>
      <c r="BI186" s="14"/>
      <c r="BJ186" s="14"/>
      <c r="BK186" s="7"/>
      <c r="BL186" s="14"/>
      <c r="BM186" s="7"/>
      <c r="BN186" s="103"/>
      <c r="BO186" s="14"/>
      <c r="BP186" s="7"/>
      <c r="BQ186" s="7"/>
      <c r="BR186" s="74"/>
      <c r="BS186" s="7"/>
      <c r="BT186" s="7"/>
      <c r="BU186" s="74"/>
      <c r="BV186" s="74"/>
      <c r="BW186" s="7"/>
      <c r="BX186" s="7"/>
      <c r="BY186" s="14"/>
      <c r="BZ186" s="14"/>
      <c r="CA186" s="7"/>
      <c r="CB186" s="14"/>
      <c r="CC186" s="14"/>
      <c r="CD186" s="7"/>
      <c r="CE186" s="7"/>
      <c r="CF186" s="103"/>
      <c r="CG186" s="14"/>
      <c r="CH186" s="7"/>
      <c r="CI186" s="14"/>
      <c r="CJ186" s="14"/>
      <c r="CK186" s="101"/>
      <c r="CL186" s="74"/>
      <c r="CM186" s="74"/>
      <c r="CN186" s="74"/>
      <c r="CO186" s="232"/>
      <c r="CP186" s="74"/>
      <c r="CQ186" s="7"/>
      <c r="CR186" s="74"/>
      <c r="CS186" s="74"/>
      <c r="CT186" s="74"/>
      <c r="CU186" s="74"/>
      <c r="CV186" s="7"/>
      <c r="CW186" s="7"/>
      <c r="CX186" s="7"/>
      <c r="CY186" s="7"/>
      <c r="CZ186" s="7"/>
      <c r="DA186" s="7"/>
      <c r="DB186" s="7"/>
      <c r="DC186" s="7"/>
      <c r="DD186" s="7"/>
      <c r="DE186" s="74"/>
      <c r="DF186" s="74"/>
      <c r="DG186" s="74"/>
      <c r="DH186" s="7"/>
      <c r="DI186" s="7"/>
      <c r="DJ186" s="14"/>
      <c r="DK186" s="7"/>
      <c r="DL186" s="7"/>
      <c r="DM186" s="14"/>
      <c r="DN186" s="14"/>
      <c r="DO186" s="14"/>
      <c r="DP186" s="14"/>
      <c r="DQ186" s="14"/>
      <c r="DR186" s="7"/>
      <c r="DS186" s="7"/>
      <c r="DT186" s="14"/>
      <c r="DU186" s="14"/>
      <c r="DV186" s="14"/>
      <c r="DW186" s="14"/>
      <c r="DX186" s="14"/>
      <c r="DY186" s="14"/>
      <c r="DZ186" s="8">
        <f t="shared" si="44"/>
        <v>63.991198989542667</v>
      </c>
      <c r="EA186" s="3" t="str">
        <f t="shared" si="45"/>
        <v>Halligan, Michael</v>
      </c>
      <c r="EB186" s="2">
        <f t="shared" si="46"/>
        <v>0</v>
      </c>
      <c r="EC186" s="112">
        <f t="shared" si="47"/>
        <v>63.991198989542667</v>
      </c>
      <c r="ED186" s="29">
        <f t="shared" si="48"/>
        <v>0</v>
      </c>
      <c r="EE186" s="2">
        <f t="shared" si="49"/>
        <v>0</v>
      </c>
      <c r="EF186" s="46">
        <f t="shared" si="50"/>
        <v>0</v>
      </c>
      <c r="EG186" s="46">
        <f t="shared" si="51"/>
        <v>0</v>
      </c>
      <c r="EH186" s="2" t="str">
        <f t="shared" si="52"/>
        <v>NY</v>
      </c>
      <c r="EI186" s="29">
        <f>IF(COUNT(I186:Y186)&lt;5,DZ186,SUMPRODUCT(LARGE(I186:Y186,{1,2,3,4,5}))/5)</f>
        <v>63.991198989542667</v>
      </c>
      <c r="EJ186" s="29">
        <f>IF(COUNT(I186:AX186)&lt;5,DZ186,SUMPRODUCT(LARGE(I186:AX186,{1,2,3,4,5}))/5)</f>
        <v>63.991198989542667</v>
      </c>
      <c r="EK186" s="112">
        <f>IF(EG186&lt;0,AVERAGE(I186:DY186),0)</f>
        <v>0</v>
      </c>
      <c r="EL186" s="29">
        <f t="shared" si="53"/>
        <v>0</v>
      </c>
      <c r="EM186" s="116" t="str">
        <f t="shared" si="54"/>
        <v>Halligan, Michael</v>
      </c>
      <c r="EQ186"/>
    </row>
    <row r="187" spans="1:147" x14ac:dyDescent="0.25">
      <c r="A187" s="59">
        <f t="shared" si="40"/>
        <v>184</v>
      </c>
      <c r="B187" s="4" t="s">
        <v>13</v>
      </c>
      <c r="C187" s="5" t="s">
        <v>6</v>
      </c>
      <c r="D187" s="5" t="s">
        <v>57</v>
      </c>
      <c r="E187" s="6">
        <v>66.308290816615511</v>
      </c>
      <c r="F187" s="6">
        <v>65.133504013378101</v>
      </c>
      <c r="G187" s="13">
        <f t="shared" si="43"/>
        <v>6</v>
      </c>
      <c r="H187" s="63">
        <v>66.308290816615511</v>
      </c>
      <c r="I187" s="36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227"/>
      <c r="Z187" s="228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4"/>
      <c r="AR187" s="70"/>
      <c r="AS187" s="7"/>
      <c r="AT187" s="70"/>
      <c r="AU187" s="7"/>
      <c r="AV187" s="70"/>
      <c r="AW187" s="7"/>
      <c r="AX187" s="8"/>
      <c r="AY187" s="36">
        <f>(INDEX('Race 43'!$E$8:$E$200,(MATCH($B187,'Race 43'!$B$8:$B$200,0)),1))*100</f>
        <v>65.967653927806481</v>
      </c>
      <c r="AZ187" s="7"/>
      <c r="BA187" s="7"/>
      <c r="BB187" s="7">
        <f>(INDEX('Race 46'!$E$8:$E$200,(MATCH($B187,'Race 46'!$B$8:$B$200,0)),1))*100</f>
        <v>75.185594109733046</v>
      </c>
      <c r="BC187" s="7"/>
      <c r="BD187" s="7"/>
      <c r="BE187" s="7">
        <f>(INDEX('Race 49'!$E$8:$E$200,(MATCH($B187,'Race 49'!$B$8:$B$200,0)),1))*100</f>
        <v>70.241483488392262</v>
      </c>
      <c r="BF187" s="74"/>
      <c r="BG187" s="74"/>
      <c r="BH187" s="7"/>
      <c r="BI187" s="7"/>
      <c r="BJ187" s="7"/>
      <c r="BK187" s="7"/>
      <c r="BL187" s="74">
        <f>(INDEX('Race 56'!$E$8:$E$200,(MATCH($B187,'Race 56'!$B$8:$B$200,0)),1))*100</f>
        <v>67.415653116252244</v>
      </c>
      <c r="BM187" s="7"/>
      <c r="BN187" s="103">
        <f>(INDEX('Race 58'!$E$8:$E$200,(MATCH($B187,'Race 58'!$B$8:$B$200,0)),1))*100</f>
        <v>59.333388517153018</v>
      </c>
      <c r="BO187" s="14"/>
      <c r="BP187" s="7"/>
      <c r="BQ187" s="7"/>
      <c r="BR187" s="74">
        <f>(INDEX('Race 62'!$E$8:$E$200,(MATCH($B187,'Race 62'!$B$8:$B$200,0)),1))*100</f>
        <v>71.410425348112057</v>
      </c>
      <c r="BS187" s="7"/>
      <c r="BT187" s="7"/>
      <c r="BU187" s="7"/>
      <c r="BV187" s="7"/>
      <c r="BW187" s="74"/>
      <c r="BX187" s="7"/>
      <c r="BY187" s="7"/>
      <c r="BZ187" s="14"/>
      <c r="CA187" s="7"/>
      <c r="CB187" s="7"/>
      <c r="CC187" s="7"/>
      <c r="CD187" s="7"/>
      <c r="CE187" s="7"/>
      <c r="CF187" s="7"/>
      <c r="CG187" s="7"/>
      <c r="CH187" s="7"/>
      <c r="CI187" s="74"/>
      <c r="CJ187" s="70"/>
      <c r="CK187" s="101"/>
      <c r="CL187" s="7"/>
      <c r="CM187" s="74"/>
      <c r="CN187" s="74"/>
      <c r="CO187" s="70"/>
      <c r="CP187" s="74"/>
      <c r="CQ187" s="74"/>
      <c r="CR187" s="74"/>
      <c r="CS187" s="74"/>
      <c r="CT187" s="74"/>
      <c r="CU187" s="74"/>
      <c r="CV187" s="74"/>
      <c r="CW187" s="7"/>
      <c r="CX187" s="7"/>
      <c r="CY187" s="7"/>
      <c r="CZ187" s="74"/>
      <c r="DA187" s="7"/>
      <c r="DB187" s="7"/>
      <c r="DC187" s="7"/>
      <c r="DD187" s="7"/>
      <c r="DE187" s="74"/>
      <c r="DF187" s="74"/>
      <c r="DG187" s="74"/>
      <c r="DH187" s="74"/>
      <c r="DI187" s="74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8">
        <f t="shared" si="44"/>
        <v>68.259033084574853</v>
      </c>
      <c r="EA187" s="3" t="str">
        <f t="shared" si="45"/>
        <v>Halligan, Sean</v>
      </c>
      <c r="EB187" s="2">
        <f t="shared" si="46"/>
        <v>1</v>
      </c>
      <c r="EC187" s="112">
        <f t="shared" si="47"/>
        <v>66.308290816615511</v>
      </c>
      <c r="ED187" s="29">
        <f t="shared" si="48"/>
        <v>68.913972843427004</v>
      </c>
      <c r="EE187" s="2">
        <f t="shared" si="49"/>
        <v>0</v>
      </c>
      <c r="EF187" s="46">
        <f t="shared" si="50"/>
        <v>5</v>
      </c>
      <c r="EG187" s="46">
        <f t="shared" si="51"/>
        <v>6</v>
      </c>
      <c r="EH187" s="2" t="str">
        <f t="shared" si="52"/>
        <v>NY</v>
      </c>
      <c r="EI187" s="29">
        <f>IF(COUNT(I187:Y187)&lt;5,DZ187,SUMPRODUCT(LARGE(I187:Y187,{1,2,3,4,5}))/5)</f>
        <v>68.259033084574853</v>
      </c>
      <c r="EJ187" s="29">
        <f>IF(COUNT(I187:AX187)&lt;5,DZ187,SUMPRODUCT(LARGE(I187:AX187,{1,2,3,4,5}))/5)</f>
        <v>68.259033084574853</v>
      </c>
      <c r="EK187" s="29">
        <f>IF(COUNT(I187:DY187)&lt;5,AVERAGE(I187:DY187),SUMPRODUCT(LARGE(I187:DY187,{1,2,3,4,5}))/5)</f>
        <v>70.044161998059209</v>
      </c>
      <c r="EL187" s="29">
        <f t="shared" si="53"/>
        <v>68.913972843427004</v>
      </c>
      <c r="EM187" s="116" t="str">
        <f t="shared" si="54"/>
        <v>Halligan, Sean</v>
      </c>
      <c r="EQ187"/>
    </row>
    <row r="188" spans="1:147" x14ac:dyDescent="0.25">
      <c r="A188" s="59">
        <f t="shared" si="40"/>
        <v>185</v>
      </c>
      <c r="B188" s="32" t="s">
        <v>56</v>
      </c>
      <c r="C188" s="5" t="s">
        <v>6</v>
      </c>
      <c r="D188" s="6" t="s">
        <v>57</v>
      </c>
      <c r="E188" s="6">
        <v>34.115818965564202</v>
      </c>
      <c r="F188" s="6">
        <v>34.5609862378993</v>
      </c>
      <c r="G188" s="64">
        <f t="shared" si="43"/>
        <v>3</v>
      </c>
      <c r="H188" s="37">
        <v>34.115818965564202</v>
      </c>
      <c r="I188" s="36"/>
      <c r="J188" s="7"/>
      <c r="K188" s="231"/>
      <c r="L188" s="7"/>
      <c r="M188" s="231"/>
      <c r="N188" s="231"/>
      <c r="O188" s="7"/>
      <c r="P188" s="231"/>
      <c r="Q188" s="231"/>
      <c r="R188" s="231"/>
      <c r="S188" s="231"/>
      <c r="T188" s="7"/>
      <c r="U188" s="7"/>
      <c r="V188" s="231"/>
      <c r="W188" s="7"/>
      <c r="X188" s="231"/>
      <c r="Y188" s="227"/>
      <c r="Z188" s="228"/>
      <c r="AA188" s="231"/>
      <c r="AB188" s="231"/>
      <c r="AC188" s="231"/>
      <c r="AD188" s="231"/>
      <c r="AE188" s="7"/>
      <c r="AF188" s="231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4"/>
      <c r="AR188" s="70"/>
      <c r="AS188" s="7"/>
      <c r="AT188" s="7"/>
      <c r="AU188" s="7"/>
      <c r="AV188" s="7">
        <f>(INDEX('Race 40'!$E$8:$E$200,(MATCH($B188,'Race 40'!$B$8:$B$200,0)),1))*100</f>
        <v>33.095748644223164</v>
      </c>
      <c r="AW188" s="7"/>
      <c r="AX188" s="8"/>
      <c r="AY188" s="107">
        <f>(INDEX('Race 43'!$E$8:$E$200,(MATCH($B188,'Race 43'!$B$8:$B$200,0)),1))*100</f>
        <v>36.487603454574277</v>
      </c>
      <c r="AZ188" s="7"/>
      <c r="BA188" s="231"/>
      <c r="BB188" s="231"/>
      <c r="BC188" s="7"/>
      <c r="BD188" s="7"/>
      <c r="BE188" s="7"/>
      <c r="BF188" s="231"/>
      <c r="BG188" s="231"/>
      <c r="BH188" s="231"/>
      <c r="BI188" s="231"/>
      <c r="BJ188" s="231"/>
      <c r="BK188" s="7"/>
      <c r="BL188" s="231"/>
      <c r="BM188" s="7"/>
      <c r="BN188" s="14"/>
      <c r="BO188" s="14"/>
      <c r="BP188" s="7"/>
      <c r="BQ188" s="7"/>
      <c r="BR188" s="7">
        <f>(INDEX('Race 62'!$E$8:$E$200,(MATCH($B188,'Race 62'!$B$8:$B$200,0)),1))*100</f>
        <v>37.262250024836248</v>
      </c>
      <c r="BS188" s="7"/>
      <c r="BT188" s="7"/>
      <c r="BU188" s="74"/>
      <c r="BV188" s="74"/>
      <c r="BW188" s="7"/>
      <c r="BX188" s="7"/>
      <c r="BY188" s="231"/>
      <c r="BZ188" s="14"/>
      <c r="CA188" s="7"/>
      <c r="CB188" s="231"/>
      <c r="CC188" s="231"/>
      <c r="CD188" s="7"/>
      <c r="CE188" s="7"/>
      <c r="CF188" s="231"/>
      <c r="CG188" s="231"/>
      <c r="CH188" s="7"/>
      <c r="CI188" s="231"/>
      <c r="CJ188" s="101"/>
      <c r="CK188" s="101"/>
      <c r="CL188" s="101"/>
      <c r="CM188" s="74"/>
      <c r="CN188" s="74"/>
      <c r="CO188" s="235"/>
      <c r="CP188" s="101"/>
      <c r="CQ188" s="7"/>
      <c r="CR188" s="74"/>
      <c r="CS188" s="74"/>
      <c r="CT188" s="74"/>
      <c r="CU188" s="74"/>
      <c r="CV188" s="74"/>
      <c r="CW188" s="231"/>
      <c r="CX188" s="7"/>
      <c r="CY188" s="7"/>
      <c r="CZ188" s="7"/>
      <c r="DA188" s="7"/>
      <c r="DB188" s="7"/>
      <c r="DC188" s="7"/>
      <c r="DD188" s="7"/>
      <c r="DE188" s="74"/>
      <c r="DF188" s="74"/>
      <c r="DG188" s="74"/>
      <c r="DH188" s="74"/>
      <c r="DI188" s="74"/>
      <c r="DJ188" s="240"/>
      <c r="DK188" s="7"/>
      <c r="DL188" s="7"/>
      <c r="DM188" s="231"/>
      <c r="DN188" s="231"/>
      <c r="DO188" s="231"/>
      <c r="DP188" s="231"/>
      <c r="DQ188" s="231"/>
      <c r="DR188" s="7"/>
      <c r="DS188" s="7"/>
      <c r="DT188" s="231"/>
      <c r="DU188" s="231"/>
      <c r="DV188" s="231"/>
      <c r="DW188" s="231"/>
      <c r="DX188" s="231"/>
      <c r="DY188" s="231"/>
      <c r="DZ188" s="8">
        <f t="shared" si="44"/>
        <v>35.615200707877896</v>
      </c>
      <c r="EA188" s="3" t="str">
        <f t="shared" si="45"/>
        <v>Hamilton, Eric</v>
      </c>
      <c r="EB188" s="2">
        <f t="shared" si="46"/>
        <v>1</v>
      </c>
      <c r="EC188" s="112">
        <f t="shared" si="47"/>
        <v>34.115818965564202</v>
      </c>
      <c r="ED188" s="29">
        <f t="shared" si="48"/>
        <v>35.040535918809425</v>
      </c>
      <c r="EE188" s="2">
        <f t="shared" si="49"/>
        <v>0</v>
      </c>
      <c r="EF188" s="46">
        <f t="shared" si="50"/>
        <v>2</v>
      </c>
      <c r="EG188" s="46">
        <f t="shared" si="51"/>
        <v>3</v>
      </c>
      <c r="EH188" s="2" t="str">
        <f t="shared" si="52"/>
        <v>NY</v>
      </c>
      <c r="EI188" s="29">
        <f>IF(COUNT(I188:Y188)&lt;5,DZ188,SUMPRODUCT(LARGE(I188:Y188,{1,2,3,4,5}))/5)</f>
        <v>35.615200707877896</v>
      </c>
      <c r="EJ188" s="29">
        <f>IF(COUNT(I188:AX188)&lt;5,DZ188,SUMPRODUCT(LARGE(I188:AX188,{1,2,3,4,5}))/5)</f>
        <v>35.615200707877896</v>
      </c>
      <c r="EK188" s="29">
        <f>IF(COUNT(I188:DY188)&lt;5,AVERAGE(I188:DY188),SUMPRODUCT(LARGE(I188:DY188,{1,2,3,4,5}))/5)</f>
        <v>35.615200707877896</v>
      </c>
      <c r="EL188" s="29">
        <f t="shared" si="53"/>
        <v>35.040535918809425</v>
      </c>
      <c r="EM188" s="116" t="str">
        <f t="shared" si="54"/>
        <v>Hamilton, Eric</v>
      </c>
      <c r="EQ188"/>
    </row>
    <row r="189" spans="1:147" x14ac:dyDescent="0.25">
      <c r="A189" s="59">
        <f t="shared" si="40"/>
        <v>186</v>
      </c>
      <c r="B189" s="32" t="s">
        <v>114</v>
      </c>
      <c r="C189" s="5" t="s">
        <v>6</v>
      </c>
      <c r="D189" s="6" t="s">
        <v>62</v>
      </c>
      <c r="E189" s="6">
        <v>63.748424264420898</v>
      </c>
      <c r="F189" s="6">
        <v>61.490578945338612</v>
      </c>
      <c r="G189" s="5">
        <f t="shared" si="43"/>
        <v>4</v>
      </c>
      <c r="H189" s="37">
        <v>63.748424264420898</v>
      </c>
      <c r="I189" s="107"/>
      <c r="J189" s="7"/>
      <c r="K189" s="74"/>
      <c r="L189" s="7"/>
      <c r="M189" s="74"/>
      <c r="N189" s="74"/>
      <c r="O189" s="7"/>
      <c r="P189" s="74"/>
      <c r="Q189" s="74"/>
      <c r="R189" s="74"/>
      <c r="S189" s="74"/>
      <c r="T189" s="7"/>
      <c r="U189" s="7"/>
      <c r="V189" s="74"/>
      <c r="W189" s="7"/>
      <c r="X189" s="74"/>
      <c r="Y189" s="227"/>
      <c r="Z189" s="228"/>
      <c r="AA189" s="74"/>
      <c r="AB189" s="7"/>
      <c r="AC189" s="7"/>
      <c r="AD189" s="74"/>
      <c r="AE189" s="7"/>
      <c r="AF189" s="74"/>
      <c r="AG189" s="74">
        <f>(INDEX('Race 25'!$E$8:$E$200,(MATCH($B189,'Race 25'!$B$8:$B$200,0)),1))*100</f>
        <v>63.2200907043635</v>
      </c>
      <c r="AH189" s="7"/>
      <c r="AI189" s="7"/>
      <c r="AJ189" s="7"/>
      <c r="AK189" s="7"/>
      <c r="AL189" s="74">
        <f>(INDEX('Race 30'!$E$8:$E$200,(MATCH($B189,'Race 30'!$B$8:$B$200,0)),1))*100</f>
        <v>59.761067186313731</v>
      </c>
      <c r="AM189" s="7"/>
      <c r="AN189" s="7"/>
      <c r="AO189" s="7"/>
      <c r="AP189" s="7"/>
      <c r="AQ189" s="74"/>
      <c r="AR189" s="74"/>
      <c r="AS189" s="7"/>
      <c r="AT189" s="74"/>
      <c r="AU189" s="7"/>
      <c r="AV189" s="74"/>
      <c r="AW189" s="7"/>
      <c r="AX189" s="184"/>
      <c r="AY189" s="207"/>
      <c r="AZ189" s="74"/>
      <c r="BA189" s="74"/>
      <c r="BB189" s="74"/>
      <c r="BC189" s="74"/>
      <c r="BD189" s="7"/>
      <c r="BE189" s="7"/>
      <c r="BF189" s="74"/>
      <c r="BG189" s="101"/>
      <c r="BH189" s="74"/>
      <c r="BI189" s="74"/>
      <c r="BJ189" s="101"/>
      <c r="BK189" s="7"/>
      <c r="BL189" s="101"/>
      <c r="BM189" s="7"/>
      <c r="BN189" s="103"/>
      <c r="BO189" s="103"/>
      <c r="BP189" s="7"/>
      <c r="BQ189" s="7"/>
      <c r="BR189" s="74"/>
      <c r="BS189" s="7">
        <f>(INDEX('Race 63'!$E$8:$E$200,(MATCH($B189,'Race 63'!$B$8:$B$200,0)),1))*100</f>
        <v>79.419573168213091</v>
      </c>
      <c r="BT189" s="7">
        <f>(INDEX('Race 64'!$E$8:$E$200,(MATCH($B189,'Race 64'!$B$8:$B$200,0)),1))*100</f>
        <v>80.883208847438908</v>
      </c>
      <c r="BU189" s="74"/>
      <c r="BV189" s="74"/>
      <c r="BW189" s="74"/>
      <c r="BX189" s="74"/>
      <c r="BY189" s="74"/>
      <c r="BZ189" s="103"/>
      <c r="CA189" s="7"/>
      <c r="CB189" s="74"/>
      <c r="CC189" s="74"/>
      <c r="CD189" s="74"/>
      <c r="CE189" s="7"/>
      <c r="CF189" s="74"/>
      <c r="CG189" s="74"/>
      <c r="CH189" s="7"/>
      <c r="CI189" s="74"/>
      <c r="CJ189" s="74"/>
      <c r="CK189" s="101"/>
      <c r="CL189" s="74"/>
      <c r="CM189" s="74"/>
      <c r="CN189" s="74"/>
      <c r="CO189" s="101"/>
      <c r="CP189" s="74"/>
      <c r="CQ189" s="74"/>
      <c r="CR189" s="74"/>
      <c r="CS189" s="74"/>
      <c r="CT189" s="74"/>
      <c r="CU189" s="74"/>
      <c r="CV189" s="74"/>
      <c r="CW189" s="74"/>
      <c r="CX189" s="7"/>
      <c r="CY189" s="7"/>
      <c r="CZ189" s="74"/>
      <c r="DA189" s="74"/>
      <c r="DB189" s="74"/>
      <c r="DC189" s="74"/>
      <c r="DD189" s="74"/>
      <c r="DE189" s="74"/>
      <c r="DF189" s="74"/>
      <c r="DG189" s="74"/>
      <c r="DH189" s="74"/>
      <c r="DI189" s="74"/>
      <c r="DJ189" s="74"/>
      <c r="DK189" s="74"/>
      <c r="DL189" s="74"/>
      <c r="DM189" s="74"/>
      <c r="DN189" s="74"/>
      <c r="DO189" s="74"/>
      <c r="DP189" s="74"/>
      <c r="DQ189" s="74"/>
      <c r="DR189" s="7"/>
      <c r="DS189" s="7"/>
      <c r="DT189" s="74"/>
      <c r="DU189" s="74"/>
      <c r="DV189" s="74"/>
      <c r="DW189" s="74"/>
      <c r="DX189" s="74"/>
      <c r="DY189" s="74"/>
      <c r="DZ189" s="8">
        <f t="shared" si="44"/>
        <v>70.820984976582309</v>
      </c>
      <c r="EA189" s="3" t="str">
        <f t="shared" si="45"/>
        <v>Hammer, John</v>
      </c>
      <c r="EB189" s="2">
        <f t="shared" si="46"/>
        <v>1</v>
      </c>
      <c r="EC189" s="112">
        <f t="shared" si="47"/>
        <v>63.748424264420898</v>
      </c>
      <c r="ED189" s="29">
        <f t="shared" si="48"/>
        <v>69.678261488176219</v>
      </c>
      <c r="EE189" s="2">
        <f t="shared" si="49"/>
        <v>1</v>
      </c>
      <c r="EF189" s="46">
        <f t="shared" si="50"/>
        <v>2</v>
      </c>
      <c r="EG189" s="46">
        <f t="shared" si="51"/>
        <v>4</v>
      </c>
      <c r="EH189" s="29" t="str">
        <f t="shared" si="52"/>
        <v>CO</v>
      </c>
      <c r="EI189" s="29">
        <f>IF(COUNT(I189:Y189)&lt;5,DZ189,SUMPRODUCT(LARGE(I189:Y189,{1,2,3,4,5}))/5)</f>
        <v>70.820984976582309</v>
      </c>
      <c r="EJ189" s="29">
        <f>IF(COUNT(I189:AX189)&lt;5,DZ189,SUMPRODUCT(LARGE(I189:AX189,{1,2,3,4,5}))/5)</f>
        <v>70.820984976582309</v>
      </c>
      <c r="EK189" s="29">
        <f>IF(COUNT(I189:DY189)&lt;5,AVERAGE(I189:DY189),SUMPRODUCT(LARGE(I189:DY189,{1,2,3,4,5}))/5)</f>
        <v>70.820984976582309</v>
      </c>
      <c r="EL189" s="29">
        <f t="shared" si="53"/>
        <v>69.678261488176219</v>
      </c>
      <c r="EM189" s="116" t="str">
        <f t="shared" si="54"/>
        <v>Hammer, John</v>
      </c>
      <c r="EQ189"/>
    </row>
    <row r="190" spans="1:147" x14ac:dyDescent="0.25">
      <c r="A190" s="59">
        <f t="shared" si="40"/>
        <v>187</v>
      </c>
      <c r="B190" s="32" t="s">
        <v>97</v>
      </c>
      <c r="C190" s="5" t="s">
        <v>6</v>
      </c>
      <c r="D190" s="6" t="s">
        <v>96</v>
      </c>
      <c r="E190" s="6">
        <v>54.035970497750959</v>
      </c>
      <c r="F190" s="6">
        <v>54.853749500948666</v>
      </c>
      <c r="G190" s="5">
        <f t="shared" si="43"/>
        <v>2</v>
      </c>
      <c r="H190" s="37">
        <v>54.035970497750959</v>
      </c>
      <c r="I190" s="107"/>
      <c r="J190" s="7"/>
      <c r="K190" s="74"/>
      <c r="L190" s="7"/>
      <c r="M190" s="74"/>
      <c r="N190" s="74"/>
      <c r="O190" s="7"/>
      <c r="P190" s="74"/>
      <c r="Q190" s="7"/>
      <c r="R190" s="74"/>
      <c r="S190" s="74"/>
      <c r="T190" s="7"/>
      <c r="U190" s="7"/>
      <c r="V190" s="74"/>
      <c r="W190" s="7"/>
      <c r="X190" s="74"/>
      <c r="Y190" s="227"/>
      <c r="Z190" s="228"/>
      <c r="AA190" s="74"/>
      <c r="AB190" s="74"/>
      <c r="AC190" s="74"/>
      <c r="AD190" s="74"/>
      <c r="AE190" s="7"/>
      <c r="AF190" s="74"/>
      <c r="AG190" s="74"/>
      <c r="AH190" s="7"/>
      <c r="AI190" s="7"/>
      <c r="AJ190" s="7"/>
      <c r="AK190" s="7"/>
      <c r="AL190" s="7"/>
      <c r="AM190" s="7"/>
      <c r="AN190" s="7"/>
      <c r="AO190" s="74"/>
      <c r="AP190" s="7"/>
      <c r="AQ190" s="74"/>
      <c r="AR190" s="101"/>
      <c r="AS190" s="7"/>
      <c r="AT190" s="74"/>
      <c r="AU190" s="7"/>
      <c r="AV190" s="74"/>
      <c r="AW190" s="7">
        <f>(INDEX('Race 41'!$E$8:$E$200,(MATCH($B190,'Race 41'!$B$8:$B$200,0)),1))*100</f>
        <v>52.703285183858128</v>
      </c>
      <c r="AX190" s="183">
        <f>(INDEX('Race 42'!$E$8:$E$200,(MATCH($B190,'Race 42'!$B$8:$B$200,0)),1))*100</f>
        <v>57.004213818039204</v>
      </c>
      <c r="AY190" s="36"/>
      <c r="AZ190" s="74"/>
      <c r="BA190" s="74"/>
      <c r="BB190" s="74"/>
      <c r="BC190" s="74"/>
      <c r="BD190" s="7"/>
      <c r="BE190" s="7"/>
      <c r="BF190" s="74"/>
      <c r="BG190" s="74"/>
      <c r="BH190" s="74"/>
      <c r="BI190" s="74"/>
      <c r="BJ190" s="74"/>
      <c r="BK190" s="7"/>
      <c r="BL190" s="74"/>
      <c r="BM190" s="7"/>
      <c r="BN190" s="103"/>
      <c r="BO190" s="103"/>
      <c r="BP190" s="7"/>
      <c r="BQ190" s="7"/>
      <c r="BR190" s="74"/>
      <c r="BS190" s="7"/>
      <c r="BT190" s="7"/>
      <c r="BU190" s="74"/>
      <c r="BV190" s="74"/>
      <c r="BW190" s="74"/>
      <c r="BX190" s="74"/>
      <c r="BY190" s="74"/>
      <c r="BZ190" s="103"/>
      <c r="CA190" s="7"/>
      <c r="CB190" s="74"/>
      <c r="CC190" s="74"/>
      <c r="CD190" s="74"/>
      <c r="CE190" s="7"/>
      <c r="CF190" s="74"/>
      <c r="CG190" s="7"/>
      <c r="CH190" s="7"/>
      <c r="CI190" s="74"/>
      <c r="CJ190" s="74"/>
      <c r="CK190" s="101"/>
      <c r="CL190" s="74"/>
      <c r="CM190" s="74"/>
      <c r="CN190" s="74"/>
      <c r="CO190" s="101"/>
      <c r="CP190" s="74"/>
      <c r="CQ190" s="74"/>
      <c r="CR190" s="74"/>
      <c r="CS190" s="74"/>
      <c r="CT190" s="74"/>
      <c r="CU190" s="74"/>
      <c r="CV190" s="74"/>
      <c r="CW190" s="74"/>
      <c r="CX190" s="7"/>
      <c r="CY190" s="7"/>
      <c r="CZ190" s="74"/>
      <c r="DA190" s="74"/>
      <c r="DB190" s="74"/>
      <c r="DC190" s="74"/>
      <c r="DD190" s="74"/>
      <c r="DE190" s="74"/>
      <c r="DF190" s="74"/>
      <c r="DG190" s="74"/>
      <c r="DH190" s="74"/>
      <c r="DI190" s="74"/>
      <c r="DJ190" s="74"/>
      <c r="DK190" s="74"/>
      <c r="DL190" s="74"/>
      <c r="DM190" s="74"/>
      <c r="DN190" s="74"/>
      <c r="DO190" s="74"/>
      <c r="DP190" s="74"/>
      <c r="DQ190" s="74"/>
      <c r="DR190" s="7"/>
      <c r="DS190" s="7"/>
      <c r="DT190" s="74"/>
      <c r="DU190" s="74"/>
      <c r="DV190" s="74"/>
      <c r="DW190" s="74"/>
      <c r="DX190" s="74"/>
      <c r="DY190" s="74"/>
      <c r="DZ190" s="8">
        <f t="shared" si="44"/>
        <v>54.853749500948666</v>
      </c>
      <c r="EA190" s="3" t="str">
        <f t="shared" si="45"/>
        <v>Hansen, Wyatt</v>
      </c>
      <c r="EB190" s="2">
        <f t="shared" si="46"/>
        <v>1</v>
      </c>
      <c r="EC190" s="112">
        <f t="shared" si="47"/>
        <v>54.035970497750959</v>
      </c>
      <c r="ED190" s="29">
        <f t="shared" si="48"/>
        <v>53.968663420846781</v>
      </c>
      <c r="EE190" s="2">
        <f t="shared" si="49"/>
        <v>0</v>
      </c>
      <c r="EF190" s="46">
        <f t="shared" si="50"/>
        <v>2</v>
      </c>
      <c r="EG190" s="46">
        <f t="shared" si="51"/>
        <v>2</v>
      </c>
      <c r="EH190" s="29" t="str">
        <f t="shared" si="52"/>
        <v>SD</v>
      </c>
      <c r="EI190" s="29">
        <f>IF(COUNT(I190:Y190)&lt;5,DZ190,SUMPRODUCT(LARGE(I190:Y190,{1,2,3,4,5}))/5)</f>
        <v>54.853749500948666</v>
      </c>
      <c r="EJ190" s="29">
        <f>IF(COUNT(I190:AX190)&lt;5,DZ190,SUMPRODUCT(LARGE(I190:AX190,{1,2,3,4,5}))/5)</f>
        <v>54.853749500948666</v>
      </c>
      <c r="EK190" s="112">
        <f>IF(COUNT(I190:DY190)&lt;5,AVERAGE(I190:DY190),SUMPRODUCT(LARGE(I190:DY190,{1,2,3,4,5}))/5)</f>
        <v>54.853749500948666</v>
      </c>
      <c r="EL190" s="29">
        <f t="shared" si="53"/>
        <v>53.968663420846781</v>
      </c>
      <c r="EM190" s="116" t="str">
        <f t="shared" si="54"/>
        <v>Hansen, Wyatt</v>
      </c>
      <c r="EQ190"/>
    </row>
    <row r="191" spans="1:147" x14ac:dyDescent="0.25">
      <c r="A191" s="59">
        <f t="shared" si="40"/>
        <v>188</v>
      </c>
      <c r="B191" s="32" t="s">
        <v>813</v>
      </c>
      <c r="C191" s="5" t="s">
        <v>6</v>
      </c>
      <c r="D191" s="6" t="s">
        <v>88</v>
      </c>
      <c r="E191" s="6">
        <v>40.642214987055759</v>
      </c>
      <c r="F191" s="6">
        <v>40.642214987055759</v>
      </c>
      <c r="G191" s="5">
        <f t="shared" si="43"/>
        <v>0</v>
      </c>
      <c r="H191" s="37">
        <v>40.642214987055759</v>
      </c>
      <c r="I191" s="36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227"/>
      <c r="Z191" s="228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4"/>
      <c r="AP191" s="7"/>
      <c r="AQ191" s="74"/>
      <c r="AR191" s="70"/>
      <c r="AS191" s="7"/>
      <c r="AT191" s="7"/>
      <c r="AU191" s="7"/>
      <c r="AV191" s="7"/>
      <c r="AW191" s="7"/>
      <c r="AX191" s="15"/>
      <c r="AY191" s="234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103"/>
      <c r="BO191" s="14"/>
      <c r="BP191" s="7"/>
      <c r="BQ191" s="7"/>
      <c r="BR191" s="7"/>
      <c r="BS191" s="7"/>
      <c r="BT191" s="7"/>
      <c r="BU191" s="7"/>
      <c r="BV191" s="7"/>
      <c r="BW191" s="7"/>
      <c r="BX191" s="7"/>
      <c r="BY191" s="74"/>
      <c r="BZ191" s="103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101"/>
      <c r="CL191" s="74"/>
      <c r="CM191" s="74"/>
      <c r="CN191" s="74"/>
      <c r="CO191" s="70"/>
      <c r="CP191" s="74"/>
      <c r="CQ191" s="7"/>
      <c r="CR191" s="74"/>
      <c r="CS191" s="74"/>
      <c r="CT191" s="74"/>
      <c r="CU191" s="74"/>
      <c r="CV191" s="7"/>
      <c r="CW191" s="7"/>
      <c r="CX191" s="7"/>
      <c r="CY191" s="7"/>
      <c r="CZ191" s="7"/>
      <c r="DA191" s="7"/>
      <c r="DB191" s="7"/>
      <c r="DC191" s="7"/>
      <c r="DD191" s="7"/>
      <c r="DE191" s="74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8">
        <f t="shared" si="44"/>
        <v>40.642214987055759</v>
      </c>
      <c r="EA191" s="3" t="str">
        <f t="shared" si="45"/>
        <v>Hanson, Karl</v>
      </c>
      <c r="EB191" s="2">
        <f t="shared" si="46"/>
        <v>0</v>
      </c>
      <c r="EC191" s="112">
        <f t="shared" si="47"/>
        <v>40.642214987055759</v>
      </c>
      <c r="ED191" s="29">
        <f t="shared" si="48"/>
        <v>0</v>
      </c>
      <c r="EE191" s="2">
        <f t="shared" si="49"/>
        <v>0</v>
      </c>
      <c r="EF191" s="46">
        <f t="shared" si="50"/>
        <v>0</v>
      </c>
      <c r="EG191" s="46">
        <f t="shared" si="51"/>
        <v>0</v>
      </c>
      <c r="EH191" s="29" t="str">
        <f t="shared" si="52"/>
        <v>WI</v>
      </c>
      <c r="EI191" s="29">
        <f>IF(COUNT(I191:Y191)&lt;5,DZ191,SUMPRODUCT(LARGE(I191:Y191,{1,2,3,4,5}))/5)</f>
        <v>40.642214987055759</v>
      </c>
      <c r="EJ191" s="29">
        <f>IF(COUNT(I191:AX191)&lt;5,DZ191,SUMPRODUCT(LARGE(I191:AX191,{1,2,3,4,5}))/5)</f>
        <v>40.642214987055759</v>
      </c>
      <c r="EK191" s="112">
        <f>IF(EG191&lt;0,AVERAGE(I191:DY191),0)</f>
        <v>0</v>
      </c>
      <c r="EL191" s="29">
        <f t="shared" si="53"/>
        <v>0</v>
      </c>
      <c r="EM191" s="116" t="str">
        <f t="shared" si="54"/>
        <v>Hanson, Karl</v>
      </c>
      <c r="EQ191"/>
    </row>
    <row r="192" spans="1:147" x14ac:dyDescent="0.25">
      <c r="A192" s="59">
        <f t="shared" si="40"/>
        <v>189</v>
      </c>
      <c r="B192" s="32" t="s">
        <v>139</v>
      </c>
      <c r="C192" s="5" t="s">
        <v>6</v>
      </c>
      <c r="D192" s="6" t="s">
        <v>57</v>
      </c>
      <c r="E192" s="6">
        <v>53.937674019463586</v>
      </c>
      <c r="F192" s="6">
        <v>53.937674019463586</v>
      </c>
      <c r="G192" s="5">
        <f t="shared" si="43"/>
        <v>0</v>
      </c>
      <c r="H192" s="37">
        <v>53.937674019463586</v>
      </c>
      <c r="I192" s="107"/>
      <c r="J192" s="7"/>
      <c r="K192" s="74"/>
      <c r="L192" s="7"/>
      <c r="M192" s="74"/>
      <c r="N192" s="74"/>
      <c r="O192" s="7"/>
      <c r="P192" s="74"/>
      <c r="Q192" s="74"/>
      <c r="R192" s="74"/>
      <c r="S192" s="74"/>
      <c r="T192" s="7"/>
      <c r="U192" s="7"/>
      <c r="V192" s="74"/>
      <c r="W192" s="74"/>
      <c r="X192" s="74"/>
      <c r="Y192" s="227"/>
      <c r="Z192" s="228"/>
      <c r="AA192" s="74"/>
      <c r="AB192" s="74"/>
      <c r="AC192" s="74"/>
      <c r="AD192" s="74"/>
      <c r="AE192" s="7"/>
      <c r="AF192" s="74"/>
      <c r="AG192" s="74"/>
      <c r="AH192" s="7"/>
      <c r="AI192" s="7"/>
      <c r="AJ192" s="7"/>
      <c r="AK192" s="7"/>
      <c r="AL192" s="7"/>
      <c r="AM192" s="7"/>
      <c r="AN192" s="7"/>
      <c r="AO192" s="7"/>
      <c r="AP192" s="7"/>
      <c r="AQ192" s="74"/>
      <c r="AR192" s="101"/>
      <c r="AS192" s="7"/>
      <c r="AT192" s="74"/>
      <c r="AU192" s="7"/>
      <c r="AV192" s="74"/>
      <c r="AW192" s="7"/>
      <c r="AX192" s="233"/>
      <c r="AY192" s="107"/>
      <c r="AZ192" s="74"/>
      <c r="BA192" s="74"/>
      <c r="BB192" s="74"/>
      <c r="BC192" s="74"/>
      <c r="BD192" s="7"/>
      <c r="BE192" s="7"/>
      <c r="BF192" s="74"/>
      <c r="BG192" s="74"/>
      <c r="BH192" s="101"/>
      <c r="BI192" s="74"/>
      <c r="BJ192" s="74"/>
      <c r="BK192" s="7"/>
      <c r="BL192" s="74"/>
      <c r="BM192" s="7"/>
      <c r="BN192" s="103"/>
      <c r="BO192" s="103"/>
      <c r="BP192" s="7"/>
      <c r="BQ192" s="7"/>
      <c r="BR192" s="74"/>
      <c r="BS192" s="7"/>
      <c r="BT192" s="7"/>
      <c r="BU192" s="101"/>
      <c r="BV192" s="101"/>
      <c r="BW192" s="74"/>
      <c r="BX192" s="74"/>
      <c r="BY192" s="74"/>
      <c r="BZ192" s="103"/>
      <c r="CA192" s="7"/>
      <c r="CB192" s="7"/>
      <c r="CC192" s="74"/>
      <c r="CD192" s="74"/>
      <c r="CE192" s="7"/>
      <c r="CF192" s="74"/>
      <c r="CG192" s="74"/>
      <c r="CH192" s="7"/>
      <c r="CI192" s="74"/>
      <c r="CJ192" s="74"/>
      <c r="CK192" s="101"/>
      <c r="CL192" s="7"/>
      <c r="CM192" s="74"/>
      <c r="CN192" s="74"/>
      <c r="CO192" s="101"/>
      <c r="CP192" s="74"/>
      <c r="CQ192" s="74"/>
      <c r="CR192" s="74"/>
      <c r="CS192" s="74"/>
      <c r="CT192" s="74"/>
      <c r="CU192" s="74"/>
      <c r="CV192" s="74"/>
      <c r="CW192" s="74"/>
      <c r="CX192" s="7"/>
      <c r="CY192" s="7"/>
      <c r="CZ192" s="74"/>
      <c r="DA192" s="74"/>
      <c r="DB192" s="74"/>
      <c r="DC192" s="74"/>
      <c r="DD192" s="74"/>
      <c r="DE192" s="74"/>
      <c r="DF192" s="74"/>
      <c r="DG192" s="74"/>
      <c r="DH192" s="74"/>
      <c r="DI192" s="74"/>
      <c r="DJ192" s="74"/>
      <c r="DK192" s="74"/>
      <c r="DL192" s="74"/>
      <c r="DM192" s="74"/>
      <c r="DN192" s="74"/>
      <c r="DO192" s="74"/>
      <c r="DP192" s="74"/>
      <c r="DQ192" s="74"/>
      <c r="DR192" s="7"/>
      <c r="DS192" s="7"/>
      <c r="DT192" s="74"/>
      <c r="DU192" s="74"/>
      <c r="DV192" s="74"/>
      <c r="DW192" s="74"/>
      <c r="DX192" s="74"/>
      <c r="DY192" s="74"/>
      <c r="DZ192" s="8">
        <f t="shared" si="44"/>
        <v>53.937674019463586</v>
      </c>
      <c r="EA192" s="3" t="str">
        <f t="shared" si="45"/>
        <v>Harde, Rene</v>
      </c>
      <c r="EB192" s="2">
        <f t="shared" si="46"/>
        <v>0</v>
      </c>
      <c r="EC192" s="112">
        <f t="shared" si="47"/>
        <v>53.937674019463586</v>
      </c>
      <c r="ED192" s="29">
        <f t="shared" si="48"/>
        <v>0</v>
      </c>
      <c r="EE192" s="2">
        <f t="shared" si="49"/>
        <v>0</v>
      </c>
      <c r="EF192" s="46">
        <f t="shared" si="50"/>
        <v>0</v>
      </c>
      <c r="EG192" s="46">
        <f t="shared" si="51"/>
        <v>0</v>
      </c>
      <c r="EH192" s="29" t="str">
        <f t="shared" si="52"/>
        <v>NY</v>
      </c>
      <c r="EI192" s="29">
        <f>IF(COUNT(I192:Y192)&lt;5,DZ192,SUMPRODUCT(LARGE(I192:Y192,{1,2,3,4,5}))/5)</f>
        <v>53.937674019463586</v>
      </c>
      <c r="EJ192" s="29">
        <f>IF(COUNT(I192:AX192)&lt;5,DZ192,SUMPRODUCT(LARGE(I192:AX192,{1,2,3,4,5}))/5)</f>
        <v>53.937674019463586</v>
      </c>
      <c r="EK192" s="112">
        <f>IF(EG192&lt;0,AVERAGE(I192:DY192),0)</f>
        <v>0</v>
      </c>
      <c r="EL192" s="29">
        <f t="shared" si="53"/>
        <v>0</v>
      </c>
      <c r="EM192" s="116" t="str">
        <f t="shared" si="54"/>
        <v>Harde, Rene</v>
      </c>
      <c r="EQ192"/>
    </row>
    <row r="193" spans="1:147" x14ac:dyDescent="0.25">
      <c r="A193" s="59">
        <f t="shared" si="40"/>
        <v>190</v>
      </c>
      <c r="B193" s="32" t="s">
        <v>751</v>
      </c>
      <c r="C193" s="5" t="s">
        <v>6</v>
      </c>
      <c r="D193" s="6" t="s">
        <v>88</v>
      </c>
      <c r="E193" s="6">
        <v>55.050726803545487</v>
      </c>
      <c r="F193" s="6">
        <v>54.420067040886281</v>
      </c>
      <c r="G193" s="5">
        <f t="shared" si="43"/>
        <v>1</v>
      </c>
      <c r="H193" s="37">
        <v>55.050726803545487</v>
      </c>
      <c r="I193" s="36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227"/>
      <c r="Z193" s="228"/>
      <c r="AA193" s="7"/>
      <c r="AB193" s="7"/>
      <c r="AC193" s="74">
        <f>(INDEX('Race 21'!$E$8:$E$200,(MATCH($B193,'Race 21'!$B$8:$B$200,0)),1))*100</f>
        <v>54.420067040886281</v>
      </c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4"/>
      <c r="AP193" s="7"/>
      <c r="AQ193" s="74"/>
      <c r="AR193" s="70"/>
      <c r="AS193" s="7"/>
      <c r="AT193" s="7"/>
      <c r="AU193" s="7"/>
      <c r="AV193" s="7"/>
      <c r="AW193" s="7"/>
      <c r="AX193" s="183"/>
      <c r="AY193" s="10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103"/>
      <c r="BO193" s="14"/>
      <c r="BP193" s="7"/>
      <c r="BQ193" s="7"/>
      <c r="BR193" s="7"/>
      <c r="BS193" s="7"/>
      <c r="BT193" s="7"/>
      <c r="BU193" s="7"/>
      <c r="BV193" s="7"/>
      <c r="BW193" s="7"/>
      <c r="BX193" s="7"/>
      <c r="BY193" s="74"/>
      <c r="BZ193" s="14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101"/>
      <c r="CL193" s="74"/>
      <c r="CM193" s="74"/>
      <c r="CN193" s="74"/>
      <c r="CO193" s="70"/>
      <c r="CP193" s="74"/>
      <c r="CQ193" s="7"/>
      <c r="CR193" s="74"/>
      <c r="CS193" s="74"/>
      <c r="CT193" s="74"/>
      <c r="CU193" s="74"/>
      <c r="CV193" s="7"/>
      <c r="CW193" s="7"/>
      <c r="CX193" s="7"/>
      <c r="CY193" s="7"/>
      <c r="CZ193" s="7"/>
      <c r="DA193" s="7"/>
      <c r="DB193" s="7"/>
      <c r="DC193" s="7"/>
      <c r="DD193" s="7"/>
      <c r="DE193" s="74"/>
      <c r="DF193" s="74"/>
      <c r="DG193" s="74"/>
      <c r="DH193" s="74"/>
      <c r="DI193" s="74"/>
      <c r="DJ193" s="7"/>
      <c r="DK193" s="7"/>
      <c r="DL193" s="7"/>
      <c r="DM193" s="7"/>
      <c r="DN193" s="7"/>
      <c r="DO193" s="7"/>
      <c r="DP193" s="7"/>
      <c r="DQ193" s="74"/>
      <c r="DR193" s="7"/>
      <c r="DS193" s="7"/>
      <c r="DT193" s="7"/>
      <c r="DU193" s="7"/>
      <c r="DV193" s="74"/>
      <c r="DW193" s="7"/>
      <c r="DX193" s="7"/>
      <c r="DY193" s="7"/>
      <c r="DZ193" s="8">
        <f t="shared" si="44"/>
        <v>54.420067040886281</v>
      </c>
      <c r="EA193" s="3" t="str">
        <f t="shared" si="45"/>
        <v>Harper, John</v>
      </c>
      <c r="EB193" s="2">
        <f t="shared" si="46"/>
        <v>1</v>
      </c>
      <c r="EC193" s="112">
        <f t="shared" si="47"/>
        <v>55.050726803545487</v>
      </c>
      <c r="ED193" s="29">
        <f t="shared" si="48"/>
        <v>53.541978591977845</v>
      </c>
      <c r="EE193" s="2">
        <f t="shared" si="49"/>
        <v>1</v>
      </c>
      <c r="EF193" s="46">
        <f t="shared" si="50"/>
        <v>1</v>
      </c>
      <c r="EG193" s="46">
        <f t="shared" si="51"/>
        <v>1</v>
      </c>
      <c r="EH193" s="2" t="str">
        <f t="shared" si="52"/>
        <v>WI</v>
      </c>
      <c r="EI193" s="29">
        <f>IF(COUNT(I193:Y193)&lt;5,DZ193,SUMPRODUCT(LARGE(I193:Y193,{1,2,3,4,5}))/5)</f>
        <v>54.420067040886281</v>
      </c>
      <c r="EJ193" s="29">
        <f>IF(COUNT(I193:AX193)&lt;5,DZ193,SUMPRODUCT(LARGE(I193:AX193,{1,2,3,4,5}))/5)</f>
        <v>54.420067040886281</v>
      </c>
      <c r="EK193" s="29">
        <f>IF(COUNT(I193:DY193)&lt;5,AVERAGE(I193:DY193),SUMPRODUCT(LARGE(I193:DY193,{1,2,3,4,5}))/5)</f>
        <v>54.420067040886281</v>
      </c>
      <c r="EL193" s="29">
        <f t="shared" si="53"/>
        <v>53.541978591977845</v>
      </c>
      <c r="EM193" s="116" t="str">
        <f t="shared" si="54"/>
        <v>Harper, John</v>
      </c>
      <c r="EQ193"/>
    </row>
    <row r="194" spans="1:147" x14ac:dyDescent="0.25">
      <c r="A194" s="59">
        <f t="shared" si="40"/>
        <v>191</v>
      </c>
      <c r="B194" s="32" t="s">
        <v>779</v>
      </c>
      <c r="C194" s="5" t="s">
        <v>6</v>
      </c>
      <c r="D194" s="6" t="s">
        <v>143</v>
      </c>
      <c r="E194" s="6">
        <v>41.542909472027304</v>
      </c>
      <c r="F194" s="6">
        <v>41.542909472027304</v>
      </c>
      <c r="G194" s="5">
        <f t="shared" si="43"/>
        <v>0</v>
      </c>
      <c r="H194" s="37">
        <v>41.542909472027304</v>
      </c>
      <c r="I194" s="36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227"/>
      <c r="Z194" s="228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4"/>
      <c r="AP194" s="7"/>
      <c r="AQ194" s="74"/>
      <c r="AR194" s="70"/>
      <c r="AS194" s="7"/>
      <c r="AT194" s="70"/>
      <c r="AU194" s="7"/>
      <c r="AV194" s="70"/>
      <c r="AW194" s="7"/>
      <c r="AX194" s="8"/>
      <c r="AY194" s="36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103"/>
      <c r="BO194" s="14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14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101"/>
      <c r="CL194" s="74"/>
      <c r="CM194" s="74"/>
      <c r="CN194" s="74"/>
      <c r="CO194" s="70"/>
      <c r="CP194" s="74"/>
      <c r="CQ194" s="7"/>
      <c r="CR194" s="74"/>
      <c r="CS194" s="74"/>
      <c r="CT194" s="74"/>
      <c r="CU194" s="74"/>
      <c r="CV194" s="7"/>
      <c r="CW194" s="7"/>
      <c r="CX194" s="7"/>
      <c r="CY194" s="7"/>
      <c r="CZ194" s="7"/>
      <c r="DA194" s="7"/>
      <c r="DB194" s="7"/>
      <c r="DC194" s="7"/>
      <c r="DD194" s="7"/>
      <c r="DE194" s="74"/>
      <c r="DF194" s="74"/>
      <c r="DG194" s="74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8">
        <f t="shared" si="44"/>
        <v>41.542909472027304</v>
      </c>
      <c r="EA194" s="3" t="str">
        <f t="shared" si="45"/>
        <v>Harrison, Troy</v>
      </c>
      <c r="EB194" s="2">
        <f t="shared" si="46"/>
        <v>0</v>
      </c>
      <c r="EC194" s="112">
        <f t="shared" si="47"/>
        <v>41.542909472027304</v>
      </c>
      <c r="ED194" s="29">
        <f t="shared" si="48"/>
        <v>0</v>
      </c>
      <c r="EE194" s="2">
        <f t="shared" si="49"/>
        <v>0</v>
      </c>
      <c r="EF194" s="46">
        <f t="shared" si="50"/>
        <v>0</v>
      </c>
      <c r="EG194" s="46">
        <f t="shared" si="51"/>
        <v>0</v>
      </c>
      <c r="EH194" s="2" t="str">
        <f t="shared" si="52"/>
        <v>PA</v>
      </c>
      <c r="EI194" s="29">
        <f>IF(COUNT(I194:Y194)&lt;5,DZ194,SUMPRODUCT(LARGE(I194:Y194,{1,2,3,4,5}))/5)</f>
        <v>41.542909472027304</v>
      </c>
      <c r="EJ194" s="29">
        <f>IF(COUNT(I194:AX194)&lt;5,DZ194,SUMPRODUCT(LARGE(I194:AX194,{1,2,3,4,5}))/5)</f>
        <v>41.542909472027304</v>
      </c>
      <c r="EK194" s="112">
        <f>IF(EG194&lt;0,AVERAGE(I194:DY194),0)</f>
        <v>0</v>
      </c>
      <c r="EL194" s="29">
        <f t="shared" si="53"/>
        <v>0</v>
      </c>
      <c r="EM194" s="116" t="str">
        <f t="shared" si="54"/>
        <v>Harrison, Troy</v>
      </c>
      <c r="EQ194"/>
    </row>
    <row r="195" spans="1:147" x14ac:dyDescent="0.25">
      <c r="A195" s="59">
        <f t="shared" si="40"/>
        <v>192</v>
      </c>
      <c r="B195" s="32" t="s">
        <v>865</v>
      </c>
      <c r="C195" s="5" t="s">
        <v>6</v>
      </c>
      <c r="D195" s="6" t="s">
        <v>96</v>
      </c>
      <c r="E195" s="6">
        <v>35.1988928055979</v>
      </c>
      <c r="F195" s="6">
        <v>35.1988928055979</v>
      </c>
      <c r="G195" s="5">
        <f t="shared" si="43"/>
        <v>0</v>
      </c>
      <c r="H195" s="37">
        <v>35.1988928055979</v>
      </c>
      <c r="I195" s="36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227"/>
      <c r="Z195" s="228"/>
      <c r="AA195" s="7"/>
      <c r="AB195" s="7"/>
      <c r="AC195" s="7"/>
      <c r="AD195" s="14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4"/>
      <c r="AP195" s="7"/>
      <c r="AQ195" s="74"/>
      <c r="AR195" s="70"/>
      <c r="AS195" s="7"/>
      <c r="AT195" s="70"/>
      <c r="AU195" s="7"/>
      <c r="AV195" s="70"/>
      <c r="AW195" s="7"/>
      <c r="AX195" s="183"/>
      <c r="AY195" s="10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103"/>
      <c r="BO195" s="14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14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101"/>
      <c r="CL195" s="74"/>
      <c r="CM195" s="74"/>
      <c r="CN195" s="74"/>
      <c r="CO195" s="70"/>
      <c r="CP195" s="74"/>
      <c r="CQ195" s="7"/>
      <c r="CR195" s="74"/>
      <c r="CS195" s="74"/>
      <c r="CT195" s="74"/>
      <c r="CU195" s="74"/>
      <c r="CV195" s="7"/>
      <c r="CW195" s="7"/>
      <c r="CX195" s="7"/>
      <c r="CY195" s="7"/>
      <c r="CZ195" s="7"/>
      <c r="DA195" s="7"/>
      <c r="DB195" s="7"/>
      <c r="DC195" s="7"/>
      <c r="DD195" s="7"/>
      <c r="DE195" s="74"/>
      <c r="DF195" s="74"/>
      <c r="DG195" s="74"/>
      <c r="DH195" s="7"/>
      <c r="DI195" s="74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8">
        <f t="shared" si="44"/>
        <v>35.1988928055979</v>
      </c>
      <c r="EA195" s="3" t="str">
        <f t="shared" si="45"/>
        <v>HENSTEIN, Bjorn</v>
      </c>
      <c r="EB195" s="2">
        <f t="shared" si="46"/>
        <v>0</v>
      </c>
      <c r="EC195" s="112">
        <f t="shared" si="47"/>
        <v>35.1988928055979</v>
      </c>
      <c r="ED195" s="29">
        <f t="shared" si="48"/>
        <v>0</v>
      </c>
      <c r="EE195" s="2">
        <f t="shared" si="49"/>
        <v>0</v>
      </c>
      <c r="EF195" s="46">
        <f t="shared" si="50"/>
        <v>0</v>
      </c>
      <c r="EG195" s="46">
        <f t="shared" si="51"/>
        <v>0</v>
      </c>
      <c r="EH195" s="29" t="str">
        <f t="shared" si="52"/>
        <v>SD</v>
      </c>
      <c r="EI195" s="29">
        <f>IF(COUNT(I195:Y195)&lt;5,DZ195,SUMPRODUCT(LARGE(I195:Y195,{1,2,3,4,5}))/5)</f>
        <v>35.1988928055979</v>
      </c>
      <c r="EJ195" s="29">
        <f>IF(COUNT(I195:AX195)&lt;5,DZ195,SUMPRODUCT(LARGE(I195:AX195,{1,2,3,4,5}))/5)</f>
        <v>35.1988928055979</v>
      </c>
      <c r="EK195" s="112">
        <f>IF(EG195&lt;0,AVERAGE(I195:DY195),0)</f>
        <v>0</v>
      </c>
      <c r="EL195" s="29">
        <f t="shared" si="53"/>
        <v>0</v>
      </c>
      <c r="EM195" s="116" t="str">
        <f t="shared" si="54"/>
        <v>HENSTEIN, Bjorn</v>
      </c>
      <c r="EQ195"/>
    </row>
    <row r="196" spans="1:147" x14ac:dyDescent="0.25">
      <c r="A196" s="59">
        <f t="shared" si="40"/>
        <v>193</v>
      </c>
      <c r="B196" s="32" t="s">
        <v>1133</v>
      </c>
      <c r="C196" s="5" t="s">
        <v>6</v>
      </c>
      <c r="D196" s="6" t="s">
        <v>88</v>
      </c>
      <c r="E196" s="6">
        <v>0</v>
      </c>
      <c r="F196" s="6">
        <v>53.152822741768212</v>
      </c>
      <c r="G196" s="5">
        <f t="shared" si="43"/>
        <v>3</v>
      </c>
      <c r="H196" s="37">
        <v>0</v>
      </c>
      <c r="I196" s="36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227"/>
      <c r="Z196" s="228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4"/>
      <c r="AP196" s="7"/>
      <c r="AQ196" s="74"/>
      <c r="AR196" s="7"/>
      <c r="AS196" s="7"/>
      <c r="AT196" s="70"/>
      <c r="AU196" s="7"/>
      <c r="AV196" s="70"/>
      <c r="AW196" s="7">
        <f>(INDEX('Race 41'!$E$8:$E$200,(MATCH($B196,'Race 41'!$B$8:$B$200,0)),1))*100</f>
        <v>52.079577666889385</v>
      </c>
      <c r="AX196" s="8">
        <f>(INDEX('Race 42'!$E$8:$E$200,(MATCH($B196,'Race 42'!$B$8:$B$200,0)),1))*100</f>
        <v>54.226067816647038</v>
      </c>
      <c r="AY196" s="36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103"/>
      <c r="BO196" s="14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4"/>
      <c r="CF196" s="74">
        <f>(INDEX('Race 76'!$E$8:$E$200,(MATCH($B196,'Race 76'!$B$8:$B$200,0)),1))*100</f>
        <v>52.332039707140666</v>
      </c>
      <c r="CG196" s="7"/>
      <c r="CH196" s="7"/>
      <c r="CI196" s="7"/>
      <c r="CJ196" s="7"/>
      <c r="CK196" s="101"/>
      <c r="CL196" s="74"/>
      <c r="CM196" s="74"/>
      <c r="CN196" s="74"/>
      <c r="CO196" s="70"/>
      <c r="CP196" s="74"/>
      <c r="CQ196" s="7"/>
      <c r="CR196" s="74"/>
      <c r="CS196" s="74"/>
      <c r="CT196" s="74"/>
      <c r="CU196" s="74"/>
      <c r="CV196" s="7"/>
      <c r="CW196" s="7"/>
      <c r="CX196" s="7"/>
      <c r="CY196" s="7"/>
      <c r="CZ196" s="7"/>
      <c r="DA196" s="7"/>
      <c r="DB196" s="7"/>
      <c r="DC196" s="7"/>
      <c r="DD196" s="7"/>
      <c r="DE196" s="74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8">
        <f t="shared" si="44"/>
        <v>52.879228396892358</v>
      </c>
      <c r="EA196" s="3" t="str">
        <f t="shared" si="45"/>
        <v>Heron, Chad</v>
      </c>
      <c r="EB196" s="2">
        <f t="shared" si="46"/>
        <v>1</v>
      </c>
      <c r="EC196" s="29">
        <v>0</v>
      </c>
      <c r="ED196" s="29">
        <f t="shared" si="48"/>
        <v>52.026001964671742</v>
      </c>
      <c r="EE196" s="2">
        <f t="shared" si="49"/>
        <v>0</v>
      </c>
      <c r="EF196" s="46">
        <f t="shared" si="50"/>
        <v>2</v>
      </c>
      <c r="EG196" s="46">
        <f t="shared" si="51"/>
        <v>3</v>
      </c>
      <c r="EH196" s="29" t="str">
        <f t="shared" si="52"/>
        <v>WI</v>
      </c>
      <c r="EI196" s="29">
        <f>IF(COUNT(I196:AD196)&lt;5,DZ196,SUMPRODUCT(LARGE(I196:AD196,{1,2,3,4,5}))/5)</f>
        <v>52.879228396892358</v>
      </c>
      <c r="EJ196" s="29">
        <f>IF(COUNT(I196:AX196)&lt;5,DZ196,SUMPRODUCT(LARGE(I196:AX196,{1,2,3,4,5}))/5)</f>
        <v>52.879228396892358</v>
      </c>
      <c r="EK196" s="29">
        <f>IF(COUNT(I196:DY196)&lt;5,AVERAGE(I196:DY196),SUMPRODUCT(LARGE(I196:DY196,{1,2,3,4,5}))/5)</f>
        <v>52.879228396892358</v>
      </c>
      <c r="EL196" s="29">
        <f t="shared" si="53"/>
        <v>52.026001964671742</v>
      </c>
      <c r="EM196" s="116" t="str">
        <f t="shared" si="54"/>
        <v>Heron, Chad</v>
      </c>
      <c r="EQ196"/>
    </row>
    <row r="197" spans="1:147" x14ac:dyDescent="0.25">
      <c r="A197" s="59">
        <f t="shared" si="40"/>
        <v>194</v>
      </c>
      <c r="B197" s="32" t="s">
        <v>1112</v>
      </c>
      <c r="C197" s="5" t="s">
        <v>6</v>
      </c>
      <c r="D197" s="6" t="s">
        <v>63</v>
      </c>
      <c r="E197" s="6">
        <v>0</v>
      </c>
      <c r="F197" s="6">
        <v>47.147598821615667</v>
      </c>
      <c r="G197" s="5">
        <f t="shared" si="43"/>
        <v>8</v>
      </c>
      <c r="H197" s="99">
        <v>0</v>
      </c>
      <c r="I197" s="36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227"/>
      <c r="Z197" s="228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4"/>
      <c r="AP197" s="7"/>
      <c r="AQ197" s="74"/>
      <c r="AR197" s="70"/>
      <c r="AS197" s="74"/>
      <c r="AT197" s="101">
        <f>(INDEX('Race 38'!$E$8:$E$200,(MATCH($B197,'Race 38'!$B$8:$B$200,0)),1))*100</f>
        <v>48.361940105715007</v>
      </c>
      <c r="AU197" s="74">
        <f>(INDEX('Race 39'!$E$8:$E$200,(MATCH($B197,'Race 39'!$B$8:$B$200,0)),1))*100</f>
        <v>47.094859133641073</v>
      </c>
      <c r="AV197" s="101"/>
      <c r="AW197" s="74"/>
      <c r="AX197" s="8">
        <f>(INDEX('Race 42'!$E$8:$E$200,(MATCH($B197,'Race 42'!$B$8:$B$200,0)),1))*100</f>
        <v>45.98599722549092</v>
      </c>
      <c r="AY197" s="36"/>
      <c r="AZ197" s="7">
        <f>(INDEX('Race 44'!$E$8:$E$200,(MATCH($B197,'Race 44'!$B$8:$B$200,0)),1))*100</f>
        <v>49.261891628138592</v>
      </c>
      <c r="BA197" s="7"/>
      <c r="BB197" s="7">
        <f>(INDEX('Race 46'!$E$8:$E$200,(MATCH($B197,'Race 46'!$B$8:$B$200,0)),1))*100</f>
        <v>48.935611376112661</v>
      </c>
      <c r="BC197" s="7"/>
      <c r="BD197" s="7"/>
      <c r="BE197" s="7">
        <f>(INDEX('Race 49'!$E$8:$E$200,(MATCH($B197,'Race 49'!$B$8:$B$200,0)),1))*100</f>
        <v>50.220016188506847</v>
      </c>
      <c r="BF197" s="7"/>
      <c r="BG197" s="7"/>
      <c r="BH197" s="7"/>
      <c r="BI197" s="7"/>
      <c r="BJ197" s="7"/>
      <c r="BK197" s="7"/>
      <c r="BL197" s="7"/>
      <c r="BM197" s="7"/>
      <c r="BN197" s="103"/>
      <c r="BO197" s="14"/>
      <c r="BP197" s="7">
        <f>(INDEX('Race 60'!$E$8:$E$200,(MATCH($B197,'Race 60'!$B$8:$B$200,0)),1))*100</f>
        <v>46.074810172291237</v>
      </c>
      <c r="BQ197" s="7">
        <f>(INDEX('Race 61'!$E$8:$E$200,(MATCH($B197,'Race 61'!$B$8:$B$200,0)),1))*100</f>
        <v>41.068540411670725</v>
      </c>
      <c r="BR197" s="7"/>
      <c r="BS197" s="7"/>
      <c r="BT197" s="7"/>
      <c r="BU197" s="7"/>
      <c r="BV197" s="7"/>
      <c r="BW197" s="7"/>
      <c r="BX197" s="7"/>
      <c r="BY197" s="7"/>
      <c r="BZ197" s="14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101"/>
      <c r="CL197" s="74"/>
      <c r="CM197" s="74"/>
      <c r="CN197" s="74"/>
      <c r="CO197" s="70"/>
      <c r="CP197" s="74"/>
      <c r="CQ197" s="7"/>
      <c r="CR197" s="74"/>
      <c r="CS197" s="74"/>
      <c r="CT197" s="74"/>
      <c r="CU197" s="74"/>
      <c r="CV197" s="7"/>
      <c r="CW197" s="7"/>
      <c r="CX197" s="7"/>
      <c r="CY197" s="7"/>
      <c r="CZ197" s="7"/>
      <c r="DA197" s="7"/>
      <c r="DB197" s="7"/>
      <c r="DC197" s="7"/>
      <c r="DD197" s="7"/>
      <c r="DE197" s="74"/>
      <c r="DF197" s="74"/>
      <c r="DG197" s="74"/>
      <c r="DH197" s="74"/>
      <c r="DI197" s="74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8">
        <f t="shared" si="44"/>
        <v>47.125458280195879</v>
      </c>
      <c r="EA197" s="3" t="str">
        <f t="shared" si="45"/>
        <v>Hibshman, Joel</v>
      </c>
      <c r="EB197" s="2">
        <f t="shared" si="46"/>
        <v>1</v>
      </c>
      <c r="EC197" s="112">
        <f t="shared" ref="EC197:EC216" si="55">H197</f>
        <v>0</v>
      </c>
      <c r="ED197" s="29">
        <f t="shared" si="48"/>
        <v>47.987862737527394</v>
      </c>
      <c r="EE197" s="2">
        <f t="shared" si="49"/>
        <v>0</v>
      </c>
      <c r="EF197" s="46">
        <f t="shared" si="50"/>
        <v>8</v>
      </c>
      <c r="EG197" s="46">
        <f t="shared" si="51"/>
        <v>8</v>
      </c>
      <c r="EH197" s="2" t="str">
        <f t="shared" si="52"/>
        <v>VT</v>
      </c>
      <c r="EI197" s="29">
        <f>IF(COUNT(I197:AD197)&lt;5,DZ197,SUMPRODUCT(LARGE(I197:AD197,{1,2,3,4,5}))/5)</f>
        <v>47.125458280195879</v>
      </c>
      <c r="EJ197" s="29">
        <f>IF(COUNT(I197:AX197)&lt;5,DZ197,SUMPRODUCT(LARGE(I197:AX197,{1,2,3,4,5}))/5)</f>
        <v>47.125458280195879</v>
      </c>
      <c r="EK197" s="29">
        <f>IF(COUNT(I197:DY197)&lt;5,AVERAGE(I197:DY197),SUMPRODUCT(LARGE(I197:DY197,{1,2,3,4,5}))/5)</f>
        <v>48.77486368642284</v>
      </c>
      <c r="EL197" s="29">
        <f t="shared" si="53"/>
        <v>47.987862737527394</v>
      </c>
      <c r="EM197" s="116" t="str">
        <f t="shared" si="54"/>
        <v>Hibshman, Joel</v>
      </c>
      <c r="EQ197"/>
    </row>
    <row r="198" spans="1:147" x14ac:dyDescent="0.25">
      <c r="A198" s="59">
        <f t="shared" ref="A198:A261" si="56">A197+1</f>
        <v>195</v>
      </c>
      <c r="B198" s="32" t="s">
        <v>149</v>
      </c>
      <c r="C198" s="5" t="s">
        <v>6</v>
      </c>
      <c r="D198" s="6" t="s">
        <v>122</v>
      </c>
      <c r="E198" s="6">
        <v>70.603296790545315</v>
      </c>
      <c r="F198" s="6">
        <v>78.137358411899697</v>
      </c>
      <c r="G198" s="5">
        <f t="shared" si="43"/>
        <v>2</v>
      </c>
      <c r="H198" s="99">
        <v>70.603296790545315</v>
      </c>
      <c r="I198" s="107"/>
      <c r="J198" s="7"/>
      <c r="K198" s="74"/>
      <c r="L198" s="7"/>
      <c r="M198" s="74"/>
      <c r="N198" s="74"/>
      <c r="O198" s="7"/>
      <c r="P198" s="74"/>
      <c r="Q198" s="74"/>
      <c r="R198" s="74"/>
      <c r="S198" s="74"/>
      <c r="T198" s="7"/>
      <c r="U198" s="7"/>
      <c r="V198" s="74"/>
      <c r="W198" s="74"/>
      <c r="X198" s="74"/>
      <c r="Y198" s="227"/>
      <c r="Z198" s="228"/>
      <c r="AA198" s="74"/>
      <c r="AB198" s="74"/>
      <c r="AC198" s="74"/>
      <c r="AD198" s="74"/>
      <c r="AE198" s="7"/>
      <c r="AF198" s="74"/>
      <c r="AG198" s="74"/>
      <c r="AH198" s="7"/>
      <c r="AI198" s="7"/>
      <c r="AJ198" s="7"/>
      <c r="AK198" s="7"/>
      <c r="AL198" s="7"/>
      <c r="AM198" s="7"/>
      <c r="AN198" s="7"/>
      <c r="AO198" s="74"/>
      <c r="AP198" s="7"/>
      <c r="AQ198" s="74"/>
      <c r="AR198" s="101"/>
      <c r="AS198" s="7"/>
      <c r="AT198" s="101"/>
      <c r="AU198" s="7"/>
      <c r="AV198" s="101"/>
      <c r="AW198" s="7">
        <f>(INDEX('Race 41'!$E$8:$E$200,(MATCH($B198,'Race 41'!$B$8:$B$200,0)),1))*100</f>
        <v>75.630063378769549</v>
      </c>
      <c r="AX198" s="8">
        <f>(INDEX('Race 42'!$E$8:$E$200,(MATCH($B198,'Race 42'!$B$8:$B$200,0)),1))*100</f>
        <v>80.64465344502986</v>
      </c>
      <c r="AY198" s="36"/>
      <c r="AZ198" s="74"/>
      <c r="BA198" s="74"/>
      <c r="BB198" s="74"/>
      <c r="BC198" s="74"/>
      <c r="BD198" s="7"/>
      <c r="BE198" s="7"/>
      <c r="BF198" s="74"/>
      <c r="BG198" s="74"/>
      <c r="BH198" s="74"/>
      <c r="BI198" s="74"/>
      <c r="BJ198" s="74"/>
      <c r="BK198" s="7"/>
      <c r="BL198" s="74"/>
      <c r="BM198" s="7"/>
      <c r="BN198" s="103"/>
      <c r="BO198" s="103"/>
      <c r="BP198" s="7"/>
      <c r="BQ198" s="7"/>
      <c r="BR198" s="74"/>
      <c r="BS198" s="7"/>
      <c r="BT198" s="7"/>
      <c r="BU198" s="74"/>
      <c r="BV198" s="74"/>
      <c r="BW198" s="74"/>
      <c r="BX198" s="74"/>
      <c r="BY198" s="74"/>
      <c r="BZ198" s="103"/>
      <c r="CA198" s="7"/>
      <c r="CB198" s="7"/>
      <c r="CC198" s="74"/>
      <c r="CD198" s="74"/>
      <c r="CE198" s="7"/>
      <c r="CF198" s="74"/>
      <c r="CG198" s="74"/>
      <c r="CH198" s="7"/>
      <c r="CI198" s="101"/>
      <c r="CJ198" s="74"/>
      <c r="CK198" s="101"/>
      <c r="CL198" s="74"/>
      <c r="CM198" s="74"/>
      <c r="CN198" s="74"/>
      <c r="CO198" s="101"/>
      <c r="CP198" s="74"/>
      <c r="CQ198" s="74"/>
      <c r="CR198" s="74"/>
      <c r="CS198" s="74"/>
      <c r="CT198" s="74"/>
      <c r="CU198" s="74"/>
      <c r="CV198" s="74"/>
      <c r="CW198" s="74"/>
      <c r="CX198" s="7"/>
      <c r="CY198" s="7"/>
      <c r="CZ198" s="74"/>
      <c r="DA198" s="74"/>
      <c r="DB198" s="74"/>
      <c r="DC198" s="74"/>
      <c r="DD198" s="74"/>
      <c r="DE198" s="74"/>
      <c r="DF198" s="74"/>
      <c r="DG198" s="74"/>
      <c r="DH198" s="74"/>
      <c r="DI198" s="74"/>
      <c r="DJ198" s="74"/>
      <c r="DK198" s="74"/>
      <c r="DL198" s="74"/>
      <c r="DM198" s="74"/>
      <c r="DN198" s="74"/>
      <c r="DO198" s="74"/>
      <c r="DP198" s="74"/>
      <c r="DQ198" s="74"/>
      <c r="DR198" s="7"/>
      <c r="DS198" s="7"/>
      <c r="DT198" s="74"/>
      <c r="DU198" s="74"/>
      <c r="DV198" s="74"/>
      <c r="DW198" s="74"/>
      <c r="DX198" s="74"/>
      <c r="DY198" s="74"/>
      <c r="DZ198" s="8">
        <f t="shared" si="44"/>
        <v>78.137358411899697</v>
      </c>
      <c r="EA198" s="3" t="str">
        <f t="shared" si="45"/>
        <v>Hillerson, Blake</v>
      </c>
      <c r="EB198" s="2">
        <f t="shared" si="46"/>
        <v>1</v>
      </c>
      <c r="EC198" s="112">
        <f t="shared" si="55"/>
        <v>70.603296790545315</v>
      </c>
      <c r="ED198" s="29">
        <f t="shared" si="48"/>
        <v>76.876582459562869</v>
      </c>
      <c r="EE198" s="2">
        <f t="shared" si="49"/>
        <v>0</v>
      </c>
      <c r="EF198" s="46">
        <f t="shared" si="50"/>
        <v>2</v>
      </c>
      <c r="EG198" s="46">
        <f t="shared" si="51"/>
        <v>2</v>
      </c>
      <c r="EH198" s="2" t="str">
        <f t="shared" si="52"/>
        <v>ND</v>
      </c>
      <c r="EI198" s="29">
        <f>IF(COUNT(I198:Y198)&lt;5,DZ198,SUMPRODUCT(LARGE(I198:Y198,{1,2,3,4,5}))/5)</f>
        <v>78.137358411899697</v>
      </c>
      <c r="EJ198" s="29">
        <f>IF(COUNT(I198:AX198)&lt;5,DZ198,SUMPRODUCT(LARGE(I198:AX198,{1,2,3,4,5}))/5)</f>
        <v>78.137358411899697</v>
      </c>
      <c r="EK198" s="112">
        <f>IF(COUNT(I198:DY198)&lt;5,AVERAGE(I198:DY198),SUMPRODUCT(LARGE(I198:DY198,{1,2,3,4,5}))/5)</f>
        <v>78.137358411899697</v>
      </c>
      <c r="EL198" s="29">
        <f t="shared" si="53"/>
        <v>76.876582459562869</v>
      </c>
      <c r="EM198" s="116" t="str">
        <f t="shared" si="54"/>
        <v>Hillerson, Blake</v>
      </c>
      <c r="EQ198"/>
    </row>
    <row r="199" spans="1:147" x14ac:dyDescent="0.25">
      <c r="A199" s="59">
        <f t="shared" si="56"/>
        <v>196</v>
      </c>
      <c r="B199" s="32" t="s">
        <v>802</v>
      </c>
      <c r="C199" s="5" t="s">
        <v>6</v>
      </c>
      <c r="D199" s="6" t="s">
        <v>62</v>
      </c>
      <c r="E199" s="6">
        <v>58.89129381208145</v>
      </c>
      <c r="F199" s="6">
        <v>71.344668189812722</v>
      </c>
      <c r="G199" s="5">
        <f t="shared" si="43"/>
        <v>4</v>
      </c>
      <c r="H199" s="37">
        <v>58.89129381208145</v>
      </c>
      <c r="I199" s="36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227"/>
      <c r="Z199" s="228"/>
      <c r="AA199" s="7"/>
      <c r="AB199" s="7"/>
      <c r="AC199" s="7"/>
      <c r="AD199" s="7"/>
      <c r="AE199" s="7"/>
      <c r="AF199" s="7"/>
      <c r="AG199" s="74">
        <f>(INDEX('Race 25'!$E$8:$E$200,(MATCH($B199,'Race 25'!$B$8:$B$200,0)),1))*100</f>
        <v>73.276548385665308</v>
      </c>
      <c r="AH199" s="7"/>
      <c r="AI199" s="7"/>
      <c r="AJ199" s="7"/>
      <c r="AK199" s="7"/>
      <c r="AL199" s="74">
        <f>(INDEX('Race 30'!$E$8:$E$200,(MATCH($B199,'Race 30'!$B$8:$B$200,0)),1))*100</f>
        <v>69.412787993960137</v>
      </c>
      <c r="AM199" s="7"/>
      <c r="AN199" s="7"/>
      <c r="AO199" s="7"/>
      <c r="AP199" s="7"/>
      <c r="AQ199" s="74"/>
      <c r="AR199" s="70"/>
      <c r="AS199" s="7"/>
      <c r="AT199" s="70"/>
      <c r="AU199" s="7"/>
      <c r="AV199" s="70"/>
      <c r="AW199" s="7"/>
      <c r="AX199" s="8"/>
      <c r="AY199" s="36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103"/>
      <c r="BO199" s="14"/>
      <c r="BP199" s="7"/>
      <c r="BQ199" s="7"/>
      <c r="BR199" s="7"/>
      <c r="BS199" s="7">
        <f>(INDEX('Race 63'!$E$8:$E$200,(MATCH($B199,'Race 63'!$B$8:$B$200,0)),1))*100</f>
        <v>74.66253915717661</v>
      </c>
      <c r="BT199" s="7">
        <f>(INDEX('Race 64'!$E$8:$E$200,(MATCH($B199,'Race 64'!$B$8:$B$200,0)),1))*100</f>
        <v>73.601479519068363</v>
      </c>
      <c r="BU199" s="7"/>
      <c r="BV199" s="7"/>
      <c r="BW199" s="7"/>
      <c r="BX199" s="7"/>
      <c r="BY199" s="7"/>
      <c r="BZ199" s="14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101"/>
      <c r="CL199" s="101"/>
      <c r="CM199" s="74"/>
      <c r="CN199" s="74"/>
      <c r="CO199" s="70"/>
      <c r="CP199" s="74"/>
      <c r="CQ199" s="7"/>
      <c r="CR199" s="74"/>
      <c r="CS199" s="74"/>
      <c r="CT199" s="74"/>
      <c r="CU199" s="74"/>
      <c r="CV199" s="7"/>
      <c r="CW199" s="7"/>
      <c r="CX199" s="7"/>
      <c r="CY199" s="7"/>
      <c r="CZ199" s="7"/>
      <c r="DA199" s="7"/>
      <c r="DB199" s="7"/>
      <c r="DC199" s="7"/>
      <c r="DD199" s="7"/>
      <c r="DE199" s="74"/>
      <c r="DF199" s="7"/>
      <c r="DG199" s="7"/>
      <c r="DH199" s="7"/>
      <c r="DI199" s="7"/>
      <c r="DJ199" s="7"/>
      <c r="DK199" s="7"/>
      <c r="DL199" s="7"/>
      <c r="DM199" s="7"/>
      <c r="DN199" s="14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8">
        <f t="shared" si="44"/>
        <v>72.738338763967604</v>
      </c>
      <c r="EA199" s="3" t="str">
        <f t="shared" si="45"/>
        <v>Hixson, David</v>
      </c>
      <c r="EB199" s="2">
        <f t="shared" si="46"/>
        <v>1</v>
      </c>
      <c r="EC199" s="112">
        <f t="shared" si="55"/>
        <v>58.89129381208145</v>
      </c>
      <c r="ED199" s="29">
        <f t="shared" si="48"/>
        <v>71.564678044045266</v>
      </c>
      <c r="EE199" s="2">
        <f t="shared" si="49"/>
        <v>1</v>
      </c>
      <c r="EF199" s="46">
        <f t="shared" si="50"/>
        <v>2</v>
      </c>
      <c r="EG199" s="46">
        <f t="shared" si="51"/>
        <v>4</v>
      </c>
      <c r="EH199" s="29" t="str">
        <f t="shared" si="52"/>
        <v>CO</v>
      </c>
      <c r="EI199" s="29">
        <f>IF(COUNT(I199:Y199)&lt;5,DZ199,SUMPRODUCT(LARGE(I199:Y199,{1,2,3,4,5}))/5)</f>
        <v>72.738338763967604</v>
      </c>
      <c r="EJ199" s="29">
        <f>IF(COUNT(I199:AX199)&lt;5,DZ199,SUMPRODUCT(LARGE(I199:AX199,{1,2,3,4,5}))/5)</f>
        <v>72.738338763967604</v>
      </c>
      <c r="EK199" s="29">
        <f>IF(COUNT(I199:DY199)&lt;5,AVERAGE(I199:DY199),SUMPRODUCT(LARGE(I199:DY199,{1,2,3,4,5}))/5)</f>
        <v>72.738338763967604</v>
      </c>
      <c r="EL199" s="29">
        <f t="shared" si="53"/>
        <v>71.564678044045266</v>
      </c>
      <c r="EM199" s="116" t="str">
        <f t="shared" si="54"/>
        <v>Hixson, David</v>
      </c>
      <c r="EQ199"/>
    </row>
    <row r="200" spans="1:147" x14ac:dyDescent="0.25">
      <c r="A200" s="59">
        <f t="shared" si="56"/>
        <v>197</v>
      </c>
      <c r="B200" s="32" t="s">
        <v>727</v>
      </c>
      <c r="C200" s="5" t="s">
        <v>6</v>
      </c>
      <c r="D200" s="5" t="s">
        <v>64</v>
      </c>
      <c r="E200" s="6">
        <v>0</v>
      </c>
      <c r="F200" s="6">
        <v>50.254433655003247</v>
      </c>
      <c r="G200" s="5">
        <f t="shared" si="43"/>
        <v>4</v>
      </c>
      <c r="H200" s="37">
        <v>0</v>
      </c>
      <c r="I200" s="107"/>
      <c r="J200" s="7"/>
      <c r="K200" s="74"/>
      <c r="L200" s="7"/>
      <c r="M200" s="74"/>
      <c r="N200" s="74"/>
      <c r="O200" s="7"/>
      <c r="P200" s="74"/>
      <c r="Q200" s="74"/>
      <c r="R200" s="74"/>
      <c r="S200" s="74"/>
      <c r="T200" s="7"/>
      <c r="U200" s="7"/>
      <c r="V200" s="74"/>
      <c r="W200" s="7"/>
      <c r="X200" s="74"/>
      <c r="Y200" s="227"/>
      <c r="Z200" s="228"/>
      <c r="AA200" s="74"/>
      <c r="AB200" s="74"/>
      <c r="AC200" s="74"/>
      <c r="AD200" s="74"/>
      <c r="AE200" s="7"/>
      <c r="AF200" s="74"/>
      <c r="AG200" s="74"/>
      <c r="AH200" s="7"/>
      <c r="AI200" s="7"/>
      <c r="AJ200" s="7"/>
      <c r="AK200" s="7"/>
      <c r="AL200" s="7"/>
      <c r="AM200" s="7"/>
      <c r="AN200" s="7"/>
      <c r="AO200" s="74"/>
      <c r="AP200" s="7"/>
      <c r="AQ200" s="74"/>
      <c r="AR200" s="101"/>
      <c r="AS200" s="7"/>
      <c r="AT200" s="101"/>
      <c r="AU200" s="7"/>
      <c r="AV200" s="101"/>
      <c r="AW200" s="7">
        <f>(INDEX('Race 41'!$E$8:$E$200,(MATCH($B200,'Race 41'!$B$8:$B$200,0)),1))*100</f>
        <v>49.585626060305948</v>
      </c>
      <c r="AX200" s="8">
        <f>(INDEX('Race 42'!$E$8:$E$200,(MATCH($B200,'Race 42'!$B$8:$B$200,0)),1))*100</f>
        <v>50.923241249700546</v>
      </c>
      <c r="AY200" s="36"/>
      <c r="AZ200" s="74"/>
      <c r="BA200" s="74"/>
      <c r="BB200" s="74"/>
      <c r="BC200" s="74"/>
      <c r="BD200" s="7"/>
      <c r="BE200" s="7"/>
      <c r="BF200" s="74"/>
      <c r="BG200" s="74"/>
      <c r="BH200" s="74"/>
      <c r="BI200" s="74"/>
      <c r="BJ200" s="74"/>
      <c r="BK200" s="7"/>
      <c r="BL200" s="74"/>
      <c r="BM200" s="7"/>
      <c r="BN200" s="103"/>
      <c r="BO200" s="103"/>
      <c r="BP200" s="7"/>
      <c r="BQ200" s="7"/>
      <c r="BR200" s="74"/>
      <c r="BS200" s="7"/>
      <c r="BT200" s="7"/>
      <c r="BU200" s="74"/>
      <c r="BV200" s="74"/>
      <c r="BW200" s="74"/>
      <c r="BX200" s="74"/>
      <c r="BY200" s="74"/>
      <c r="BZ200" s="103"/>
      <c r="CA200" s="7"/>
      <c r="CB200" s="7"/>
      <c r="CC200" s="74"/>
      <c r="CD200" s="74"/>
      <c r="CE200" s="7">
        <f>(INDEX('Race 75'!$E$8:$E$200,(MATCH($B200,'Race 75'!$B$8:$B$200,0)),1))*100</f>
        <v>49.510536721301548</v>
      </c>
      <c r="CF200" s="74">
        <f>(INDEX('Race 76'!$E$8:$E$200,(MATCH($B200,'Race 76'!$B$8:$B$200,0)),1))*100</f>
        <v>52.366310852985031</v>
      </c>
      <c r="CG200" s="74"/>
      <c r="CH200" s="7"/>
      <c r="CI200" s="74"/>
      <c r="CJ200" s="74"/>
      <c r="CK200" s="101"/>
      <c r="CL200" s="74"/>
      <c r="CM200" s="74"/>
      <c r="CN200" s="74"/>
      <c r="CO200" s="101"/>
      <c r="CP200" s="74"/>
      <c r="CQ200" s="74"/>
      <c r="CR200" s="74"/>
      <c r="CS200" s="74"/>
      <c r="CT200" s="74"/>
      <c r="CU200" s="74"/>
      <c r="CV200" s="74"/>
      <c r="CW200" s="74"/>
      <c r="CX200" s="7"/>
      <c r="CY200" s="7"/>
      <c r="CZ200" s="74"/>
      <c r="DA200" s="74"/>
      <c r="DB200" s="74"/>
      <c r="DC200" s="74"/>
      <c r="DD200" s="74"/>
      <c r="DE200" s="74"/>
      <c r="DF200" s="74"/>
      <c r="DG200" s="74"/>
      <c r="DH200" s="74"/>
      <c r="DI200" s="74"/>
      <c r="DJ200" s="74"/>
      <c r="DK200" s="74"/>
      <c r="DL200" s="74"/>
      <c r="DM200" s="74"/>
      <c r="DN200" s="74"/>
      <c r="DO200" s="74"/>
      <c r="DP200" s="74"/>
      <c r="DQ200" s="74"/>
      <c r="DR200" s="74"/>
      <c r="DS200" s="74"/>
      <c r="DT200" s="74"/>
      <c r="DU200" s="74"/>
      <c r="DV200" s="74"/>
      <c r="DW200" s="74"/>
      <c r="DX200" s="74"/>
      <c r="DY200" s="74"/>
      <c r="DZ200" s="8">
        <f t="shared" si="44"/>
        <v>50.596428721073273</v>
      </c>
      <c r="EA200" s="3" t="str">
        <f t="shared" si="45"/>
        <v>Hobbs, John</v>
      </c>
      <c r="EB200" s="2">
        <f t="shared" si="46"/>
        <v>1</v>
      </c>
      <c r="EC200" s="112">
        <f t="shared" si="55"/>
        <v>0</v>
      </c>
      <c r="ED200" s="29">
        <f t="shared" si="48"/>
        <v>49.780036128564809</v>
      </c>
      <c r="EE200" s="2">
        <f t="shared" si="49"/>
        <v>0</v>
      </c>
      <c r="EF200" s="46">
        <f t="shared" si="50"/>
        <v>2</v>
      </c>
      <c r="EG200" s="46">
        <f t="shared" si="51"/>
        <v>4</v>
      </c>
      <c r="EH200" s="2" t="str">
        <f t="shared" si="52"/>
        <v>ME</v>
      </c>
      <c r="EI200" s="29">
        <f>IF(COUNT(I200:AD200)&lt;5,DZ200,SUMPRODUCT(LARGE(I200:AD200,{1,2,3,4,5}))/5)</f>
        <v>50.596428721073273</v>
      </c>
      <c r="EJ200" s="29">
        <f>IF(COUNT(I200:AX200)&lt;5,DZ200,SUMPRODUCT(LARGE(I200:AX200,{1,2,3,4,5}))/5)</f>
        <v>50.596428721073273</v>
      </c>
      <c r="EK200" s="29">
        <f>IF(COUNT(I200:DY200)&lt;5,AVERAGE(I200:DY200),SUMPRODUCT(LARGE(I200:DY200,{1,2,3,4,5}))/5)</f>
        <v>50.596428721073273</v>
      </c>
      <c r="EL200" s="29">
        <f t="shared" si="53"/>
        <v>49.780036128564809</v>
      </c>
      <c r="EM200" s="116" t="str">
        <f t="shared" si="54"/>
        <v>Hobbs, John</v>
      </c>
      <c r="EQ200"/>
    </row>
    <row r="201" spans="1:147" x14ac:dyDescent="0.25">
      <c r="A201" s="59">
        <f t="shared" si="56"/>
        <v>198</v>
      </c>
      <c r="B201" s="32" t="s">
        <v>1040</v>
      </c>
      <c r="C201" s="5" t="s">
        <v>16</v>
      </c>
      <c r="D201" s="6" t="s">
        <v>67</v>
      </c>
      <c r="E201" s="6">
        <v>73.497966256493498</v>
      </c>
      <c r="F201" s="6">
        <v>73.497966256493498</v>
      </c>
      <c r="G201" s="5">
        <f t="shared" si="43"/>
        <v>5</v>
      </c>
      <c r="H201" s="37">
        <v>0</v>
      </c>
      <c r="I201" s="36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>
        <f>(INDEX('Race 16'!$E$8:$E$200,(MATCH($B201,'Race 16'!$B$8:$B$200,0)),1))*100</f>
        <v>73.504944017424307</v>
      </c>
      <c r="Y201" s="227">
        <f>(INDEX('Race 17'!$E$8:$E$200,(MATCH($B201,'Race 17'!$B$8:$B$200,0)),1))*100</f>
        <v>73.490988495562675</v>
      </c>
      <c r="Z201" s="228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4"/>
      <c r="AP201" s="7"/>
      <c r="AQ201" s="74"/>
      <c r="AR201" s="70"/>
      <c r="AS201" s="7"/>
      <c r="AT201" s="70"/>
      <c r="AU201" s="7"/>
      <c r="AV201" s="70"/>
      <c r="AW201" s="7"/>
      <c r="AX201" s="8"/>
      <c r="AY201" s="36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103"/>
      <c r="BO201" s="14"/>
      <c r="BP201" s="7"/>
      <c r="BQ201" s="7"/>
      <c r="BR201" s="7"/>
      <c r="BS201" s="7"/>
      <c r="BT201" s="7"/>
      <c r="BU201" s="7"/>
      <c r="BV201" s="7"/>
      <c r="BW201" s="7"/>
      <c r="BX201" s="7"/>
      <c r="BY201" s="74"/>
      <c r="BZ201" s="103"/>
      <c r="CA201" s="7"/>
      <c r="CB201" s="7"/>
      <c r="CC201" s="74"/>
      <c r="CD201" s="7"/>
      <c r="CE201" s="7"/>
      <c r="CF201" s="7"/>
      <c r="CG201" s="7"/>
      <c r="CH201" s="7"/>
      <c r="CI201" s="70"/>
      <c r="CJ201" s="7"/>
      <c r="CK201" s="101"/>
      <c r="CL201" s="74"/>
      <c r="CM201" s="74"/>
      <c r="CN201" s="74"/>
      <c r="CO201" s="70">
        <f>(INDEX('Race 85'!$E$8:$E$200,(MATCH($B201,'Race 85'!$B$8:$B$200,0)),1))*100</f>
        <v>75.384531066050087</v>
      </c>
      <c r="CP201" s="74"/>
      <c r="CQ201" s="7">
        <f>(INDEX('Race 87'!$E$8:$E$200,(MATCH($B201,'Race 87'!$B$8:$B$200,0)),1))*100</f>
        <v>71.517541336885571</v>
      </c>
      <c r="CR201" s="74"/>
      <c r="CS201" s="74"/>
      <c r="CT201" s="74"/>
      <c r="CU201" s="74"/>
      <c r="CV201" s="7"/>
      <c r="CW201" s="7">
        <f>(INDEX('Race 93'!$E$8:$E$200,(MATCH($B201,'Race 93'!$B$8:$B$200,0)),1))*100</f>
        <v>69.677099593206336</v>
      </c>
      <c r="CX201" s="7"/>
      <c r="CY201" s="7"/>
      <c r="CZ201" s="7"/>
      <c r="DA201" s="7"/>
      <c r="DB201" s="7"/>
      <c r="DC201" s="7"/>
      <c r="DD201" s="7"/>
      <c r="DE201" s="74"/>
      <c r="DF201" s="74"/>
      <c r="DG201" s="74"/>
      <c r="DH201" s="74"/>
      <c r="DI201" s="74"/>
      <c r="DJ201" s="7"/>
      <c r="DK201" s="7"/>
      <c r="DL201" s="74"/>
      <c r="DM201" s="7"/>
      <c r="DN201" s="7"/>
      <c r="DO201" s="7"/>
      <c r="DP201" s="7"/>
      <c r="DQ201" s="74"/>
      <c r="DR201" s="74"/>
      <c r="DS201" s="7"/>
      <c r="DT201" s="7"/>
      <c r="DU201" s="7"/>
      <c r="DV201" s="74"/>
      <c r="DW201" s="7"/>
      <c r="DX201" s="7"/>
      <c r="DY201" s="7"/>
      <c r="DZ201" s="8">
        <f t="shared" si="44"/>
        <v>72.715020901825795</v>
      </c>
      <c r="EA201" s="3" t="str">
        <f t="shared" si="45"/>
        <v>Hoefler, Harrison</v>
      </c>
      <c r="EB201" s="2">
        <f t="shared" si="46"/>
        <v>1</v>
      </c>
      <c r="EC201" s="112">
        <f t="shared" si="55"/>
        <v>0</v>
      </c>
      <c r="ED201" s="29">
        <f t="shared" si="48"/>
        <v>71.541736424464574</v>
      </c>
      <c r="EE201" s="2">
        <f t="shared" si="49"/>
        <v>2</v>
      </c>
      <c r="EF201" s="46">
        <f t="shared" si="50"/>
        <v>2</v>
      </c>
      <c r="EG201" s="46">
        <f t="shared" si="51"/>
        <v>5</v>
      </c>
      <c r="EH201" s="2" t="str">
        <f t="shared" si="52"/>
        <v>UT</v>
      </c>
      <c r="EI201" s="29">
        <f>IF(COUNT(I201:Y201)&lt;5,DZ201,SUMPRODUCT(LARGE(I201:Y201,{1,2,3,4,5}))/5)</f>
        <v>72.715020901825795</v>
      </c>
      <c r="EJ201" s="29">
        <f>IF(COUNT(I201:AX201)&lt;5,DZ201,SUMPRODUCT(LARGE(I201:AX201,{1,2,3,4,5}))/5)</f>
        <v>72.715020901825795</v>
      </c>
      <c r="EK201" s="29">
        <f>IF(COUNT(I201:DY201)&lt;5,AVERAGE(I201:DY201),SUMPRODUCT(LARGE(I201:DY201,{1,2,3,4,5}))/5)</f>
        <v>72.715020901825795</v>
      </c>
      <c r="EL201" s="29">
        <f t="shared" si="53"/>
        <v>71.541736424464574</v>
      </c>
      <c r="EM201" s="116" t="str">
        <f t="shared" si="54"/>
        <v>Hoefler, Harrison</v>
      </c>
      <c r="EQ201"/>
    </row>
    <row r="202" spans="1:147" x14ac:dyDescent="0.25">
      <c r="A202" s="59">
        <f t="shared" si="56"/>
        <v>199</v>
      </c>
      <c r="B202" s="4" t="s">
        <v>272</v>
      </c>
      <c r="C202" s="5" t="s">
        <v>6</v>
      </c>
      <c r="D202" s="5" t="s">
        <v>69</v>
      </c>
      <c r="E202" s="6">
        <v>57.099955456018435</v>
      </c>
      <c r="F202" s="6">
        <v>60.150230555196153</v>
      </c>
      <c r="G202" s="5">
        <f t="shared" si="43"/>
        <v>4</v>
      </c>
      <c r="H202" s="99">
        <v>61.598455070075723</v>
      </c>
      <c r="I202" s="36"/>
      <c r="J202" s="7"/>
      <c r="K202" s="7"/>
      <c r="L202" s="7"/>
      <c r="M202" s="7"/>
      <c r="N202" s="7"/>
      <c r="O202" s="7">
        <f>(INDEX('Race 7'!$E$8:$E$200,(MATCH($B202,'Race 7'!$B$8:$B$200,0)),1))*100</f>
        <v>57.099955456018435</v>
      </c>
      <c r="P202" s="7"/>
      <c r="Q202" s="7"/>
      <c r="R202" s="7"/>
      <c r="S202" s="7"/>
      <c r="T202" s="7"/>
      <c r="U202" s="7"/>
      <c r="V202" s="7"/>
      <c r="W202" s="7"/>
      <c r="X202" s="7"/>
      <c r="Y202" s="227"/>
      <c r="Z202" s="228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4">
        <f>(INDEX('Race 31'!$E$8:$E$200,(MATCH($B202,'Race 31'!$B$8:$B$200,0)),1))*100</f>
        <v>59.884701011010655</v>
      </c>
      <c r="AN202" s="74">
        <f>(INDEX('Race 32'!$E$8:$E$200,(MATCH($B202,'Race 32'!$B$8:$B$200,0)),1))*100</f>
        <v>63.466035198559368</v>
      </c>
      <c r="AO202" s="74"/>
      <c r="AP202" s="7"/>
      <c r="AQ202" s="74"/>
      <c r="AR202" s="70"/>
      <c r="AS202" s="7"/>
      <c r="AT202" s="70"/>
      <c r="AU202" s="7"/>
      <c r="AV202" s="70"/>
      <c r="AW202" s="7"/>
      <c r="AX202" s="183"/>
      <c r="AY202" s="10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14"/>
      <c r="BO202" s="14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>
        <f>(INDEX('Race 71'!$E$8:$E$200,(MATCH($B202,'Race 71'!$B$8:$B$200,0)),1))*100</f>
        <v>60.44334538595777</v>
      </c>
      <c r="CB202" s="7"/>
      <c r="CC202" s="7"/>
      <c r="CD202" s="7"/>
      <c r="CE202" s="74"/>
      <c r="CF202" s="74"/>
      <c r="CG202" s="7"/>
      <c r="CH202" s="7"/>
      <c r="CI202" s="7"/>
      <c r="CJ202" s="7"/>
      <c r="CK202" s="101"/>
      <c r="CL202" s="74"/>
      <c r="CM202" s="74"/>
      <c r="CN202" s="74"/>
      <c r="CO202" s="70"/>
      <c r="CP202" s="74"/>
      <c r="CQ202" s="7"/>
      <c r="CR202" s="74"/>
      <c r="CS202" s="74"/>
      <c r="CT202" s="74"/>
      <c r="CU202" s="74"/>
      <c r="CV202" s="74"/>
      <c r="CW202" s="7"/>
      <c r="CX202" s="7"/>
      <c r="CY202" s="7"/>
      <c r="CZ202" s="7"/>
      <c r="DA202" s="7"/>
      <c r="DB202" s="7"/>
      <c r="DC202" s="7"/>
      <c r="DD202" s="7"/>
      <c r="DE202" s="74"/>
      <c r="DF202" s="74"/>
      <c r="DG202" s="74"/>
      <c r="DH202" s="74"/>
      <c r="DI202" s="74"/>
      <c r="DJ202" s="7"/>
      <c r="DK202" s="7"/>
      <c r="DL202" s="7"/>
      <c r="DM202" s="7"/>
      <c r="DN202" s="7"/>
      <c r="DO202" s="7"/>
      <c r="DP202" s="7"/>
      <c r="DQ202" s="74"/>
      <c r="DR202" s="7"/>
      <c r="DS202" s="7"/>
      <c r="DT202" s="7"/>
      <c r="DU202" s="7"/>
      <c r="DV202" s="7"/>
      <c r="DW202" s="7"/>
      <c r="DX202" s="7"/>
      <c r="DY202" s="7"/>
      <c r="DZ202" s="8">
        <f t="shared" si="44"/>
        <v>60.223509262886559</v>
      </c>
      <c r="EA202" s="3" t="str">
        <f t="shared" si="45"/>
        <v>Hoeger, Cory</v>
      </c>
      <c r="EB202" s="2">
        <f t="shared" si="46"/>
        <v>1</v>
      </c>
      <c r="EC202" s="112">
        <f t="shared" si="55"/>
        <v>61.598455070075723</v>
      </c>
      <c r="ED202" s="29">
        <f t="shared" si="48"/>
        <v>59.251780069742772</v>
      </c>
      <c r="EE202" s="2">
        <f t="shared" si="49"/>
        <v>1</v>
      </c>
      <c r="EF202" s="46">
        <f t="shared" si="50"/>
        <v>3</v>
      </c>
      <c r="EG202" s="46">
        <f t="shared" si="51"/>
        <v>4</v>
      </c>
      <c r="EH202" s="2" t="str">
        <f t="shared" si="52"/>
        <v>WA</v>
      </c>
      <c r="EI202" s="29">
        <f>IF(COUNT(I202:Y202)&lt;5,DZ202,SUMPRODUCT(LARGE(I202:Y202,{1,2,3,4,5}))/5)</f>
        <v>60.223509262886559</v>
      </c>
      <c r="EJ202" s="29">
        <f>IF(COUNT(I202:AX202)&lt;5,DZ202,SUMPRODUCT(LARGE(I202:AX202,{1,2,3,4,5}))/5)</f>
        <v>60.223509262886559</v>
      </c>
      <c r="EK202" s="29">
        <f>IF(COUNT(I202:DY202)&lt;5,AVERAGE(I202:DY202),SUMPRODUCT(LARGE(I202:DY202,{1,2,3,4,5}))/5)</f>
        <v>60.223509262886559</v>
      </c>
      <c r="EL202" s="29">
        <f t="shared" si="53"/>
        <v>59.251780069742772</v>
      </c>
      <c r="EM202" s="116" t="str">
        <f t="shared" si="54"/>
        <v>Hoeger, Cory</v>
      </c>
      <c r="EQ202"/>
    </row>
    <row r="203" spans="1:147" x14ac:dyDescent="0.25">
      <c r="A203" s="59">
        <f t="shared" si="56"/>
        <v>200</v>
      </c>
      <c r="B203" s="32" t="s">
        <v>908</v>
      </c>
      <c r="C203" s="5" t="s">
        <v>6</v>
      </c>
      <c r="D203" s="6" t="s">
        <v>88</v>
      </c>
      <c r="E203" s="6">
        <v>43.724213155970737</v>
      </c>
      <c r="F203" s="6">
        <v>43.584396331857015</v>
      </c>
      <c r="G203" s="5">
        <f t="shared" si="43"/>
        <v>2</v>
      </c>
      <c r="H203" s="37">
        <v>43.724213155970737</v>
      </c>
      <c r="I203" s="36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227"/>
      <c r="Z203" s="228"/>
      <c r="AA203" s="7"/>
      <c r="AB203" s="7"/>
      <c r="AC203" s="74">
        <f>(INDEX('Race 21'!$E$8:$E$200,(MATCH($B203,'Race 21'!$B$8:$B$200,0)),1))*100</f>
        <v>43.584396331857015</v>
      </c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0"/>
      <c r="AS203" s="7"/>
      <c r="AT203" s="70"/>
      <c r="AU203" s="7"/>
      <c r="AV203" s="70"/>
      <c r="AW203" s="7"/>
      <c r="AX203" s="8"/>
      <c r="AY203" s="36"/>
      <c r="AZ203" s="7"/>
      <c r="BA203" s="7"/>
      <c r="BB203" s="74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14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14"/>
      <c r="CA203" s="7"/>
      <c r="CB203" s="70"/>
      <c r="CC203" s="7"/>
      <c r="CD203" s="7">
        <f>(INDEX('Race 74'!$E$8:$E$200,(MATCH($B203,'Race 74'!$B$8:$B$200,0)),1))*100</f>
        <v>49.15319888872294</v>
      </c>
      <c r="CE203" s="7"/>
      <c r="CF203" s="7"/>
      <c r="CG203" s="7"/>
      <c r="CH203" s="7"/>
      <c r="CI203" s="7"/>
      <c r="CJ203" s="101"/>
      <c r="CK203" s="101"/>
      <c r="CL203" s="101"/>
      <c r="CM203" s="74"/>
      <c r="CN203" s="7"/>
      <c r="CO203" s="70"/>
      <c r="CP203" s="7"/>
      <c r="CQ203" s="74"/>
      <c r="CR203" s="74"/>
      <c r="CS203" s="74"/>
      <c r="CT203" s="74"/>
      <c r="CU203" s="74"/>
      <c r="CV203" s="7"/>
      <c r="CW203" s="7"/>
      <c r="CX203" s="7"/>
      <c r="CY203" s="7"/>
      <c r="CZ203" s="7"/>
      <c r="DA203" s="7"/>
      <c r="DB203" s="7"/>
      <c r="DC203" s="7"/>
      <c r="DD203" s="7"/>
      <c r="DE203" s="74"/>
      <c r="DF203" s="74"/>
      <c r="DG203" s="74"/>
      <c r="DH203" s="74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8">
        <f t="shared" si="44"/>
        <v>46.368797610289974</v>
      </c>
      <c r="EA203" s="22" t="str">
        <f t="shared" si="45"/>
        <v>Houston, Michael</v>
      </c>
      <c r="EB203" s="56">
        <f t="shared" si="46"/>
        <v>1</v>
      </c>
      <c r="EC203" s="112">
        <f t="shared" si="55"/>
        <v>43.724213155970737</v>
      </c>
      <c r="ED203" s="112">
        <f t="shared" si="48"/>
        <v>45.620619451288839</v>
      </c>
      <c r="EE203" s="56">
        <f t="shared" si="49"/>
        <v>1</v>
      </c>
      <c r="EF203" s="111">
        <f t="shared" si="50"/>
        <v>1</v>
      </c>
      <c r="EG203" s="111">
        <f t="shared" si="51"/>
        <v>2</v>
      </c>
      <c r="EH203" s="56" t="str">
        <f t="shared" si="52"/>
        <v>WI</v>
      </c>
      <c r="EI203" s="112">
        <f>IF(COUNT(I203:Y203)&lt;5,DZ203,SUMPRODUCT(LARGE(I203:Y203,{1,2,3,4,5}))/5)</f>
        <v>46.368797610289974</v>
      </c>
      <c r="EJ203" s="112">
        <f>IF(COUNT(I203:AX203)&lt;5,DZ203,SUMPRODUCT(LARGE(I203:AX203,{1,2,3,4,5}))/5)</f>
        <v>46.368797610289974</v>
      </c>
      <c r="EK203" s="29">
        <f>IF(COUNT(I203:DY203)&lt;5,AVERAGE(I203:DY203),SUMPRODUCT(LARGE(I203:DY203,{1,2,3,4,5}))/5)</f>
        <v>46.368797610289974</v>
      </c>
      <c r="EL203" s="112">
        <f t="shared" si="53"/>
        <v>45.620619451288839</v>
      </c>
      <c r="EM203" s="163" t="str">
        <f t="shared" si="54"/>
        <v>Houston, Michael</v>
      </c>
      <c r="EQ203"/>
    </row>
    <row r="204" spans="1:147" x14ac:dyDescent="0.25">
      <c r="A204" s="59">
        <f t="shared" si="56"/>
        <v>201</v>
      </c>
      <c r="B204" s="33" t="s">
        <v>795</v>
      </c>
      <c r="C204" s="5" t="s">
        <v>6</v>
      </c>
      <c r="D204" s="6" t="s">
        <v>63</v>
      </c>
      <c r="E204" s="6">
        <v>92.115803380127957</v>
      </c>
      <c r="F204" s="6">
        <v>92.674366002181756</v>
      </c>
      <c r="G204" s="5">
        <f t="shared" si="43"/>
        <v>10</v>
      </c>
      <c r="H204" s="37">
        <v>91.99586802493603</v>
      </c>
      <c r="I204" s="36"/>
      <c r="J204" s="7"/>
      <c r="K204" s="7"/>
      <c r="L204" s="7"/>
      <c r="M204" s="7"/>
      <c r="N204" s="7"/>
      <c r="O204" s="7"/>
      <c r="P204" s="7"/>
      <c r="Q204" s="7">
        <f>(INDEX('Race 9'!$E$8:$E$200,(MATCH($B204,'Race 9'!$B$8:$B$200,0)),1))*100</f>
        <v>92.345062602921558</v>
      </c>
      <c r="R204" s="7"/>
      <c r="S204" s="7">
        <f>(INDEX('Race 11'!$E$8:$E$200,(MATCH($B204,'Race 11'!$B$8:$B$200,0)),1))*100</f>
        <v>92.910120972812464</v>
      </c>
      <c r="T204" s="7">
        <f>(INDEX('Race 12'!$E$8:$E$200,(MATCH($B204,'Race 12'!$B$8:$B$200,0)),1))*100</f>
        <v>88.760615453276216</v>
      </c>
      <c r="U204" s="7"/>
      <c r="V204" s="7">
        <f>(INDEX('Race 14'!$E$8:$E$200,(MATCH($B204,'Race 14'!$B$8:$B$200,0)),1))*100</f>
        <v>94.447414491501604</v>
      </c>
      <c r="W204" s="7"/>
      <c r="X204" s="7"/>
      <c r="Y204" s="227"/>
      <c r="Z204" s="228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4"/>
      <c r="AP204" s="7"/>
      <c r="AQ204" s="74">
        <f>(INDEX('Race 35'!$E$8:$E$200,(MATCH($B204,'Race 35'!$B$8:$B$200,0)),1))*100</f>
        <v>94.908616490396952</v>
      </c>
      <c r="AR204" s="70"/>
      <c r="AS204" s="7"/>
      <c r="AT204" s="70"/>
      <c r="AU204" s="7"/>
      <c r="AV204" s="70"/>
      <c r="AW204" s="7"/>
      <c r="AX204" s="8"/>
      <c r="AY204" s="36"/>
      <c r="AZ204" s="7"/>
      <c r="BA204" s="7"/>
      <c r="BB204" s="7"/>
      <c r="BC204" s="7"/>
      <c r="BD204" s="7"/>
      <c r="BE204" s="7"/>
      <c r="BF204" s="7"/>
      <c r="BG204" s="7"/>
      <c r="BH204" s="74"/>
      <c r="BI204" s="7"/>
      <c r="BJ204" s="7"/>
      <c r="BK204" s="7"/>
      <c r="BL204" s="7"/>
      <c r="BM204" s="7"/>
      <c r="BN204" s="103"/>
      <c r="BO204" s="14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14"/>
      <c r="CA204" s="7"/>
      <c r="CB204" s="7"/>
      <c r="CC204" s="7"/>
      <c r="CD204" s="7"/>
      <c r="CE204" s="7"/>
      <c r="CF204" s="14"/>
      <c r="CG204" s="7">
        <f>(INDEX('Race 77'!$E$8:$E$200,(MATCH($B204,'Race 77'!$B$8:$B$200,0)),1))*100</f>
        <v>94.001613796733707</v>
      </c>
      <c r="CH204" s="7"/>
      <c r="CI204" s="7">
        <f>(INDEX('Race 79'!$E$8:$E$200,(MATCH($B204,'Race 79'!$B$8:$B$200,0)),1))*100</f>
        <v>91.973023043696003</v>
      </c>
      <c r="CJ204" s="7"/>
      <c r="CK204" s="101"/>
      <c r="CL204" s="74"/>
      <c r="CM204" s="74"/>
      <c r="CN204" s="74">
        <f>(INDEX('Race 84'!$E$8:$E$200,(MATCH($B204,'Race 84'!$B$8:$B$200,0)),1))*100</f>
        <v>95.753849156521824</v>
      </c>
      <c r="CO204" s="70"/>
      <c r="CP204" s="74">
        <f>(INDEX('Race 86'!$E$8:$E$200,(MATCH($B204,'Race 86'!$B$8:$B$200,0)),1))*100</f>
        <v>99.130006805696922</v>
      </c>
      <c r="CQ204" s="7"/>
      <c r="CR204" s="74"/>
      <c r="CS204" s="7"/>
      <c r="CT204" s="74"/>
      <c r="CU204" s="74"/>
      <c r="CV204" s="7">
        <f>(INDEX('Race 92'!$E$8:$E$200,(MATCH($B204,'Race 92'!$B$8:$B$200,0)),1))*100</f>
        <v>94.394570777005768</v>
      </c>
      <c r="CW204" s="7"/>
      <c r="CX204" s="7"/>
      <c r="CY204" s="7"/>
      <c r="CZ204" s="7"/>
      <c r="DA204" s="7"/>
      <c r="DB204" s="7"/>
      <c r="DC204" s="7"/>
      <c r="DD204" s="7"/>
      <c r="DE204" s="74"/>
      <c r="DF204" s="74"/>
      <c r="DG204" s="74"/>
      <c r="DH204" s="74"/>
      <c r="DI204" s="74"/>
      <c r="DJ204" s="7"/>
      <c r="DK204" s="74"/>
      <c r="DL204" s="7"/>
      <c r="DM204" s="74"/>
      <c r="DN204" s="7"/>
      <c r="DO204" s="74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8">
        <f t="shared" si="44"/>
        <v>93.862489359056298</v>
      </c>
      <c r="EA204" s="3" t="str">
        <f t="shared" si="45"/>
        <v>Howe, Alexander</v>
      </c>
      <c r="EB204" s="2">
        <f t="shared" si="46"/>
        <v>1</v>
      </c>
      <c r="EC204" s="112">
        <f t="shared" si="55"/>
        <v>91.99586802493603</v>
      </c>
      <c r="ED204" s="29">
        <f t="shared" si="48"/>
        <v>94.182301794790064</v>
      </c>
      <c r="EE204" s="2">
        <f t="shared" si="49"/>
        <v>4</v>
      </c>
      <c r="EF204" s="46">
        <f t="shared" si="50"/>
        <v>5</v>
      </c>
      <c r="EG204" s="46">
        <f t="shared" si="51"/>
        <v>10</v>
      </c>
      <c r="EH204" s="29" t="str">
        <f t="shared" si="52"/>
        <v>VT</v>
      </c>
      <c r="EI204" s="29">
        <f>IF(COUNT(I204:Y204)&lt;5,DZ204,SUMPRODUCT(LARGE(I204:Y204,{1,2,3,4,5}))/5)</f>
        <v>93.862489359056298</v>
      </c>
      <c r="EJ204" s="29">
        <f>IF(COUNT(I204:AX204)&lt;5,DZ204,SUMPRODUCT(LARGE(I204:AX204,{1,2,3,4,5}))/5)</f>
        <v>92.674366002181756</v>
      </c>
      <c r="EK204" s="29">
        <f>IF(COUNT(I204:DY204)&lt;5,AVERAGE(I204:DY204),SUMPRODUCT(LARGE(I204:DY204,{1,2,3,4,5}))/5)</f>
        <v>95.726891544224614</v>
      </c>
      <c r="EL204" s="29">
        <f t="shared" si="53"/>
        <v>94.182301794790064</v>
      </c>
      <c r="EM204" s="116" t="str">
        <f t="shared" si="54"/>
        <v>Howe, Alexander</v>
      </c>
      <c r="EQ204"/>
    </row>
    <row r="205" spans="1:147" x14ac:dyDescent="0.25">
      <c r="A205" s="59">
        <f t="shared" si="56"/>
        <v>202</v>
      </c>
      <c r="B205" s="32" t="s">
        <v>768</v>
      </c>
      <c r="C205" s="5" t="s">
        <v>6</v>
      </c>
      <c r="D205" s="6" t="s">
        <v>62</v>
      </c>
      <c r="E205" s="6">
        <v>66.87248684387076</v>
      </c>
      <c r="F205" s="6">
        <v>65.172236219457318</v>
      </c>
      <c r="G205" s="5">
        <f t="shared" si="43"/>
        <v>4</v>
      </c>
      <c r="H205" s="37">
        <v>66.87248684387076</v>
      </c>
      <c r="I205" s="36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227"/>
      <c r="Z205" s="228"/>
      <c r="AA205" s="7"/>
      <c r="AB205" s="7"/>
      <c r="AC205" s="7"/>
      <c r="AD205" s="7"/>
      <c r="AE205" s="7"/>
      <c r="AF205" s="7"/>
      <c r="AG205" s="74">
        <f>(INDEX('Race 25'!$E$8:$E$200,(MATCH($B205,'Race 25'!$B$8:$B$200,0)),1))*100</f>
        <v>65.649685863538394</v>
      </c>
      <c r="AH205" s="7"/>
      <c r="AI205" s="7"/>
      <c r="AJ205" s="7"/>
      <c r="AK205" s="7"/>
      <c r="AL205" s="74">
        <f>(INDEX('Race 30'!$E$8:$E$200,(MATCH($B205,'Race 30'!$B$8:$B$200,0)),1))*100</f>
        <v>64.694786575376256</v>
      </c>
      <c r="AM205" s="7"/>
      <c r="AN205" s="7"/>
      <c r="AO205" s="7"/>
      <c r="AP205" s="7"/>
      <c r="AQ205" s="74"/>
      <c r="AR205" s="70"/>
      <c r="AS205" s="7"/>
      <c r="AT205" s="70"/>
      <c r="AU205" s="7"/>
      <c r="AV205" s="70"/>
      <c r="AW205" s="7"/>
      <c r="AX205" s="8"/>
      <c r="AY205" s="36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103"/>
      <c r="BO205" s="14"/>
      <c r="BP205" s="7"/>
      <c r="BQ205" s="7"/>
      <c r="BR205" s="7"/>
      <c r="BS205" s="7">
        <f>(INDEX('Race 63'!$E$8:$E$200,(MATCH($B205,'Race 63'!$B$8:$B$200,0)),1))*100</f>
        <v>71.087663082862278</v>
      </c>
      <c r="BT205" s="7">
        <f>(INDEX('Race 64'!$E$8:$E$200,(MATCH($B205,'Race 64'!$B$8:$B$200,0)),1))*100</f>
        <v>71.106514111642312</v>
      </c>
      <c r="BU205" s="7"/>
      <c r="BV205" s="7"/>
      <c r="BW205" s="7"/>
      <c r="BX205" s="7"/>
      <c r="BY205" s="7"/>
      <c r="BZ205" s="14"/>
      <c r="CA205" s="7"/>
      <c r="CB205" s="7"/>
      <c r="CC205" s="7"/>
      <c r="CD205" s="7"/>
      <c r="CE205" s="7"/>
      <c r="CF205" s="74"/>
      <c r="CG205" s="7"/>
      <c r="CH205" s="7"/>
      <c r="CI205" s="7"/>
      <c r="CJ205" s="74"/>
      <c r="CK205" s="101"/>
      <c r="CL205" s="74"/>
      <c r="CM205" s="74"/>
      <c r="CN205" s="74"/>
      <c r="CO205" s="70"/>
      <c r="CP205" s="74"/>
      <c r="CQ205" s="7"/>
      <c r="CR205" s="74"/>
      <c r="CS205" s="74"/>
      <c r="CT205" s="74"/>
      <c r="CU205" s="74"/>
      <c r="CV205" s="7"/>
      <c r="CW205" s="7"/>
      <c r="CX205" s="7"/>
      <c r="CY205" s="7"/>
      <c r="CZ205" s="7"/>
      <c r="DA205" s="7"/>
      <c r="DB205" s="7"/>
      <c r="DC205" s="7"/>
      <c r="DD205" s="7"/>
      <c r="DE205" s="74"/>
      <c r="DF205" s="74"/>
      <c r="DG205" s="74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8">
        <f t="shared" si="44"/>
        <v>68.134662408354799</v>
      </c>
      <c r="EA205" s="3" t="str">
        <f t="shared" si="45"/>
        <v>Howe, Jim</v>
      </c>
      <c r="EB205" s="2">
        <f t="shared" si="46"/>
        <v>1</v>
      </c>
      <c r="EC205" s="112">
        <f t="shared" si="55"/>
        <v>66.87248684387076</v>
      </c>
      <c r="ED205" s="29">
        <f t="shared" si="48"/>
        <v>67.035283754776458</v>
      </c>
      <c r="EE205" s="2">
        <f t="shared" si="49"/>
        <v>1</v>
      </c>
      <c r="EF205" s="46">
        <f t="shared" si="50"/>
        <v>2</v>
      </c>
      <c r="EG205" s="46">
        <f t="shared" si="51"/>
        <v>4</v>
      </c>
      <c r="EH205" s="2" t="str">
        <f t="shared" si="52"/>
        <v>CO</v>
      </c>
      <c r="EI205" s="29">
        <f>IF(COUNT(I205:Y205)&lt;5,DZ205,SUMPRODUCT(LARGE(I205:Y205,{1,2,3,4,5}))/5)</f>
        <v>68.134662408354799</v>
      </c>
      <c r="EJ205" s="29">
        <f>IF(COUNT(I205:AX205)&lt;5,DZ205,SUMPRODUCT(LARGE(I205:AX205,{1,2,3,4,5}))/5)</f>
        <v>68.134662408354799</v>
      </c>
      <c r="EK205" s="29">
        <f>IF(COUNT(I205:DY205)&lt;5,AVERAGE(I205:DY205),SUMPRODUCT(LARGE(I205:DY205,{1,2,3,4,5}))/5)</f>
        <v>68.134662408354799</v>
      </c>
      <c r="EL205" s="29">
        <f t="shared" si="53"/>
        <v>67.035283754776458</v>
      </c>
      <c r="EM205" s="116" t="str">
        <f t="shared" si="54"/>
        <v>Howe, Jim</v>
      </c>
      <c r="EQ205"/>
    </row>
    <row r="206" spans="1:147" x14ac:dyDescent="0.25">
      <c r="A206" s="59">
        <f t="shared" si="56"/>
        <v>203</v>
      </c>
      <c r="B206" s="32" t="s">
        <v>1197</v>
      </c>
      <c r="C206" s="5" t="s">
        <v>6</v>
      </c>
      <c r="D206" s="6" t="s">
        <v>62</v>
      </c>
      <c r="E206" s="6">
        <v>0</v>
      </c>
      <c r="F206" s="6">
        <v>0</v>
      </c>
      <c r="G206" s="5">
        <f t="shared" si="43"/>
        <v>2</v>
      </c>
      <c r="H206" s="37">
        <v>0</v>
      </c>
      <c r="I206" s="10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227"/>
      <c r="Z206" s="228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4"/>
      <c r="AP206" s="7"/>
      <c r="AQ206" s="74"/>
      <c r="AR206" s="70"/>
      <c r="AS206" s="7"/>
      <c r="AT206" s="70"/>
      <c r="AU206" s="7"/>
      <c r="AV206" s="70"/>
      <c r="AW206" s="7"/>
      <c r="AX206" s="8"/>
      <c r="AY206" s="36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103"/>
      <c r="BO206" s="14"/>
      <c r="BP206" s="7"/>
      <c r="BQ206" s="7"/>
      <c r="BR206" s="7"/>
      <c r="BS206" s="7">
        <f>(INDEX('Race 63'!$E$8:$E$200,(MATCH($B206,'Race 63'!$B$8:$B$200,0)),1))*100</f>
        <v>73.858189876015658</v>
      </c>
      <c r="BT206" s="7">
        <f>(INDEX('Race 64'!$E$8:$E$200,(MATCH($B206,'Race 64'!$B$8:$B$200,0)),1))*100</f>
        <v>65.767658679167511</v>
      </c>
      <c r="BU206" s="7"/>
      <c r="BV206" s="7"/>
      <c r="BW206" s="7"/>
      <c r="BX206" s="7"/>
      <c r="BY206" s="7"/>
      <c r="BZ206" s="14"/>
      <c r="CA206" s="7"/>
      <c r="CB206" s="7"/>
      <c r="CC206" s="7"/>
      <c r="CD206" s="7"/>
      <c r="CE206" s="7"/>
      <c r="CF206" s="74"/>
      <c r="CG206" s="7"/>
      <c r="CH206" s="7"/>
      <c r="CI206" s="7"/>
      <c r="CJ206" s="7"/>
      <c r="CK206" s="101"/>
      <c r="CL206" s="74"/>
      <c r="CM206" s="74"/>
      <c r="CN206" s="74"/>
      <c r="CO206" s="70"/>
      <c r="CP206" s="74"/>
      <c r="CQ206" s="7"/>
      <c r="CR206" s="74"/>
      <c r="CS206" s="74"/>
      <c r="CT206" s="74"/>
      <c r="CU206" s="74"/>
      <c r="CV206" s="7"/>
      <c r="CW206" s="7"/>
      <c r="CX206" s="7"/>
      <c r="CY206" s="7"/>
      <c r="CZ206" s="7"/>
      <c r="DA206" s="7"/>
      <c r="DB206" s="7"/>
      <c r="DC206" s="7"/>
      <c r="DD206" s="7"/>
      <c r="DE206" s="74"/>
      <c r="DF206" s="74"/>
      <c r="DG206" s="74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8">
        <f t="shared" si="44"/>
        <v>69.812924277591577</v>
      </c>
      <c r="EA206" s="3" t="str">
        <f t="shared" si="45"/>
        <v>Hudon, Andrew</v>
      </c>
      <c r="EB206" s="2">
        <f t="shared" si="46"/>
        <v>1</v>
      </c>
      <c r="EC206" s="112">
        <f t="shared" si="55"/>
        <v>0</v>
      </c>
      <c r="ED206" s="29">
        <f t="shared" si="48"/>
        <v>68.686466231396665</v>
      </c>
      <c r="EE206" s="2">
        <f t="shared" si="49"/>
        <v>0</v>
      </c>
      <c r="EF206" s="46">
        <f t="shared" si="50"/>
        <v>0</v>
      </c>
      <c r="EG206" s="46">
        <f t="shared" si="51"/>
        <v>2</v>
      </c>
      <c r="EH206" s="2" t="str">
        <f t="shared" si="52"/>
        <v>CO</v>
      </c>
      <c r="EI206" s="29">
        <f>IF(COUNT(I206:AD206)&lt;5,DZ206,SUMPRODUCT(LARGE(I206:AD206,{1,2,3,4,5}))/5)</f>
        <v>69.812924277591577</v>
      </c>
      <c r="EJ206" s="29">
        <f>IF(COUNT(I206:BE206)&lt;5,DZ206,SUMPRODUCT(LARGE(I206:BE206,{1,2,3,4,5}))/5)</f>
        <v>69.812924277591577</v>
      </c>
      <c r="EK206" s="29">
        <f>IF(COUNT(I206:DY206)&lt;5,AVERAGE(I206:DY206),SUMPRODUCT(LARGE(I206:DY206,{1,2,3,4,5}))/5)</f>
        <v>69.812924277591577</v>
      </c>
      <c r="EL206" s="29">
        <f t="shared" si="53"/>
        <v>68.686466231396665</v>
      </c>
      <c r="EM206" s="116" t="str">
        <f t="shared" si="54"/>
        <v>Hudon, Andrew</v>
      </c>
      <c r="EQ206"/>
    </row>
    <row r="207" spans="1:147" x14ac:dyDescent="0.25">
      <c r="A207" s="59">
        <f t="shared" si="56"/>
        <v>204</v>
      </c>
      <c r="B207" s="32" t="s">
        <v>155</v>
      </c>
      <c r="C207" s="5" t="s">
        <v>6</v>
      </c>
      <c r="D207" s="6" t="s">
        <v>87</v>
      </c>
      <c r="E207" s="6">
        <v>66.28283754655763</v>
      </c>
      <c r="F207" s="6">
        <v>66.28283754655763</v>
      </c>
      <c r="G207" s="5">
        <f t="shared" si="43"/>
        <v>2</v>
      </c>
      <c r="H207" s="37">
        <v>66.28283754655763</v>
      </c>
      <c r="I207" s="107"/>
      <c r="J207" s="7"/>
      <c r="K207" s="74"/>
      <c r="L207" s="7"/>
      <c r="M207" s="74"/>
      <c r="N207" s="74"/>
      <c r="O207" s="7"/>
      <c r="P207" s="74"/>
      <c r="Q207" s="74"/>
      <c r="R207" s="74"/>
      <c r="S207" s="74"/>
      <c r="T207" s="7"/>
      <c r="U207" s="7"/>
      <c r="V207" s="74"/>
      <c r="W207" s="7"/>
      <c r="X207" s="74"/>
      <c r="Y207" s="227"/>
      <c r="Z207" s="228"/>
      <c r="AA207" s="74"/>
      <c r="AB207" s="7"/>
      <c r="AC207" s="74"/>
      <c r="AD207" s="74"/>
      <c r="AE207" s="7"/>
      <c r="AF207" s="74"/>
      <c r="AG207" s="74"/>
      <c r="AH207" s="7"/>
      <c r="AI207" s="7"/>
      <c r="AJ207" s="7"/>
      <c r="AK207" s="7"/>
      <c r="AL207" s="7"/>
      <c r="AM207" s="7"/>
      <c r="AN207" s="7"/>
      <c r="AO207" s="74"/>
      <c r="AP207" s="7"/>
      <c r="AQ207" s="74"/>
      <c r="AR207" s="101"/>
      <c r="AS207" s="7"/>
      <c r="AT207" s="101"/>
      <c r="AU207" s="7"/>
      <c r="AV207" s="101"/>
      <c r="AW207" s="7"/>
      <c r="AX207" s="8"/>
      <c r="AY207" s="36"/>
      <c r="AZ207" s="7"/>
      <c r="BA207" s="74"/>
      <c r="BB207" s="74"/>
      <c r="BC207" s="74"/>
      <c r="BD207" s="7"/>
      <c r="BE207" s="7"/>
      <c r="BF207" s="74"/>
      <c r="BG207" s="74"/>
      <c r="BH207" s="74"/>
      <c r="BI207" s="74"/>
      <c r="BJ207" s="74"/>
      <c r="BK207" s="7"/>
      <c r="BL207" s="74"/>
      <c r="BM207" s="7"/>
      <c r="BN207" s="103"/>
      <c r="BO207" s="103"/>
      <c r="BP207" s="7"/>
      <c r="BQ207" s="7"/>
      <c r="BR207" s="101"/>
      <c r="BS207" s="7"/>
      <c r="BT207" s="7"/>
      <c r="BU207" s="101"/>
      <c r="BV207" s="101"/>
      <c r="BW207" s="101"/>
      <c r="BX207" s="74"/>
      <c r="BY207" s="74"/>
      <c r="BZ207" s="103"/>
      <c r="CA207" s="7"/>
      <c r="CB207" s="74"/>
      <c r="CC207" s="74"/>
      <c r="CD207" s="74"/>
      <c r="CE207" s="7"/>
      <c r="CF207" s="74"/>
      <c r="CG207" s="7"/>
      <c r="CH207" s="7"/>
      <c r="CI207" s="74"/>
      <c r="CJ207" s="74"/>
      <c r="CK207" s="101"/>
      <c r="CL207" s="74"/>
      <c r="CM207" s="74"/>
      <c r="CN207" s="74"/>
      <c r="CO207" s="101"/>
      <c r="CP207" s="7"/>
      <c r="CQ207" s="74"/>
      <c r="CR207" s="74">
        <f>(INDEX('Race 88'!$E$8:$E$200,(MATCH($B207,'Race 88'!$B$8:$B$200,0)),1))*100</f>
        <v>66.681356470724623</v>
      </c>
      <c r="CS207" s="74">
        <f>(INDEX('Race 89'!$E$8:$E$200,(MATCH($B207,'Race 89'!$B$8:$B$200,0)),1))*100</f>
        <v>64.015864242139159</v>
      </c>
      <c r="CT207" s="7"/>
      <c r="CU207" s="74"/>
      <c r="CV207" s="7"/>
      <c r="CW207" s="74"/>
      <c r="CX207" s="7"/>
      <c r="CY207" s="7"/>
      <c r="CZ207" s="74"/>
      <c r="DA207" s="74"/>
      <c r="DB207" s="74"/>
      <c r="DC207" s="74"/>
      <c r="DD207" s="74"/>
      <c r="DE207" s="74"/>
      <c r="DF207" s="74"/>
      <c r="DG207" s="74"/>
      <c r="DH207" s="74"/>
      <c r="DI207" s="74"/>
      <c r="DJ207" s="74"/>
      <c r="DK207" s="74"/>
      <c r="DL207" s="74"/>
      <c r="DM207" s="74"/>
      <c r="DN207" s="74"/>
      <c r="DO207" s="74"/>
      <c r="DP207" s="7"/>
      <c r="DQ207" s="74"/>
      <c r="DR207" s="7"/>
      <c r="DS207" s="7"/>
      <c r="DT207" s="74"/>
      <c r="DU207" s="74"/>
      <c r="DV207" s="74"/>
      <c r="DW207" s="74"/>
      <c r="DX207" s="74"/>
      <c r="DY207" s="74"/>
      <c r="DZ207" s="8">
        <f t="shared" si="44"/>
        <v>65.348610356431891</v>
      </c>
      <c r="EA207" s="3" t="str">
        <f t="shared" si="45"/>
        <v>Hulbert, Ted</v>
      </c>
      <c r="EB207" s="2">
        <f t="shared" si="46"/>
        <v>1</v>
      </c>
      <c r="EC207" s="112">
        <f t="shared" si="55"/>
        <v>66.28283754655763</v>
      </c>
      <c r="ED207" s="29">
        <f t="shared" si="48"/>
        <v>64.294185710775182</v>
      </c>
      <c r="EE207" s="2">
        <f t="shared" si="49"/>
        <v>0</v>
      </c>
      <c r="EF207" s="46">
        <f t="shared" si="50"/>
        <v>0</v>
      </c>
      <c r="EG207" s="46">
        <f t="shared" si="51"/>
        <v>2</v>
      </c>
      <c r="EH207" s="29" t="str">
        <f t="shared" si="52"/>
        <v>CA</v>
      </c>
      <c r="EI207" s="29">
        <f>IF(COUNT(I207:Y207)&lt;5,DZ207,SUMPRODUCT(LARGE(I207:Y207,{1,2,3,4,5}))/5)</f>
        <v>65.348610356431891</v>
      </c>
      <c r="EJ207" s="29">
        <f>IF(COUNT(I207:AX207)&lt;5,DZ207,SUMPRODUCT(LARGE(I207:AX207,{1,2,3,4,5}))/5)</f>
        <v>65.348610356431891</v>
      </c>
      <c r="EK207" s="29">
        <f>IF(COUNT(I207:DY207)&lt;5,AVERAGE(I207:DY207),SUMPRODUCT(LARGE(I207:DY207,{1,2,3,4,5}))/5)</f>
        <v>65.348610356431891</v>
      </c>
      <c r="EL207" s="29">
        <f t="shared" si="53"/>
        <v>64.294185710775182</v>
      </c>
      <c r="EM207" s="116" t="str">
        <f t="shared" si="54"/>
        <v>Hulbert, Ted</v>
      </c>
      <c r="EQ207"/>
    </row>
    <row r="208" spans="1:147" x14ac:dyDescent="0.25">
      <c r="A208" s="59">
        <f t="shared" si="56"/>
        <v>205</v>
      </c>
      <c r="B208" s="32" t="s">
        <v>897</v>
      </c>
      <c r="C208" s="5" t="s">
        <v>6</v>
      </c>
      <c r="D208" s="6" t="s">
        <v>69</v>
      </c>
      <c r="E208" s="6">
        <v>57.227419983761088</v>
      </c>
      <c r="F208" s="6">
        <v>57.227419983761088</v>
      </c>
      <c r="G208" s="5">
        <f t="shared" si="43"/>
        <v>0</v>
      </c>
      <c r="H208" s="37">
        <v>57.227419983761088</v>
      </c>
      <c r="I208" s="36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227"/>
      <c r="Z208" s="228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4"/>
      <c r="AP208" s="7"/>
      <c r="AQ208" s="74"/>
      <c r="AR208" s="70"/>
      <c r="AS208" s="7"/>
      <c r="AT208" s="70"/>
      <c r="AU208" s="7"/>
      <c r="AV208" s="70"/>
      <c r="AW208" s="7"/>
      <c r="AX208" s="8"/>
      <c r="AY208" s="36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103"/>
      <c r="BO208" s="14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14"/>
      <c r="CA208" s="7"/>
      <c r="CB208" s="7"/>
      <c r="CC208" s="7"/>
      <c r="CD208" s="7"/>
      <c r="CE208" s="74"/>
      <c r="CF208" s="74"/>
      <c r="CG208" s="7"/>
      <c r="CH208" s="7"/>
      <c r="CI208" s="7"/>
      <c r="CJ208" s="7"/>
      <c r="CK208" s="101"/>
      <c r="CL208" s="74"/>
      <c r="CM208" s="74"/>
      <c r="CN208" s="74"/>
      <c r="CO208" s="70"/>
      <c r="CP208" s="74"/>
      <c r="CQ208" s="7"/>
      <c r="CR208" s="74"/>
      <c r="CS208" s="74"/>
      <c r="CT208" s="74"/>
      <c r="CU208" s="74"/>
      <c r="CV208" s="7"/>
      <c r="CW208" s="7"/>
      <c r="CX208" s="7"/>
      <c r="CY208" s="7"/>
      <c r="CZ208" s="7"/>
      <c r="DA208" s="7"/>
      <c r="DB208" s="7"/>
      <c r="DC208" s="7"/>
      <c r="DD208" s="7"/>
      <c r="DE208" s="74"/>
      <c r="DF208" s="7"/>
      <c r="DG208" s="7"/>
      <c r="DH208" s="7"/>
      <c r="DI208" s="7"/>
      <c r="DJ208" s="7"/>
      <c r="DK208" s="7"/>
      <c r="DL208" s="7"/>
      <c r="DM208" s="7"/>
      <c r="DN208" s="14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8">
        <f t="shared" si="44"/>
        <v>57.227419983761088</v>
      </c>
      <c r="EA208" s="3" t="str">
        <f t="shared" si="45"/>
        <v>Hurst, Christopher</v>
      </c>
      <c r="EB208" s="2">
        <f t="shared" si="46"/>
        <v>0</v>
      </c>
      <c r="EC208" s="112">
        <f t="shared" si="55"/>
        <v>57.227419983761088</v>
      </c>
      <c r="ED208" s="29">
        <f t="shared" si="48"/>
        <v>0</v>
      </c>
      <c r="EE208" s="2">
        <f t="shared" si="49"/>
        <v>0</v>
      </c>
      <c r="EF208" s="46">
        <f t="shared" si="50"/>
        <v>0</v>
      </c>
      <c r="EG208" s="46">
        <f t="shared" si="51"/>
        <v>0</v>
      </c>
      <c r="EH208" s="2" t="str">
        <f t="shared" si="52"/>
        <v>WA</v>
      </c>
      <c r="EI208" s="29">
        <f>IF(COUNT(I208:Y208)&lt;5,DZ208,SUMPRODUCT(LARGE(I208:Y208,{1,2,3,4,5}))/5)</f>
        <v>57.227419983761088</v>
      </c>
      <c r="EJ208" s="29">
        <f>IF(COUNT(I208:AX208)&lt;5,DZ208,SUMPRODUCT(LARGE(I208:AX208,{1,2,3,4,5}))/5)</f>
        <v>57.227419983761088</v>
      </c>
      <c r="EK208" s="112">
        <f>IF(EG208&lt;0,AVERAGE(I208:DY208),0)</f>
        <v>0</v>
      </c>
      <c r="EL208" s="29">
        <f t="shared" si="53"/>
        <v>0</v>
      </c>
      <c r="EM208" s="116" t="str">
        <f t="shared" si="54"/>
        <v>Hurst, Christopher</v>
      </c>
      <c r="EQ208"/>
    </row>
    <row r="209" spans="1:147" x14ac:dyDescent="0.25">
      <c r="A209" s="59">
        <f t="shared" si="56"/>
        <v>206</v>
      </c>
      <c r="B209" s="32" t="s">
        <v>835</v>
      </c>
      <c r="C209" s="5" t="s">
        <v>6</v>
      </c>
      <c r="D209" s="6" t="s">
        <v>62</v>
      </c>
      <c r="E209" s="6">
        <v>44.08554723495277</v>
      </c>
      <c r="F209" s="6">
        <v>44.08554723495277</v>
      </c>
      <c r="G209" s="5">
        <f t="shared" si="43"/>
        <v>0</v>
      </c>
      <c r="H209" s="37">
        <v>44.08554723495277</v>
      </c>
      <c r="I209" s="36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227"/>
      <c r="Z209" s="228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4"/>
      <c r="AP209" s="7"/>
      <c r="AQ209" s="74"/>
      <c r="AR209" s="70"/>
      <c r="AS209" s="7"/>
      <c r="AT209" s="70"/>
      <c r="AU209" s="7"/>
      <c r="AV209" s="70"/>
      <c r="AW209" s="7"/>
      <c r="AX209" s="8"/>
      <c r="AY209" s="36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103"/>
      <c r="BO209" s="14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14"/>
      <c r="CA209" s="7"/>
      <c r="CB209" s="7"/>
      <c r="CC209" s="7"/>
      <c r="CD209" s="7"/>
      <c r="CE209" s="74"/>
      <c r="CF209" s="74"/>
      <c r="CG209" s="7"/>
      <c r="CH209" s="7"/>
      <c r="CI209" s="7"/>
      <c r="CJ209" s="7"/>
      <c r="CK209" s="101"/>
      <c r="CL209" s="74"/>
      <c r="CM209" s="74"/>
      <c r="CN209" s="74"/>
      <c r="CO209" s="70"/>
      <c r="CP209" s="74"/>
      <c r="CQ209" s="7"/>
      <c r="CR209" s="74"/>
      <c r="CS209" s="74"/>
      <c r="CT209" s="74"/>
      <c r="CU209" s="74"/>
      <c r="CV209" s="7"/>
      <c r="CW209" s="7"/>
      <c r="CX209" s="7"/>
      <c r="CY209" s="7"/>
      <c r="CZ209" s="7"/>
      <c r="DA209" s="7"/>
      <c r="DB209" s="7"/>
      <c r="DC209" s="7"/>
      <c r="DD209" s="7"/>
      <c r="DE209" s="74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8">
        <f t="shared" si="44"/>
        <v>44.08554723495277</v>
      </c>
      <c r="EA209" s="3" t="str">
        <f t="shared" si="45"/>
        <v>Hybertson, Brooks</v>
      </c>
      <c r="EB209" s="2">
        <f t="shared" si="46"/>
        <v>0</v>
      </c>
      <c r="EC209" s="112">
        <f t="shared" si="55"/>
        <v>44.08554723495277</v>
      </c>
      <c r="ED209" s="29">
        <f t="shared" si="48"/>
        <v>0</v>
      </c>
      <c r="EE209" s="2">
        <f t="shared" si="49"/>
        <v>0</v>
      </c>
      <c r="EF209" s="46">
        <f t="shared" si="50"/>
        <v>0</v>
      </c>
      <c r="EG209" s="46">
        <f t="shared" si="51"/>
        <v>0</v>
      </c>
      <c r="EH209" s="29" t="str">
        <f t="shared" si="52"/>
        <v>CO</v>
      </c>
      <c r="EI209" s="29">
        <f>IF(COUNT(I209:Y209)&lt;5,DZ209,SUMPRODUCT(LARGE(I209:Y209,{1,2,3,4,5}))/5)</f>
        <v>44.08554723495277</v>
      </c>
      <c r="EJ209" s="29">
        <f>IF(COUNT(I209:AX209)&lt;5,DZ209,SUMPRODUCT(LARGE(I209:AX209,{1,2,3,4,5}))/5)</f>
        <v>44.08554723495277</v>
      </c>
      <c r="EK209" s="112">
        <f>IF(EG209&lt;0,AVERAGE(I209:DY209),0)</f>
        <v>0</v>
      </c>
      <c r="EL209" s="29">
        <f t="shared" si="53"/>
        <v>0</v>
      </c>
      <c r="EM209" s="116" t="str">
        <f t="shared" si="54"/>
        <v>Hybertson, Brooks</v>
      </c>
      <c r="EQ209"/>
    </row>
    <row r="210" spans="1:147" x14ac:dyDescent="0.25">
      <c r="A210" s="59">
        <f t="shared" si="56"/>
        <v>207</v>
      </c>
      <c r="B210" s="4" t="s">
        <v>160</v>
      </c>
      <c r="C210" s="5" t="s">
        <v>6</v>
      </c>
      <c r="D210" s="5" t="s">
        <v>57</v>
      </c>
      <c r="E210" s="6">
        <v>42.267208176384649</v>
      </c>
      <c r="F210" s="6">
        <v>40.49298808723082</v>
      </c>
      <c r="G210" s="5">
        <f t="shared" si="43"/>
        <v>3</v>
      </c>
      <c r="H210" s="37">
        <v>42.267208176384649</v>
      </c>
      <c r="I210" s="36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227"/>
      <c r="Z210" s="228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4"/>
      <c r="AP210" s="7"/>
      <c r="AQ210" s="74"/>
      <c r="AR210" s="7"/>
      <c r="AS210" s="74">
        <f>(INDEX('Race 37'!$E$8:$E$200,(MATCH($B210,'Race 37'!$B$8:$B$200,0)),1))*100</f>
        <v>40.49298808723082</v>
      </c>
      <c r="AT210" s="70"/>
      <c r="AU210" s="7"/>
      <c r="AV210" s="70"/>
      <c r="AW210" s="7"/>
      <c r="AX210" s="183"/>
      <c r="AY210" s="107"/>
      <c r="AZ210" s="7"/>
      <c r="BA210" s="7"/>
      <c r="BB210" s="7">
        <f>(INDEX('Race 46'!$E$8:$E$200,(MATCH($B210,'Race 46'!$B$8:$B$200,0)),1))*100</f>
        <v>46.764800866742867</v>
      </c>
      <c r="BC210" s="7"/>
      <c r="BD210" s="7"/>
      <c r="BE210" s="7">
        <f>(INDEX('Race 49'!$E$8:$E$200,(MATCH($B210,'Race 49'!$B$8:$B$200,0)),1))*100</f>
        <v>47.076887809439633</v>
      </c>
      <c r="BF210" s="7"/>
      <c r="BG210" s="7"/>
      <c r="BH210" s="7"/>
      <c r="BI210" s="7"/>
      <c r="BJ210" s="7"/>
      <c r="BK210" s="7"/>
      <c r="BL210" s="7"/>
      <c r="BM210" s="7"/>
      <c r="BN210" s="14"/>
      <c r="BO210" s="14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14"/>
      <c r="CA210" s="7"/>
      <c r="CB210" s="7"/>
      <c r="CC210" s="7"/>
      <c r="CD210" s="7"/>
      <c r="CE210" s="7"/>
      <c r="CF210" s="14"/>
      <c r="CG210" s="7"/>
      <c r="CH210" s="7"/>
      <c r="CI210" s="7"/>
      <c r="CJ210" s="7"/>
      <c r="CK210" s="101"/>
      <c r="CL210" s="74"/>
      <c r="CM210" s="74"/>
      <c r="CN210" s="74"/>
      <c r="CO210" s="101"/>
      <c r="CP210" s="74"/>
      <c r="CQ210" s="7"/>
      <c r="CR210" s="74"/>
      <c r="CS210" s="74"/>
      <c r="CT210" s="74"/>
      <c r="CU210" s="74"/>
      <c r="CV210" s="74"/>
      <c r="CW210" s="7"/>
      <c r="CX210" s="7"/>
      <c r="CY210" s="7"/>
      <c r="CZ210" s="74"/>
      <c r="DA210" s="7"/>
      <c r="DB210" s="7"/>
      <c r="DC210" s="7"/>
      <c r="DD210" s="74"/>
      <c r="DE210" s="74"/>
      <c r="DF210" s="74"/>
      <c r="DG210" s="74"/>
      <c r="DH210" s="74"/>
      <c r="DI210" s="74"/>
      <c r="DJ210" s="74"/>
      <c r="DK210" s="7"/>
      <c r="DL210" s="74"/>
      <c r="DM210" s="7"/>
      <c r="DN210" s="14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8">
        <f t="shared" si="44"/>
        <v>44.778225587804435</v>
      </c>
      <c r="EA210" s="3" t="str">
        <f t="shared" si="45"/>
        <v>Hynes, Jeremiah</v>
      </c>
      <c r="EB210" s="2">
        <f t="shared" si="46"/>
        <v>1</v>
      </c>
      <c r="EC210" s="112">
        <f t="shared" si="55"/>
        <v>42.267208176384649</v>
      </c>
      <c r="ED210" s="29">
        <f t="shared" si="48"/>
        <v>44.055711912440415</v>
      </c>
      <c r="EE210" s="2">
        <f t="shared" si="49"/>
        <v>0</v>
      </c>
      <c r="EF210" s="46">
        <f t="shared" si="50"/>
        <v>3</v>
      </c>
      <c r="EG210" s="46">
        <f t="shared" si="51"/>
        <v>3</v>
      </c>
      <c r="EH210" s="2" t="str">
        <f t="shared" si="52"/>
        <v>NY</v>
      </c>
      <c r="EI210" s="29">
        <f>IF(COUNT(I210:Y210)&lt;5,DZ210,SUMPRODUCT(LARGE(I210:Y210,{1,2,3,4,5}))/5)</f>
        <v>44.778225587804435</v>
      </c>
      <c r="EJ210" s="29">
        <f>IF(COUNT(I210:AX210)&lt;5,DZ210,SUMPRODUCT(LARGE(I210:AX210,{1,2,3,4,5}))/5)</f>
        <v>44.778225587804435</v>
      </c>
      <c r="EK210" s="29">
        <f>IF(COUNT(I210:DY210)&lt;5,AVERAGE(I210:DY210),SUMPRODUCT(LARGE(I210:DY210,{1,2,3,4,5}))/5)</f>
        <v>44.778225587804435</v>
      </c>
      <c r="EL210" s="29">
        <f t="shared" si="53"/>
        <v>44.055711912440415</v>
      </c>
      <c r="EM210" s="116" t="str">
        <f t="shared" si="54"/>
        <v>Hynes, Jeremiah</v>
      </c>
      <c r="EQ210"/>
    </row>
    <row r="211" spans="1:147" x14ac:dyDescent="0.25">
      <c r="A211" s="59">
        <f t="shared" si="56"/>
        <v>208</v>
      </c>
      <c r="B211" s="32" t="s">
        <v>867</v>
      </c>
      <c r="C211" s="5" t="s">
        <v>6</v>
      </c>
      <c r="D211" s="6" t="s">
        <v>62</v>
      </c>
      <c r="E211" s="6">
        <v>25.396169990847099</v>
      </c>
      <c r="F211" s="6">
        <v>25.396169990847099</v>
      </c>
      <c r="G211" s="5">
        <f t="shared" si="43"/>
        <v>0</v>
      </c>
      <c r="H211" s="37">
        <v>25.396169990847099</v>
      </c>
      <c r="I211" s="36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227"/>
      <c r="Z211" s="228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4"/>
      <c r="AP211" s="7"/>
      <c r="AQ211" s="74"/>
      <c r="AR211" s="70"/>
      <c r="AS211" s="7"/>
      <c r="AT211" s="70"/>
      <c r="AU211" s="7"/>
      <c r="AV211" s="70"/>
      <c r="AW211" s="7"/>
      <c r="AX211" s="8"/>
      <c r="AY211" s="36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103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14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101"/>
      <c r="CL211" s="74"/>
      <c r="CM211" s="74"/>
      <c r="CN211" s="74"/>
      <c r="CO211" s="70"/>
      <c r="CP211" s="74"/>
      <c r="CQ211" s="7"/>
      <c r="CR211" s="74"/>
      <c r="CS211" s="74"/>
      <c r="CT211" s="74"/>
      <c r="CU211" s="74"/>
      <c r="CV211" s="7"/>
      <c r="CW211" s="7"/>
      <c r="CX211" s="7"/>
      <c r="CY211" s="7"/>
      <c r="CZ211" s="7"/>
      <c r="DA211" s="7"/>
      <c r="DB211" s="7"/>
      <c r="DC211" s="7"/>
      <c r="DD211" s="7"/>
      <c r="DE211" s="74"/>
      <c r="DF211" s="74"/>
      <c r="DG211" s="74"/>
      <c r="DH211" s="7"/>
      <c r="DI211" s="74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8">
        <f t="shared" si="44"/>
        <v>25.396169990847099</v>
      </c>
      <c r="EA211" s="3" t="str">
        <f t="shared" si="45"/>
        <v>IMERAJ, Joshua</v>
      </c>
      <c r="EB211" s="2">
        <f t="shared" si="46"/>
        <v>0</v>
      </c>
      <c r="EC211" s="112">
        <f t="shared" si="55"/>
        <v>25.396169990847099</v>
      </c>
      <c r="ED211" s="29">
        <f t="shared" si="48"/>
        <v>0</v>
      </c>
      <c r="EE211" s="2">
        <f t="shared" si="49"/>
        <v>0</v>
      </c>
      <c r="EF211" s="46">
        <f t="shared" si="50"/>
        <v>0</v>
      </c>
      <c r="EG211" s="46">
        <f t="shared" si="51"/>
        <v>0</v>
      </c>
      <c r="EH211" s="29" t="str">
        <f t="shared" si="52"/>
        <v>CO</v>
      </c>
      <c r="EI211" s="29">
        <f>IF(COUNT(I211:Y211)&lt;5,DZ211,SUMPRODUCT(LARGE(I211:Y211,{1,2,3,4,5}))/5)</f>
        <v>25.396169990847099</v>
      </c>
      <c r="EJ211" s="29">
        <f>IF(COUNT(I211:AX211)&lt;5,DZ211,SUMPRODUCT(LARGE(I211:AX211,{1,2,3,4,5}))/5)</f>
        <v>25.396169990847099</v>
      </c>
      <c r="EK211" s="112">
        <f>IF(EG211&lt;0,AVERAGE(I211:DY211),0)</f>
        <v>0</v>
      </c>
      <c r="EL211" s="29">
        <f t="shared" si="53"/>
        <v>0</v>
      </c>
      <c r="EM211" s="116" t="str">
        <f t="shared" si="54"/>
        <v>IMERAJ, Joshua</v>
      </c>
      <c r="EQ211"/>
    </row>
    <row r="212" spans="1:147" x14ac:dyDescent="0.25">
      <c r="A212" s="59">
        <f t="shared" si="56"/>
        <v>209</v>
      </c>
      <c r="B212" s="32" t="s">
        <v>483</v>
      </c>
      <c r="C212" s="5" t="s">
        <v>6</v>
      </c>
      <c r="D212" s="6" t="s">
        <v>58</v>
      </c>
      <c r="E212" s="6">
        <v>56.677600414024198</v>
      </c>
      <c r="F212" s="6">
        <v>56.677600414024198</v>
      </c>
      <c r="G212" s="5">
        <f t="shared" si="43"/>
        <v>0</v>
      </c>
      <c r="H212" s="37">
        <v>56.677600414024198</v>
      </c>
      <c r="I212" s="107"/>
      <c r="J212" s="7"/>
      <c r="K212" s="74"/>
      <c r="L212" s="7"/>
      <c r="M212" s="74"/>
      <c r="N212" s="74"/>
      <c r="O212" s="7"/>
      <c r="P212" s="74"/>
      <c r="Q212" s="7"/>
      <c r="R212" s="74"/>
      <c r="S212" s="74"/>
      <c r="T212" s="7"/>
      <c r="U212" s="7"/>
      <c r="V212" s="74"/>
      <c r="W212" s="7"/>
      <c r="X212" s="74"/>
      <c r="Y212" s="227"/>
      <c r="Z212" s="228"/>
      <c r="AA212" s="74"/>
      <c r="AB212" s="74"/>
      <c r="AC212" s="74"/>
      <c r="AD212" s="74"/>
      <c r="AE212" s="74"/>
      <c r="AF212" s="74"/>
      <c r="AG212" s="74"/>
      <c r="AH212" s="7"/>
      <c r="AI212" s="7"/>
      <c r="AJ212" s="7"/>
      <c r="AK212" s="7"/>
      <c r="AL212" s="7"/>
      <c r="AM212" s="7"/>
      <c r="AN212" s="7"/>
      <c r="AO212" s="74"/>
      <c r="AP212" s="7"/>
      <c r="AQ212" s="74"/>
      <c r="AR212" s="101"/>
      <c r="AS212" s="7"/>
      <c r="AT212" s="101"/>
      <c r="AU212" s="7"/>
      <c r="AV212" s="101"/>
      <c r="AW212" s="7"/>
      <c r="AX212" s="8"/>
      <c r="AY212" s="36"/>
      <c r="AZ212" s="74"/>
      <c r="BA212" s="74"/>
      <c r="BB212" s="74"/>
      <c r="BC212" s="74"/>
      <c r="BD212" s="7"/>
      <c r="BE212" s="7"/>
      <c r="BF212" s="74"/>
      <c r="BG212" s="74"/>
      <c r="BH212" s="101"/>
      <c r="BI212" s="74"/>
      <c r="BJ212" s="74"/>
      <c r="BK212" s="7"/>
      <c r="BL212" s="74"/>
      <c r="BM212" s="7"/>
      <c r="BN212" s="103"/>
      <c r="BO212" s="103"/>
      <c r="BP212" s="7"/>
      <c r="BQ212" s="7"/>
      <c r="BR212" s="74"/>
      <c r="BS212" s="7"/>
      <c r="BT212" s="7"/>
      <c r="BU212" s="101"/>
      <c r="BV212" s="101"/>
      <c r="BW212" s="74"/>
      <c r="BX212" s="74"/>
      <c r="BY212" s="74"/>
      <c r="BZ212" s="103"/>
      <c r="CA212" s="7"/>
      <c r="CB212" s="74"/>
      <c r="CC212" s="74"/>
      <c r="CD212" s="74"/>
      <c r="CE212" s="7"/>
      <c r="CF212" s="74"/>
      <c r="CG212" s="74"/>
      <c r="CH212" s="7"/>
      <c r="CI212" s="74"/>
      <c r="CJ212" s="101"/>
      <c r="CK212" s="101"/>
      <c r="CL212" s="74"/>
      <c r="CM212" s="74"/>
      <c r="CN212" s="74"/>
      <c r="CO212" s="101"/>
      <c r="CP212" s="101"/>
      <c r="CQ212" s="74"/>
      <c r="CR212" s="74"/>
      <c r="CS212" s="74"/>
      <c r="CT212" s="74"/>
      <c r="CU212" s="74"/>
      <c r="CV212" s="74"/>
      <c r="CW212" s="74"/>
      <c r="CX212" s="7"/>
      <c r="CY212" s="7"/>
      <c r="CZ212" s="74"/>
      <c r="DA212" s="74"/>
      <c r="DB212" s="74"/>
      <c r="DC212" s="74"/>
      <c r="DD212" s="74"/>
      <c r="DE212" s="74"/>
      <c r="DF212" s="74"/>
      <c r="DG212" s="74"/>
      <c r="DH212" s="74"/>
      <c r="DI212" s="74"/>
      <c r="DJ212" s="74"/>
      <c r="DK212" s="74"/>
      <c r="DL212" s="74"/>
      <c r="DM212" s="74"/>
      <c r="DN212" s="74"/>
      <c r="DO212" s="74"/>
      <c r="DP212" s="74"/>
      <c r="DQ212" s="74"/>
      <c r="DR212" s="7"/>
      <c r="DS212" s="7"/>
      <c r="DT212" s="74"/>
      <c r="DU212" s="74"/>
      <c r="DV212" s="74"/>
      <c r="DW212" s="74"/>
      <c r="DX212" s="74"/>
      <c r="DY212" s="74"/>
      <c r="DZ212" s="8">
        <f t="shared" si="44"/>
        <v>56.677600414024198</v>
      </c>
      <c r="EA212" s="3" t="str">
        <f t="shared" si="45"/>
        <v>Ingebrigtson, Evan</v>
      </c>
      <c r="EB212" s="2">
        <f t="shared" si="46"/>
        <v>0</v>
      </c>
      <c r="EC212" s="112">
        <f t="shared" si="55"/>
        <v>56.677600414024198</v>
      </c>
      <c r="ED212" s="29">
        <f t="shared" si="48"/>
        <v>0</v>
      </c>
      <c r="EE212" s="2">
        <f t="shared" si="49"/>
        <v>0</v>
      </c>
      <c r="EF212" s="46">
        <f t="shared" si="50"/>
        <v>0</v>
      </c>
      <c r="EG212" s="46">
        <f t="shared" si="51"/>
        <v>0</v>
      </c>
      <c r="EH212" s="29" t="str">
        <f t="shared" si="52"/>
        <v>MN</v>
      </c>
      <c r="EI212" s="29">
        <f>IF(COUNT(I212:Y212)&lt;5,DZ212,SUMPRODUCT(LARGE(I212:Y212,{1,2,3,4,5}))/5)</f>
        <v>56.677600414024198</v>
      </c>
      <c r="EJ212" s="29">
        <f>IF(COUNT(I212:AX212)&lt;5,DZ212,SUMPRODUCT(LARGE(I212:AX212,{1,2,3,4,5}))/5)</f>
        <v>56.677600414024198</v>
      </c>
      <c r="EK212" s="112">
        <f>IF(EG212&lt;0,AVERAGE(I212:DY212),0)</f>
        <v>0</v>
      </c>
      <c r="EL212" s="29">
        <f t="shared" si="53"/>
        <v>0</v>
      </c>
      <c r="EM212" s="116" t="str">
        <f t="shared" si="54"/>
        <v>Ingebrigtson, Evan</v>
      </c>
      <c r="EQ212"/>
    </row>
    <row r="213" spans="1:147" x14ac:dyDescent="0.25">
      <c r="A213" s="59">
        <f t="shared" si="56"/>
        <v>210</v>
      </c>
      <c r="B213" s="32" t="s">
        <v>1288</v>
      </c>
      <c r="C213" s="5" t="s">
        <v>6</v>
      </c>
      <c r="D213" s="6" t="s">
        <v>89</v>
      </c>
      <c r="E213" s="6">
        <v>0</v>
      </c>
      <c r="F213" s="6">
        <v>0</v>
      </c>
      <c r="G213" s="5">
        <f t="shared" si="43"/>
        <v>2</v>
      </c>
      <c r="H213" s="99">
        <v>0</v>
      </c>
      <c r="I213" s="36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227"/>
      <c r="Z213" s="228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4"/>
      <c r="AP213" s="7"/>
      <c r="AQ213" s="74"/>
      <c r="AR213" s="70"/>
      <c r="AS213" s="7"/>
      <c r="AT213" s="70"/>
      <c r="AU213" s="7"/>
      <c r="AV213" s="70"/>
      <c r="AW213" s="7"/>
      <c r="AX213" s="8"/>
      <c r="AY213" s="36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103"/>
      <c r="BO213" s="14"/>
      <c r="BP213" s="7"/>
      <c r="BQ213" s="7"/>
      <c r="BR213" s="7"/>
      <c r="BS213" s="7"/>
      <c r="BT213" s="7"/>
      <c r="BU213" s="7"/>
      <c r="BV213" s="7"/>
      <c r="BW213" s="7"/>
      <c r="BX213" s="7"/>
      <c r="BY213" s="74"/>
      <c r="BZ213" s="14"/>
      <c r="CA213" s="7"/>
      <c r="CB213" s="7"/>
      <c r="CC213" s="7"/>
      <c r="CD213" s="7"/>
      <c r="CE213" s="7">
        <f>(INDEX('Race 75'!$E$8:$E$200,(MATCH($B213,'Race 75'!$B$8:$B$200,0)),1))*100</f>
        <v>33.545251440484456</v>
      </c>
      <c r="CF213" s="74">
        <f>(INDEX('Race 76'!$E$8:$E$200,(MATCH($B213,'Race 76'!$B$8:$B$200,0)),1))*100</f>
        <v>33.626306422417784</v>
      </c>
      <c r="CG213" s="7"/>
      <c r="CH213" s="7"/>
      <c r="CI213" s="7"/>
      <c r="CJ213" s="7"/>
      <c r="CK213" s="101"/>
      <c r="CL213" s="74"/>
      <c r="CM213" s="74"/>
      <c r="CN213" s="74"/>
      <c r="CO213" s="70"/>
      <c r="CP213" s="74"/>
      <c r="CQ213" s="7"/>
      <c r="CR213" s="74"/>
      <c r="CS213" s="74"/>
      <c r="CT213" s="74"/>
      <c r="CU213" s="74"/>
      <c r="CV213" s="7"/>
      <c r="CW213" s="7"/>
      <c r="CX213" s="7"/>
      <c r="CY213" s="7"/>
      <c r="CZ213" s="7"/>
      <c r="DA213" s="7"/>
      <c r="DB213" s="7"/>
      <c r="DC213" s="7"/>
      <c r="DD213" s="7"/>
      <c r="DE213" s="74"/>
      <c r="DF213" s="74"/>
      <c r="DG213" s="74"/>
      <c r="DH213" s="74"/>
      <c r="DI213" s="74"/>
      <c r="DJ213" s="7"/>
      <c r="DK213" s="7"/>
      <c r="DL213" s="7"/>
      <c r="DM213" s="7"/>
      <c r="DN213" s="7"/>
      <c r="DO213" s="7"/>
      <c r="DP213" s="7"/>
      <c r="DQ213" s="74"/>
      <c r="DR213" s="74"/>
      <c r="DS213" s="7"/>
      <c r="DT213" s="7"/>
      <c r="DU213" s="7"/>
      <c r="DV213" s="74"/>
      <c r="DW213" s="7"/>
      <c r="DX213" s="7"/>
      <c r="DY213" s="7"/>
      <c r="DZ213" s="8">
        <f t="shared" si="44"/>
        <v>33.585778931451117</v>
      </c>
      <c r="EA213" s="3" t="str">
        <f t="shared" si="45"/>
        <v>IVES, Aaron</v>
      </c>
      <c r="EB213" s="2">
        <f t="shared" si="46"/>
        <v>1</v>
      </c>
      <c r="EC213" s="112">
        <f t="shared" si="55"/>
        <v>0</v>
      </c>
      <c r="ED213" s="29">
        <f t="shared" si="48"/>
        <v>33.043859633462333</v>
      </c>
      <c r="EE213" s="2">
        <f t="shared" si="49"/>
        <v>0</v>
      </c>
      <c r="EF213" s="46">
        <f t="shared" si="50"/>
        <v>0</v>
      </c>
      <c r="EG213" s="46">
        <f t="shared" si="51"/>
        <v>2</v>
      </c>
      <c r="EH213" s="2" t="str">
        <f t="shared" si="52"/>
        <v>OR</v>
      </c>
      <c r="EI213" s="29">
        <f>IF(COUNT(I213:AD213)&lt;5,DZ213,SUMPRODUCT(LARGE(I213:AD213,{1,2,3,4,5}))/5)</f>
        <v>33.585778931451117</v>
      </c>
      <c r="EJ213" s="29">
        <f>IF(COUNT(I213:BE213)&lt;5,DZ213,SUMPRODUCT(LARGE(I213:BE213,{1,2,3,4,5}))/5)</f>
        <v>33.585778931451117</v>
      </c>
      <c r="EK213" s="29">
        <f>IF(COUNT(I213:DY213)&lt;5,AVERAGE(I213:DY213),SUMPRODUCT(LARGE(I213:DY213,{1,2,3,4,5}))/5)</f>
        <v>33.585778931451117</v>
      </c>
      <c r="EL213" s="29">
        <f t="shared" si="53"/>
        <v>33.043859633462333</v>
      </c>
      <c r="EM213" s="116" t="str">
        <f t="shared" si="54"/>
        <v>IVES, Aaron</v>
      </c>
      <c r="EQ213"/>
    </row>
    <row r="214" spans="1:147" x14ac:dyDescent="0.25">
      <c r="A214" s="59">
        <f t="shared" si="56"/>
        <v>211</v>
      </c>
      <c r="B214" s="32" t="s">
        <v>703</v>
      </c>
      <c r="C214" s="5" t="s">
        <v>6</v>
      </c>
      <c r="D214" s="6" t="s">
        <v>57</v>
      </c>
      <c r="E214" s="6">
        <v>62.314951770726339</v>
      </c>
      <c r="F214" s="6">
        <v>61.801366437796901</v>
      </c>
      <c r="G214" s="5">
        <f t="shared" si="43"/>
        <v>1</v>
      </c>
      <c r="H214" s="37">
        <v>62.314951770726339</v>
      </c>
      <c r="I214" s="107"/>
      <c r="J214" s="7"/>
      <c r="K214" s="74"/>
      <c r="L214" s="7"/>
      <c r="M214" s="74"/>
      <c r="N214" s="74"/>
      <c r="O214" s="7"/>
      <c r="P214" s="74"/>
      <c r="Q214" s="74"/>
      <c r="R214" s="74"/>
      <c r="S214" s="74"/>
      <c r="T214" s="7"/>
      <c r="U214" s="7"/>
      <c r="V214" s="74"/>
      <c r="W214" s="74"/>
      <c r="X214" s="74"/>
      <c r="Y214" s="227"/>
      <c r="Z214" s="228"/>
      <c r="AA214" s="74"/>
      <c r="AB214" s="74"/>
      <c r="AC214" s="74"/>
      <c r="AD214" s="74"/>
      <c r="AE214" s="7"/>
      <c r="AF214" s="74"/>
      <c r="AG214" s="74"/>
      <c r="AH214" s="7"/>
      <c r="AI214" s="7"/>
      <c r="AJ214" s="7"/>
      <c r="AK214" s="7"/>
      <c r="AL214" s="7"/>
      <c r="AM214" s="7"/>
      <c r="AN214" s="7"/>
      <c r="AO214" s="7"/>
      <c r="AP214" s="7"/>
      <c r="AQ214" s="74"/>
      <c r="AR214" s="101">
        <f>(INDEX('Race 36'!$E$8:$E$200,(MATCH($B214,'Race 36'!$B$8:$B$200,0)),1))*100</f>
        <v>61.801366437796901</v>
      </c>
      <c r="AS214" s="7"/>
      <c r="AT214" s="101"/>
      <c r="AU214" s="7"/>
      <c r="AV214" s="101"/>
      <c r="AW214" s="7"/>
      <c r="AX214" s="8"/>
      <c r="AY214" s="36"/>
      <c r="AZ214" s="7"/>
      <c r="BA214" s="74"/>
      <c r="BB214" s="74"/>
      <c r="BC214" s="74"/>
      <c r="BD214" s="7"/>
      <c r="BE214" s="7"/>
      <c r="BF214" s="74"/>
      <c r="BG214" s="74"/>
      <c r="BH214" s="74"/>
      <c r="BI214" s="74"/>
      <c r="BJ214" s="74"/>
      <c r="BK214" s="7"/>
      <c r="BL214" s="74"/>
      <c r="BM214" s="7"/>
      <c r="BN214" s="103"/>
      <c r="BO214" s="103"/>
      <c r="BP214" s="7"/>
      <c r="BQ214" s="7"/>
      <c r="BR214" s="74"/>
      <c r="BS214" s="7"/>
      <c r="BT214" s="7"/>
      <c r="BU214" s="74"/>
      <c r="BV214" s="74"/>
      <c r="BW214" s="74"/>
      <c r="BX214" s="74"/>
      <c r="BY214" s="74"/>
      <c r="BZ214" s="103"/>
      <c r="CA214" s="7"/>
      <c r="CB214" s="74"/>
      <c r="CC214" s="74"/>
      <c r="CD214" s="74"/>
      <c r="CE214" s="7"/>
      <c r="CF214" s="74"/>
      <c r="CG214" s="74"/>
      <c r="CH214" s="7"/>
      <c r="CI214" s="74"/>
      <c r="CJ214" s="74"/>
      <c r="CK214" s="101"/>
      <c r="CL214" s="7"/>
      <c r="CM214" s="74"/>
      <c r="CN214" s="74"/>
      <c r="CO214" s="101"/>
      <c r="CP214" s="74"/>
      <c r="CQ214" s="74"/>
      <c r="CR214" s="74"/>
      <c r="CS214" s="74"/>
      <c r="CT214" s="74"/>
      <c r="CU214" s="74"/>
      <c r="CV214" s="74"/>
      <c r="CW214" s="74"/>
      <c r="CX214" s="7"/>
      <c r="CY214" s="7"/>
      <c r="CZ214" s="74"/>
      <c r="DA214" s="74"/>
      <c r="DB214" s="74"/>
      <c r="DC214" s="74"/>
      <c r="DD214" s="74"/>
      <c r="DE214" s="74"/>
      <c r="DF214" s="74"/>
      <c r="DG214" s="74"/>
      <c r="DH214" s="74"/>
      <c r="DI214" s="74"/>
      <c r="DJ214" s="74"/>
      <c r="DK214" s="74"/>
      <c r="DL214" s="74"/>
      <c r="DM214" s="74"/>
      <c r="DN214" s="74"/>
      <c r="DO214" s="74"/>
      <c r="DP214" s="7"/>
      <c r="DQ214" s="74"/>
      <c r="DR214" s="7"/>
      <c r="DS214" s="7"/>
      <c r="DT214" s="74"/>
      <c r="DU214" s="74"/>
      <c r="DV214" s="74"/>
      <c r="DW214" s="74"/>
      <c r="DX214" s="74"/>
      <c r="DY214" s="74"/>
      <c r="DZ214" s="8">
        <f t="shared" si="44"/>
        <v>61.801366437796901</v>
      </c>
      <c r="EA214" s="3" t="str">
        <f t="shared" si="45"/>
        <v>Iwan, Joseph</v>
      </c>
      <c r="EB214" s="2">
        <f t="shared" si="46"/>
        <v>1</v>
      </c>
      <c r="EC214" s="112">
        <f t="shared" si="55"/>
        <v>62.314951770726339</v>
      </c>
      <c r="ED214" s="29">
        <f t="shared" si="48"/>
        <v>60.804177919910366</v>
      </c>
      <c r="EE214" s="2">
        <f t="shared" si="49"/>
        <v>0</v>
      </c>
      <c r="EF214" s="46">
        <f t="shared" si="50"/>
        <v>1</v>
      </c>
      <c r="EG214" s="46">
        <f t="shared" si="51"/>
        <v>1</v>
      </c>
      <c r="EH214" s="2" t="str">
        <f t="shared" si="52"/>
        <v>NY</v>
      </c>
      <c r="EI214" s="29">
        <f>IF(COUNT(I214:Y214)&lt;5,DZ214,SUMPRODUCT(LARGE(I214:Y214,{1,2,3,4,5}))/5)</f>
        <v>61.801366437796901</v>
      </c>
      <c r="EJ214" s="29">
        <f>IF(COUNT(I214:AX214)&lt;5,DZ214,SUMPRODUCT(LARGE(I214:AX214,{1,2,3,4,5}))/5)</f>
        <v>61.801366437796901</v>
      </c>
      <c r="EK214" s="29">
        <f>IF(COUNT(I214:DY214)&lt;5,AVERAGE(I214:DY214),SUMPRODUCT(LARGE(I214:DY214,{1,2,3,4,5}))/5)</f>
        <v>61.801366437796901</v>
      </c>
      <c r="EL214" s="29">
        <f t="shared" si="53"/>
        <v>60.804177919910366</v>
      </c>
      <c r="EM214" s="116" t="str">
        <f t="shared" si="54"/>
        <v>Iwan, Joseph</v>
      </c>
      <c r="EQ214"/>
    </row>
    <row r="215" spans="1:147" x14ac:dyDescent="0.25">
      <c r="A215" s="59">
        <f t="shared" si="56"/>
        <v>212</v>
      </c>
      <c r="B215" s="32" t="s">
        <v>918</v>
      </c>
      <c r="C215" s="5" t="s">
        <v>6</v>
      </c>
      <c r="D215" s="6" t="s">
        <v>87</v>
      </c>
      <c r="E215" s="6">
        <v>46.08889444969649</v>
      </c>
      <c r="F215" s="6">
        <v>73.838322342535349</v>
      </c>
      <c r="G215" s="5">
        <f t="shared" si="43"/>
        <v>6</v>
      </c>
      <c r="H215" s="37">
        <v>46.08889444969649</v>
      </c>
      <c r="I215" s="36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227"/>
      <c r="Z215" s="228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4"/>
      <c r="AP215" s="7"/>
      <c r="AQ215" s="74"/>
      <c r="AR215" s="70"/>
      <c r="AS215" s="7"/>
      <c r="AT215" s="70"/>
      <c r="AU215" s="7"/>
      <c r="AV215" s="70"/>
      <c r="AW215" s="7">
        <f>(INDEX('Race 41'!$E$8:$E$200,(MATCH($B215,'Race 41'!$B$8:$B$200,0)),1))*100</f>
        <v>71.592871383461571</v>
      </c>
      <c r="AX215" s="8">
        <f>(INDEX('Race 42'!$E$8:$E$200,(MATCH($B215,'Race 42'!$B$8:$B$200,0)),1))*100</f>
        <v>76.083773301609142</v>
      </c>
      <c r="AY215" s="36"/>
      <c r="AZ215" s="7"/>
      <c r="BA215" s="7"/>
      <c r="BB215" s="7"/>
      <c r="BC215" s="7"/>
      <c r="BD215" s="7"/>
      <c r="BE215" s="7"/>
      <c r="BF215" s="7"/>
      <c r="BG215" s="7"/>
      <c r="BH215" s="70"/>
      <c r="BI215" s="7"/>
      <c r="BJ215" s="7"/>
      <c r="BK215" s="7"/>
      <c r="BL215" s="7"/>
      <c r="BM215" s="7"/>
      <c r="BN215" s="103"/>
      <c r="BO215" s="14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14"/>
      <c r="CA215" s="7"/>
      <c r="CB215" s="7"/>
      <c r="CC215" s="7"/>
      <c r="CD215" s="70"/>
      <c r="CE215" s="74">
        <f>(INDEX('Race 75'!$E$8:$E$200,(MATCH($B215,'Race 75'!$B$8:$B$200,0)),1))*100</f>
        <v>70.665459294215196</v>
      </c>
      <c r="CF215" s="74">
        <f>(INDEX('Race 76'!$E$8:$E$200,(MATCH($B215,'Race 76'!$B$8:$B$200,0)),1))*100</f>
        <v>74.627491061610186</v>
      </c>
      <c r="CG215" s="7"/>
      <c r="CH215" s="7"/>
      <c r="CI215" s="7"/>
      <c r="CJ215" s="7"/>
      <c r="CK215" s="101"/>
      <c r="CL215" s="74"/>
      <c r="CM215" s="74"/>
      <c r="CN215" s="74"/>
      <c r="CO215" s="70"/>
      <c r="CP215" s="101"/>
      <c r="CQ215" s="7"/>
      <c r="CR215" s="74">
        <f>(INDEX('Race 88'!$E$8:$E$200,(MATCH($B215,'Race 88'!$B$8:$B$200,0)),1))*100</f>
        <v>60.073328830178404</v>
      </c>
      <c r="CS215" s="74">
        <f>(INDEX('Race 89'!$E$8:$E$200,(MATCH($B215,'Race 89'!$B$8:$B$200,0)),1))*100</f>
        <v>59.661797074864694</v>
      </c>
      <c r="CT215" s="74"/>
      <c r="CU215" s="74"/>
      <c r="CV215" s="7"/>
      <c r="CW215" s="7"/>
      <c r="CX215" s="7"/>
      <c r="CY215" s="7"/>
      <c r="CZ215" s="7"/>
      <c r="DA215" s="7"/>
      <c r="DB215" s="7"/>
      <c r="DC215" s="7"/>
      <c r="DD215" s="7"/>
      <c r="DE215" s="74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8">
        <f t="shared" si="44"/>
        <v>68.784120157656531</v>
      </c>
      <c r="EA215" s="3" t="str">
        <f t="shared" si="45"/>
        <v>Jacobs, Tyler</v>
      </c>
      <c r="EB215" s="2">
        <f t="shared" si="46"/>
        <v>1</v>
      </c>
      <c r="EC215" s="112">
        <f t="shared" si="55"/>
        <v>46.08889444969649</v>
      </c>
      <c r="ED215" s="29">
        <f t="shared" si="48"/>
        <v>69.469288443737611</v>
      </c>
      <c r="EE215" s="2">
        <f t="shared" si="49"/>
        <v>0</v>
      </c>
      <c r="EF215" s="46">
        <f t="shared" si="50"/>
        <v>2</v>
      </c>
      <c r="EG215" s="46">
        <f t="shared" si="51"/>
        <v>6</v>
      </c>
      <c r="EH215" s="29" t="str">
        <f t="shared" si="52"/>
        <v>CA</v>
      </c>
      <c r="EI215" s="29">
        <f>IF(COUNT(I215:Y215)&lt;5,DZ215,SUMPRODUCT(LARGE(I215:Y215,{1,2,3,4,5}))/5)</f>
        <v>68.784120157656531</v>
      </c>
      <c r="EJ215" s="29">
        <f>IF(COUNT(I215:AX215)&lt;5,DZ215,SUMPRODUCT(LARGE(I215:AX215,{1,2,3,4,5}))/5)</f>
        <v>68.784120157656531</v>
      </c>
      <c r="EK215" s="29">
        <f>IF(COUNT(I215:DY215)&lt;5,AVERAGE(I215:DY215),SUMPRODUCT(LARGE(I215:DY215,{1,2,3,4,5}))/5)</f>
        <v>70.608584774214904</v>
      </c>
      <c r="EL215" s="29">
        <f t="shared" si="53"/>
        <v>69.469288443737611</v>
      </c>
      <c r="EM215" s="116" t="str">
        <f t="shared" si="54"/>
        <v>Jacobs, Tyler</v>
      </c>
      <c r="EQ215"/>
    </row>
    <row r="216" spans="1:147" x14ac:dyDescent="0.25">
      <c r="A216" s="59">
        <f t="shared" si="56"/>
        <v>213</v>
      </c>
      <c r="B216" s="32" t="s">
        <v>761</v>
      </c>
      <c r="C216" s="5" t="s">
        <v>6</v>
      </c>
      <c r="D216" s="6" t="s">
        <v>62</v>
      </c>
      <c r="E216" s="6">
        <v>59.093436154765399</v>
      </c>
      <c r="F216" s="6">
        <v>59.093436154765399</v>
      </c>
      <c r="G216" s="5">
        <f t="shared" si="43"/>
        <v>0</v>
      </c>
      <c r="H216" s="37">
        <v>59.093436154765399</v>
      </c>
      <c r="I216" s="36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227"/>
      <c r="Z216" s="228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4"/>
      <c r="AP216" s="7"/>
      <c r="AQ216" s="74"/>
      <c r="AR216" s="70"/>
      <c r="AS216" s="7"/>
      <c r="AT216" s="70"/>
      <c r="AU216" s="7"/>
      <c r="AV216" s="70"/>
      <c r="AW216" s="7"/>
      <c r="AX216" s="183"/>
      <c r="AY216" s="10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103"/>
      <c r="BO216" s="14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14"/>
      <c r="CA216" s="7"/>
      <c r="CB216" s="7"/>
      <c r="CC216" s="7"/>
      <c r="CD216" s="7"/>
      <c r="CE216" s="7"/>
      <c r="CF216" s="74"/>
      <c r="CG216" s="7"/>
      <c r="CH216" s="7"/>
      <c r="CI216" s="7"/>
      <c r="CJ216" s="74"/>
      <c r="CK216" s="101"/>
      <c r="CL216" s="74"/>
      <c r="CM216" s="74"/>
      <c r="CN216" s="74"/>
      <c r="CO216" s="70"/>
      <c r="CP216" s="74"/>
      <c r="CQ216" s="7"/>
      <c r="CR216" s="74"/>
      <c r="CS216" s="74"/>
      <c r="CT216" s="74"/>
      <c r="CU216" s="74"/>
      <c r="CV216" s="7"/>
      <c r="CW216" s="7"/>
      <c r="CX216" s="7"/>
      <c r="CY216" s="7"/>
      <c r="CZ216" s="7"/>
      <c r="DA216" s="7"/>
      <c r="DB216" s="7"/>
      <c r="DC216" s="7"/>
      <c r="DD216" s="7"/>
      <c r="DE216" s="74"/>
      <c r="DF216" s="74"/>
      <c r="DG216" s="74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8">
        <f t="shared" si="44"/>
        <v>59.093436154765399</v>
      </c>
      <c r="EA216" s="3" t="str">
        <f t="shared" si="45"/>
        <v>Jaeger, Matt</v>
      </c>
      <c r="EB216" s="2">
        <f t="shared" si="46"/>
        <v>0</v>
      </c>
      <c r="EC216" s="112">
        <f t="shared" si="55"/>
        <v>59.093436154765399</v>
      </c>
      <c r="ED216" s="29">
        <f t="shared" si="48"/>
        <v>0</v>
      </c>
      <c r="EE216" s="2">
        <f t="shared" si="49"/>
        <v>0</v>
      </c>
      <c r="EF216" s="46">
        <f t="shared" si="50"/>
        <v>0</v>
      </c>
      <c r="EG216" s="46">
        <f t="shared" si="51"/>
        <v>0</v>
      </c>
      <c r="EH216" s="2" t="str">
        <f t="shared" si="52"/>
        <v>CO</v>
      </c>
      <c r="EI216" s="29">
        <f>IF(COUNT(I216:Y216)&lt;5,DZ216,SUMPRODUCT(LARGE(I216:Y216,{1,2,3,4,5}))/5)</f>
        <v>59.093436154765399</v>
      </c>
      <c r="EJ216" s="29">
        <f>IF(COUNT(I216:AX216)&lt;5,DZ216,SUMPRODUCT(LARGE(I216:AX216,{1,2,3,4,5}))/5)</f>
        <v>59.093436154765399</v>
      </c>
      <c r="EK216" s="112">
        <f>IF(EG216&lt;0,AVERAGE(I216:DY216),0)</f>
        <v>0</v>
      </c>
      <c r="EL216" s="29">
        <f t="shared" si="53"/>
        <v>0</v>
      </c>
      <c r="EM216" s="116" t="str">
        <f t="shared" si="54"/>
        <v>Jaeger, Matt</v>
      </c>
      <c r="EQ216"/>
    </row>
    <row r="217" spans="1:147" x14ac:dyDescent="0.25">
      <c r="A217" s="59">
        <f t="shared" si="56"/>
        <v>214</v>
      </c>
      <c r="B217" s="32" t="s">
        <v>828</v>
      </c>
      <c r="C217" s="5" t="s">
        <v>6</v>
      </c>
      <c r="D217" s="6" t="s">
        <v>57</v>
      </c>
      <c r="E217" s="6">
        <v>34.512075023830256</v>
      </c>
      <c r="F217" s="6">
        <v>34.512075023830256</v>
      </c>
      <c r="G217" s="5">
        <f t="shared" si="43"/>
        <v>0</v>
      </c>
      <c r="H217" s="37">
        <v>34.512075023830256</v>
      </c>
      <c r="I217" s="36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227"/>
      <c r="Z217" s="228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4"/>
      <c r="AP217" s="7"/>
      <c r="AQ217" s="74"/>
      <c r="AR217" s="70"/>
      <c r="AS217" s="7"/>
      <c r="AT217" s="70"/>
      <c r="AU217" s="7"/>
      <c r="AV217" s="70"/>
      <c r="AW217" s="7"/>
      <c r="AX217" s="183"/>
      <c r="AY217" s="10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103"/>
      <c r="BO217" s="14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14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101"/>
      <c r="CL217" s="74"/>
      <c r="CM217" s="74"/>
      <c r="CN217" s="74"/>
      <c r="CO217" s="70"/>
      <c r="CP217" s="74"/>
      <c r="CQ217" s="7"/>
      <c r="CR217" s="74"/>
      <c r="CS217" s="74"/>
      <c r="CT217" s="74"/>
      <c r="CU217" s="74"/>
      <c r="CV217" s="7"/>
      <c r="CW217" s="7"/>
      <c r="CX217" s="7"/>
      <c r="CY217" s="7"/>
      <c r="CZ217" s="7"/>
      <c r="DA217" s="7"/>
      <c r="DB217" s="7"/>
      <c r="DC217" s="7"/>
      <c r="DD217" s="7"/>
      <c r="DE217" s="74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8">
        <f t="shared" si="44"/>
        <v>34.512075023830256</v>
      </c>
      <c r="EA217" s="3" t="str">
        <f t="shared" si="45"/>
        <v>Jajkowski, Bryan</v>
      </c>
      <c r="EB217" s="2">
        <f t="shared" si="46"/>
        <v>0</v>
      </c>
      <c r="EC217" s="29">
        <v>0</v>
      </c>
      <c r="ED217" s="29">
        <f t="shared" si="48"/>
        <v>0</v>
      </c>
      <c r="EE217" s="2">
        <f t="shared" si="49"/>
        <v>0</v>
      </c>
      <c r="EF217" s="46">
        <f t="shared" si="50"/>
        <v>0</v>
      </c>
      <c r="EG217" s="46">
        <f t="shared" si="51"/>
        <v>0</v>
      </c>
      <c r="EH217" s="29" t="str">
        <f t="shared" si="52"/>
        <v>NY</v>
      </c>
      <c r="EI217" s="29">
        <f>IF(COUNT(I217:Y217)&lt;5,DZ217,SUMPRODUCT(LARGE(I217:Y217,{1,2,3,4,5}))/5)</f>
        <v>34.512075023830256</v>
      </c>
      <c r="EJ217" s="29">
        <f>IF(COUNT(I217:AX217)&lt;5,DZ217,SUMPRODUCT(LARGE(I217:AX217,{1,2,3,4,5}))/5)</f>
        <v>34.512075023830256</v>
      </c>
      <c r="EK217" s="112">
        <f>IF(EG217&lt;0,AVERAGE(I217:DY217),0)</f>
        <v>0</v>
      </c>
      <c r="EL217" s="29">
        <f t="shared" si="53"/>
        <v>0</v>
      </c>
      <c r="EM217" s="116" t="str">
        <f t="shared" si="54"/>
        <v>Jajkowski, Bryan</v>
      </c>
      <c r="EQ217"/>
    </row>
    <row r="218" spans="1:147" x14ac:dyDescent="0.25">
      <c r="A218" s="59">
        <f t="shared" si="56"/>
        <v>215</v>
      </c>
      <c r="B218" s="32" t="s">
        <v>1071</v>
      </c>
      <c r="C218" s="5" t="s">
        <v>6</v>
      </c>
      <c r="D218" s="6" t="s">
        <v>57</v>
      </c>
      <c r="E218" s="6">
        <v>0</v>
      </c>
      <c r="F218" s="6">
        <v>56.907906436999781</v>
      </c>
      <c r="G218" s="5">
        <f t="shared" si="43"/>
        <v>5</v>
      </c>
      <c r="H218" s="37">
        <v>0</v>
      </c>
      <c r="I218" s="36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227"/>
      <c r="Z218" s="228"/>
      <c r="AA218" s="7"/>
      <c r="AB218" s="7"/>
      <c r="AC218" s="7"/>
      <c r="AD218" s="7"/>
      <c r="AE218" s="7"/>
      <c r="AF218" s="7"/>
      <c r="AG218" s="7"/>
      <c r="AH218" s="7"/>
      <c r="AI218" s="7"/>
      <c r="AJ218" s="74">
        <f>(INDEX('Race 28'!$E$8:$E$200,(MATCH($B218,'Race 28'!$B$8:$B$200,0)),1))*100</f>
        <v>56.049381577162151</v>
      </c>
      <c r="AK218" s="74"/>
      <c r="AL218" s="7"/>
      <c r="AM218" s="7"/>
      <c r="AN218" s="7"/>
      <c r="AO218" s="7"/>
      <c r="AP218" s="7"/>
      <c r="AQ218" s="74"/>
      <c r="AR218" s="101">
        <f>(INDEX('Race 36'!$E$8:$E$200,(MATCH($B218,'Race 36'!$B$8:$B$200,0)),1))*100</f>
        <v>57.06223422342719</v>
      </c>
      <c r="AS218" s="7"/>
      <c r="AT218" s="70"/>
      <c r="AU218" s="7"/>
      <c r="AV218" s="70">
        <f>(INDEX('Race 40'!$E$8:$E$200,(MATCH($B218,'Race 40'!$B$8:$B$200,0)),1))*100</f>
        <v>53.476960825355988</v>
      </c>
      <c r="AW218" s="7"/>
      <c r="AX218" s="8"/>
      <c r="AY218" s="36">
        <f>(INDEX('Race 43'!$E$8:$E$200,(MATCH($B218,'Race 43'!$B$8:$B$200,0)),1))*100</f>
        <v>61.043049122053795</v>
      </c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103"/>
      <c r="BO218" s="14"/>
      <c r="BP218" s="7"/>
      <c r="BQ218" s="7"/>
      <c r="BR218" s="7">
        <f>(INDEX('Race 62'!$E$8:$E$200,(MATCH($B218,'Race 62'!$B$8:$B$200,0)),1))*100</f>
        <v>59.265564410048341</v>
      </c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101"/>
      <c r="CL218" s="74"/>
      <c r="CM218" s="74"/>
      <c r="CN218" s="74"/>
      <c r="CO218" s="70"/>
      <c r="CP218" s="74"/>
      <c r="CQ218" s="7"/>
      <c r="CR218" s="74"/>
      <c r="CS218" s="74"/>
      <c r="CT218" s="74"/>
      <c r="CU218" s="74"/>
      <c r="CV218" s="7"/>
      <c r="CW218" s="7"/>
      <c r="CX218" s="7"/>
      <c r="CY218" s="7"/>
      <c r="CZ218" s="7"/>
      <c r="DA218" s="7"/>
      <c r="DB218" s="7"/>
      <c r="DC218" s="7"/>
      <c r="DD218" s="7"/>
      <c r="DE218" s="74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8">
        <f t="shared" si="44"/>
        <v>57.379438031609496</v>
      </c>
      <c r="EA218" s="3" t="str">
        <f t="shared" si="45"/>
        <v>Jansen, Patrick</v>
      </c>
      <c r="EB218" s="2">
        <f t="shared" si="46"/>
        <v>1</v>
      </c>
      <c r="EC218" s="112">
        <f t="shared" ref="EC218:EC223" si="57">H218</f>
        <v>0</v>
      </c>
      <c r="ED218" s="29">
        <f t="shared" si="48"/>
        <v>56.453599007880264</v>
      </c>
      <c r="EE218" s="2">
        <f t="shared" si="49"/>
        <v>0</v>
      </c>
      <c r="EF218" s="46">
        <f t="shared" si="50"/>
        <v>4</v>
      </c>
      <c r="EG218" s="46">
        <f t="shared" si="51"/>
        <v>5</v>
      </c>
      <c r="EH218" s="29" t="str">
        <f t="shared" si="52"/>
        <v>NY</v>
      </c>
      <c r="EI218" s="29">
        <f>IF(COUNT(I218:AD218)&lt;5,DZ218,SUMPRODUCT(LARGE(I218:AD218,{1,2,3,4,5}))/5)</f>
        <v>57.379438031609496</v>
      </c>
      <c r="EJ218" s="29">
        <f>IF(COUNT(I218:AX218)&lt;5,DZ218,SUMPRODUCT(LARGE(I218:AX218,{1,2,3,4,5}))/5)</f>
        <v>57.379438031609496</v>
      </c>
      <c r="EK218" s="29">
        <f>IF(COUNT(I218:DY218)&lt;5,AVERAGE(I218:DY218),SUMPRODUCT(LARGE(I218:DY218,{1,2,3,4,5}))/5)</f>
        <v>57.379438031609496</v>
      </c>
      <c r="EL218" s="29">
        <f t="shared" si="53"/>
        <v>56.453599007880264</v>
      </c>
      <c r="EM218" s="116" t="str">
        <f t="shared" si="54"/>
        <v>Jansen, Patrick</v>
      </c>
      <c r="EQ218"/>
    </row>
    <row r="219" spans="1:147" x14ac:dyDescent="0.25">
      <c r="A219" s="59">
        <f t="shared" si="56"/>
        <v>216</v>
      </c>
      <c r="B219" s="4" t="s">
        <v>1299</v>
      </c>
      <c r="C219" s="5" t="s">
        <v>6</v>
      </c>
      <c r="D219" s="6" t="s">
        <v>62</v>
      </c>
      <c r="E219" s="6">
        <v>0</v>
      </c>
      <c r="F219" s="6">
        <v>55.488084335700002</v>
      </c>
      <c r="G219" s="5">
        <f t="shared" si="43"/>
        <v>4</v>
      </c>
      <c r="H219" s="37">
        <v>0</v>
      </c>
      <c r="I219" s="36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227"/>
      <c r="Z219" s="228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4"/>
      <c r="AP219" s="7"/>
      <c r="AQ219" s="74"/>
      <c r="AR219" s="70"/>
      <c r="AS219" s="7"/>
      <c r="AT219" s="70"/>
      <c r="AU219" s="7"/>
      <c r="AV219" s="70"/>
      <c r="AW219" s="7">
        <f>(INDEX('Race 41'!$E$8:$E$200,(MATCH($B219,'Race 41'!$B$8:$B$200,0)),1))*100</f>
        <v>49.901905744602729</v>
      </c>
      <c r="AX219" s="8">
        <f>(INDEX('Race 42'!$E$8:$E$200,(MATCH($B219,'Race 42'!$B$8:$B$200,0)),1))*100</f>
        <v>61.074262926797275</v>
      </c>
      <c r="AY219" s="36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103"/>
      <c r="BO219" s="14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14"/>
      <c r="CA219" s="7"/>
      <c r="CB219" s="7"/>
      <c r="CC219" s="7"/>
      <c r="CD219" s="7"/>
      <c r="CE219" s="74">
        <f>(INDEX('Race 75'!$E$8:$E$200,(MATCH($B219,'Race 75'!$B$8:$B$200,0)),1))*100</f>
        <v>58.43143455147041</v>
      </c>
      <c r="CF219" s="74">
        <f>(INDEX('Race 76'!$E$8:$E$200,(MATCH($B219,'Race 76'!$B$8:$B$200,0)),1))*100</f>
        <v>62.083351453817656</v>
      </c>
      <c r="CG219" s="7"/>
      <c r="CH219" s="7"/>
      <c r="CI219" s="7"/>
      <c r="CJ219" s="7"/>
      <c r="CK219" s="101"/>
      <c r="CL219" s="74"/>
      <c r="CM219" s="74"/>
      <c r="CN219" s="74"/>
      <c r="CO219" s="70"/>
      <c r="CP219" s="74"/>
      <c r="CQ219" s="7"/>
      <c r="CR219" s="74"/>
      <c r="CS219" s="74"/>
      <c r="CT219" s="74"/>
      <c r="CU219" s="74"/>
      <c r="CV219" s="7"/>
      <c r="CW219" s="7"/>
      <c r="CX219" s="7"/>
      <c r="CY219" s="7"/>
      <c r="CZ219" s="7"/>
      <c r="DA219" s="7"/>
      <c r="DB219" s="7"/>
      <c r="DC219" s="7"/>
      <c r="DD219" s="7"/>
      <c r="DE219" s="74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8">
        <f t="shared" si="44"/>
        <v>57.872738669172023</v>
      </c>
      <c r="EA219" s="3" t="str">
        <f t="shared" si="45"/>
        <v>Jefferies, Phillip</v>
      </c>
      <c r="EB219" s="2">
        <f t="shared" si="46"/>
        <v>1</v>
      </c>
      <c r="EC219" s="112">
        <f t="shared" si="57"/>
        <v>0</v>
      </c>
      <c r="ED219" s="29">
        <f t="shared" si="48"/>
        <v>56.938940052314074</v>
      </c>
      <c r="EE219" s="2">
        <f t="shared" si="49"/>
        <v>0</v>
      </c>
      <c r="EF219" s="46">
        <f t="shared" si="50"/>
        <v>2</v>
      </c>
      <c r="EG219" s="46">
        <f t="shared" si="51"/>
        <v>4</v>
      </c>
      <c r="EH219" s="2" t="str">
        <f t="shared" si="52"/>
        <v>CO</v>
      </c>
      <c r="EI219" s="29">
        <f>IF(COUNT(I219:AD219)&lt;5,DZ219,SUMPRODUCT(LARGE(I219:AD219,{1,2,3,4,5}))/5)</f>
        <v>57.872738669172023</v>
      </c>
      <c r="EJ219" s="29">
        <f>IF(COUNT(I219:AX219)&lt;5,DZ219,SUMPRODUCT(LARGE(I219:AX219,{1,2,3,4,5}))/5)</f>
        <v>57.872738669172023</v>
      </c>
      <c r="EK219" s="29">
        <f>IF(COUNT(I219:DY219)&lt;5,AVERAGE(I219:DY219),SUMPRODUCT(LARGE(I219:DY219,{1,2,3,4,5}))/5)</f>
        <v>57.872738669172023</v>
      </c>
      <c r="EL219" s="29">
        <f t="shared" si="53"/>
        <v>56.938940052314074</v>
      </c>
      <c r="EM219" s="116" t="str">
        <f t="shared" si="54"/>
        <v>Jefferies, Phillip</v>
      </c>
      <c r="EQ219"/>
    </row>
    <row r="220" spans="1:147" x14ac:dyDescent="0.25">
      <c r="A220" s="59">
        <f t="shared" si="56"/>
        <v>217</v>
      </c>
      <c r="B220" s="32" t="s">
        <v>1054</v>
      </c>
      <c r="C220" s="106" t="s">
        <v>6</v>
      </c>
      <c r="D220" s="187" t="s">
        <v>59</v>
      </c>
      <c r="E220" s="6">
        <v>58.156169079069009</v>
      </c>
      <c r="F220" s="6">
        <v>56.65159485662447</v>
      </c>
      <c r="G220" s="5">
        <f t="shared" si="43"/>
        <v>4</v>
      </c>
      <c r="H220" s="37">
        <v>0</v>
      </c>
      <c r="I220" s="107">
        <f>(INDEX('Race 1'!$E$8:$E$200,(MATCH($B220,'Race 1'!$B$8:$B$200,0)),1))*100</f>
        <v>58.156169079069009</v>
      </c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229"/>
      <c r="Z220" s="230"/>
      <c r="AA220" s="74"/>
      <c r="AB220" s="74"/>
      <c r="AC220" s="74"/>
      <c r="AD220" s="74">
        <f>(INDEX('Race 22'!$E$8:$E$200,(MATCH($B220,'Race 22'!$B$8:$B$200,0)),1))*100</f>
        <v>55.147020634179924</v>
      </c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101"/>
      <c r="AS220" s="74"/>
      <c r="AT220" s="101"/>
      <c r="AU220" s="74"/>
      <c r="AV220" s="101"/>
      <c r="AW220" s="74"/>
      <c r="AX220" s="8"/>
      <c r="AY220" s="36"/>
      <c r="AZ220" s="74"/>
      <c r="BA220" s="74"/>
      <c r="BB220" s="74"/>
      <c r="BC220" s="74"/>
      <c r="BD220" s="7"/>
      <c r="BE220" s="7"/>
      <c r="BF220" s="74"/>
      <c r="BG220" s="74"/>
      <c r="BH220" s="74"/>
      <c r="BI220" s="74"/>
      <c r="BJ220" s="74"/>
      <c r="BK220" s="74"/>
      <c r="BL220" s="74"/>
      <c r="BM220" s="74"/>
      <c r="BN220" s="103"/>
      <c r="BO220" s="103"/>
      <c r="BP220" s="7"/>
      <c r="BQ220" s="7"/>
      <c r="BR220" s="74"/>
      <c r="BS220" s="7"/>
      <c r="BT220" s="7"/>
      <c r="BU220" s="74"/>
      <c r="BV220" s="74"/>
      <c r="BW220" s="74"/>
      <c r="BX220" s="74"/>
      <c r="BY220" s="74"/>
      <c r="BZ220" s="74"/>
      <c r="CA220" s="7"/>
      <c r="CB220" s="74"/>
      <c r="CC220" s="74"/>
      <c r="CD220" s="74"/>
      <c r="CE220" s="74"/>
      <c r="CF220" s="74"/>
      <c r="CG220" s="74"/>
      <c r="CH220" s="74"/>
      <c r="CI220" s="74"/>
      <c r="CJ220" s="74"/>
      <c r="CK220" s="101"/>
      <c r="CL220" s="74"/>
      <c r="CM220" s="74"/>
      <c r="CN220" s="74"/>
      <c r="CO220" s="101">
        <f>(INDEX('Race 85'!$E$8:$E$200,(MATCH($B220,'Race 85'!$B$8:$B$200,0)),1))*100</f>
        <v>55.154219056799349</v>
      </c>
      <c r="CP220" s="74"/>
      <c r="CQ220" s="74">
        <f>(INDEX('Race 87'!$E$8:$E$200,(MATCH($B220,'Race 87'!$B$8:$B$200,0)),1))*100</f>
        <v>55.705832407469899</v>
      </c>
      <c r="CR220" s="74"/>
      <c r="CS220" s="74"/>
      <c r="CT220" s="74"/>
      <c r="CU220" s="74"/>
      <c r="CV220" s="74"/>
      <c r="CW220" s="74"/>
      <c r="CX220" s="7"/>
      <c r="CY220" s="7"/>
      <c r="CZ220" s="74"/>
      <c r="DA220" s="74"/>
      <c r="DB220" s="74"/>
      <c r="DC220" s="74"/>
      <c r="DD220" s="74"/>
      <c r="DE220" s="74"/>
      <c r="DF220" s="74"/>
      <c r="DG220" s="74"/>
      <c r="DH220" s="74"/>
      <c r="DI220" s="74"/>
      <c r="DJ220" s="74"/>
      <c r="DK220" s="74"/>
      <c r="DL220" s="74"/>
      <c r="DM220" s="74"/>
      <c r="DN220" s="74"/>
      <c r="DO220" s="74"/>
      <c r="DP220" s="74"/>
      <c r="DQ220" s="74"/>
      <c r="DR220" s="74"/>
      <c r="DS220" s="74"/>
      <c r="DT220" s="74"/>
      <c r="DU220" s="74"/>
      <c r="DV220" s="74"/>
      <c r="DW220" s="74"/>
      <c r="DX220" s="74"/>
      <c r="DY220" s="74"/>
      <c r="DZ220" s="8">
        <f t="shared" si="44"/>
        <v>56.040810294379547</v>
      </c>
      <c r="EA220" s="3" t="str">
        <f t="shared" si="45"/>
        <v>Jessen, David</v>
      </c>
      <c r="EB220" s="2">
        <f t="shared" si="46"/>
        <v>1</v>
      </c>
      <c r="EC220" s="112">
        <f t="shared" si="57"/>
        <v>0</v>
      </c>
      <c r="ED220" s="29">
        <f t="shared" si="48"/>
        <v>55.1365705375635</v>
      </c>
      <c r="EE220" s="2">
        <f t="shared" si="49"/>
        <v>2</v>
      </c>
      <c r="EF220" s="46">
        <f t="shared" si="50"/>
        <v>2</v>
      </c>
      <c r="EG220" s="46">
        <f t="shared" si="51"/>
        <v>4</v>
      </c>
      <c r="EH220" s="29" t="str">
        <f t="shared" si="52"/>
        <v>MT</v>
      </c>
      <c r="EI220" s="29">
        <f>IF(COUNT(I220:Y220)&lt;5,DZ220,SUMPRODUCT(LARGE(I220:Y220,{1,2,3,4,5}))/5)</f>
        <v>56.040810294379547</v>
      </c>
      <c r="EJ220" s="29">
        <f>IF(COUNT(I220:AX220)&lt;5,DZ220,SUMPRODUCT(LARGE(I220:AX220,{1,2,3,4,5}))/5)</f>
        <v>56.040810294379547</v>
      </c>
      <c r="EK220" s="29">
        <f>IF(COUNT(I220:DY220)&lt;5,AVERAGE(I220:DY220),SUMPRODUCT(LARGE(I220:DY220,{1,2,3,4,5}))/5)</f>
        <v>56.040810294379547</v>
      </c>
      <c r="EL220" s="29">
        <f t="shared" si="53"/>
        <v>55.1365705375635</v>
      </c>
      <c r="EM220" s="116" t="str">
        <f t="shared" si="54"/>
        <v>Jessen, David</v>
      </c>
      <c r="EQ220"/>
    </row>
    <row r="221" spans="1:147" x14ac:dyDescent="0.25">
      <c r="A221" s="59">
        <f t="shared" si="56"/>
        <v>218</v>
      </c>
      <c r="B221" s="32" t="s">
        <v>1334</v>
      </c>
      <c r="C221" s="5" t="s">
        <v>6</v>
      </c>
      <c r="D221" s="6" t="s">
        <v>67</v>
      </c>
      <c r="E221" s="6">
        <v>0</v>
      </c>
      <c r="F221" s="6">
        <v>0</v>
      </c>
      <c r="G221" s="5">
        <f t="shared" si="43"/>
        <v>3</v>
      </c>
      <c r="H221" s="37">
        <v>0</v>
      </c>
      <c r="I221" s="36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227"/>
      <c r="Z221" s="228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4"/>
      <c r="AP221" s="7"/>
      <c r="AQ221" s="74"/>
      <c r="AR221" s="70"/>
      <c r="AS221" s="7"/>
      <c r="AT221" s="70"/>
      <c r="AU221" s="7"/>
      <c r="AV221" s="70"/>
      <c r="AW221" s="7"/>
      <c r="AX221" s="183"/>
      <c r="AY221" s="10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103"/>
      <c r="BO221" s="14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14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101"/>
      <c r="CL221" s="74"/>
      <c r="CM221" s="74"/>
      <c r="CN221" s="74"/>
      <c r="CO221" s="70">
        <f>(INDEX('Race 85'!$E$8:$E$200,(MATCH($B221,'Race 85'!$B$8:$B$200,0)),1))*100</f>
        <v>61.301706581183566</v>
      </c>
      <c r="CP221" s="74"/>
      <c r="CQ221" s="7">
        <f>(INDEX('Race 87'!$E$8:$E$200,(MATCH($B221,'Race 87'!$B$8:$B$200,0)),1))*100</f>
        <v>68.882582578701616</v>
      </c>
      <c r="CR221" s="74"/>
      <c r="CS221" s="74"/>
      <c r="CT221" s="74"/>
      <c r="CU221" s="74"/>
      <c r="CV221" s="7">
        <f>(INDEX('Race 92'!$E$8:$E$200,(MATCH($B221,'Race 92'!$B$8:$B$200,0)),1))*100</f>
        <v>54.808368434507607</v>
      </c>
      <c r="CW221" s="7"/>
      <c r="CX221" s="7"/>
      <c r="CY221" s="7"/>
      <c r="CZ221" s="7"/>
      <c r="DA221" s="7"/>
      <c r="DB221" s="7"/>
      <c r="DC221" s="7"/>
      <c r="DD221" s="7"/>
      <c r="DE221" s="74"/>
      <c r="DF221" s="74"/>
      <c r="DG221" s="74"/>
      <c r="DH221" s="7"/>
      <c r="DI221" s="74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8">
        <f t="shared" si="44"/>
        <v>61.664219198130922</v>
      </c>
      <c r="EA221" s="3" t="str">
        <f t="shared" si="45"/>
        <v>Johansson, Hanz</v>
      </c>
      <c r="EB221" s="2">
        <f t="shared" si="46"/>
        <v>1</v>
      </c>
      <c r="EC221" s="112">
        <f t="shared" si="57"/>
        <v>0</v>
      </c>
      <c r="ED221" s="29">
        <f t="shared" si="48"/>
        <v>60.669243603041046</v>
      </c>
      <c r="EE221" s="2">
        <f t="shared" si="49"/>
        <v>0</v>
      </c>
      <c r="EF221" s="46">
        <f t="shared" si="50"/>
        <v>0</v>
      </c>
      <c r="EG221" s="46">
        <f t="shared" si="51"/>
        <v>3</v>
      </c>
      <c r="EH221" s="2" t="str">
        <f t="shared" si="52"/>
        <v>UT</v>
      </c>
      <c r="EI221" s="29">
        <f>IF(COUNT(I221:AD221)&lt;5,DZ221,SUMPRODUCT(LARGE(I221:AD221,{1,2,3,4,5}))/5)</f>
        <v>61.664219198130922</v>
      </c>
      <c r="EJ221" s="29">
        <f>IF(COUNT(I221:BE221)&lt;5,DZ221,SUMPRODUCT(LARGE(I221:BE221,{1,2,3,4,5}))/5)</f>
        <v>61.664219198130922</v>
      </c>
      <c r="EK221" s="29">
        <f>IF(COUNT(I221:DY221)&lt;5,AVERAGE(I221:DY221),SUMPRODUCT(LARGE(I221:DY221,{1,2,3,4,5}))/5)</f>
        <v>61.664219198130922</v>
      </c>
      <c r="EL221" s="29">
        <f t="shared" si="53"/>
        <v>60.669243603041046</v>
      </c>
      <c r="EM221" s="116" t="str">
        <f t="shared" si="54"/>
        <v>Johansson, Hanz</v>
      </c>
      <c r="EQ221"/>
    </row>
    <row r="222" spans="1:147" x14ac:dyDescent="0.25">
      <c r="A222" s="59">
        <f t="shared" si="56"/>
        <v>219</v>
      </c>
      <c r="B222" s="32" t="s">
        <v>996</v>
      </c>
      <c r="C222" s="106" t="s">
        <v>6</v>
      </c>
      <c r="D222" s="187" t="s">
        <v>67</v>
      </c>
      <c r="E222" s="6">
        <v>56.530976070307005</v>
      </c>
      <c r="F222" s="6">
        <v>56.530976070307005</v>
      </c>
      <c r="G222" s="5">
        <f t="shared" si="43"/>
        <v>1</v>
      </c>
      <c r="H222" s="37">
        <v>0</v>
      </c>
      <c r="I222" s="107">
        <f>(INDEX('Race 1'!$E$8:$E$200,(MATCH($B222,'Race 1'!$B$8:$B$200,0)),1))*100</f>
        <v>56.530976070307005</v>
      </c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229"/>
      <c r="Z222" s="230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101"/>
      <c r="AU222" s="74"/>
      <c r="AV222" s="101"/>
      <c r="AW222" s="74"/>
      <c r="AX222" s="8"/>
      <c r="AY222" s="36"/>
      <c r="AZ222" s="74"/>
      <c r="BA222" s="74"/>
      <c r="BB222" s="74"/>
      <c r="BC222" s="74"/>
      <c r="BD222" s="7"/>
      <c r="BE222" s="7"/>
      <c r="BF222" s="74"/>
      <c r="BG222" s="74"/>
      <c r="BH222" s="74"/>
      <c r="BI222" s="74"/>
      <c r="BJ222" s="74"/>
      <c r="BK222" s="74"/>
      <c r="BL222" s="74"/>
      <c r="BM222" s="74"/>
      <c r="BN222" s="74"/>
      <c r="BO222" s="103"/>
      <c r="BP222" s="7"/>
      <c r="BQ222" s="7"/>
      <c r="BR222" s="74"/>
      <c r="BS222" s="7"/>
      <c r="BT222" s="7"/>
      <c r="BU222" s="74"/>
      <c r="BV222" s="74"/>
      <c r="BW222" s="74"/>
      <c r="BX222" s="74"/>
      <c r="BY222" s="74"/>
      <c r="BZ222" s="103"/>
      <c r="CA222" s="7"/>
      <c r="CB222" s="74"/>
      <c r="CC222" s="74"/>
      <c r="CD222" s="74"/>
      <c r="CE222" s="74"/>
      <c r="CF222" s="74"/>
      <c r="CG222" s="74"/>
      <c r="CH222" s="74"/>
      <c r="CI222" s="74"/>
      <c r="CJ222" s="74"/>
      <c r="CK222" s="101"/>
      <c r="CL222" s="74"/>
      <c r="CM222" s="74"/>
      <c r="CN222" s="74"/>
      <c r="CO222" s="101"/>
      <c r="CP222" s="74"/>
      <c r="CQ222" s="74"/>
      <c r="CR222" s="74"/>
      <c r="CS222" s="74"/>
      <c r="CT222" s="74"/>
      <c r="CU222" s="74"/>
      <c r="CV222" s="74"/>
      <c r="CW222" s="74"/>
      <c r="CX222" s="7"/>
      <c r="CY222" s="7"/>
      <c r="CZ222" s="74"/>
      <c r="DA222" s="74"/>
      <c r="DB222" s="74"/>
      <c r="DC222" s="74"/>
      <c r="DD222" s="74"/>
      <c r="DE222" s="74"/>
      <c r="DF222" s="74"/>
      <c r="DG222" s="74"/>
      <c r="DH222" s="74"/>
      <c r="DI222" s="74"/>
      <c r="DJ222" s="74"/>
      <c r="DK222" s="74"/>
      <c r="DL222" s="74"/>
      <c r="DM222" s="74"/>
      <c r="DN222" s="74"/>
      <c r="DO222" s="74"/>
      <c r="DP222" s="74"/>
      <c r="DQ222" s="74"/>
      <c r="DR222" s="74"/>
      <c r="DS222" s="74"/>
      <c r="DT222" s="74"/>
      <c r="DU222" s="74"/>
      <c r="DV222" s="74"/>
      <c r="DW222" s="74"/>
      <c r="DX222" s="74"/>
      <c r="DY222" s="74"/>
      <c r="DZ222" s="8">
        <f t="shared" si="44"/>
        <v>56.530976070307005</v>
      </c>
      <c r="EA222" s="3" t="str">
        <f t="shared" si="45"/>
        <v xml:space="preserve">JOHANSSON, Hanz </v>
      </c>
      <c r="EB222" s="2">
        <f t="shared" si="46"/>
        <v>1</v>
      </c>
      <c r="EC222" s="112">
        <f t="shared" si="57"/>
        <v>0</v>
      </c>
      <c r="ED222" s="29">
        <f t="shared" si="48"/>
        <v>55.618827302545263</v>
      </c>
      <c r="EE222" s="2">
        <f t="shared" si="49"/>
        <v>1</v>
      </c>
      <c r="EF222" s="46">
        <f t="shared" si="50"/>
        <v>1</v>
      </c>
      <c r="EG222" s="46">
        <f t="shared" si="51"/>
        <v>1</v>
      </c>
      <c r="EH222" s="29" t="str">
        <f t="shared" si="52"/>
        <v>UT</v>
      </c>
      <c r="EI222" s="29">
        <f>IF(COUNT(I222:Y222)&lt;5,DZ222,SUMPRODUCT(LARGE(I222:Y222,{1,2,3,4,5}))/5)</f>
        <v>56.530976070307005</v>
      </c>
      <c r="EJ222" s="29">
        <f>IF(COUNT(I222:AX222)&lt;5,DZ222,SUMPRODUCT(LARGE(I222:AX222,{1,2,3,4,5}))/5)</f>
        <v>56.530976070307005</v>
      </c>
      <c r="EK222" s="29">
        <f>IF(COUNT(I222:DY222)&lt;5,AVERAGE(I222:DY222),SUMPRODUCT(LARGE(I222:DY222,{1,2,3,4,5}))/5)</f>
        <v>56.530976070307005</v>
      </c>
      <c r="EL222" s="29">
        <f t="shared" si="53"/>
        <v>55.618827302545263</v>
      </c>
      <c r="EM222" s="116" t="str">
        <f t="shared" si="54"/>
        <v xml:space="preserve">JOHANSSON, Hanz </v>
      </c>
      <c r="EQ222"/>
    </row>
    <row r="223" spans="1:147" x14ac:dyDescent="0.25">
      <c r="A223" s="59">
        <f t="shared" si="56"/>
        <v>220</v>
      </c>
      <c r="B223" s="32" t="s">
        <v>714</v>
      </c>
      <c r="C223" s="5" t="s">
        <v>16</v>
      </c>
      <c r="D223" s="6" t="s">
        <v>64</v>
      </c>
      <c r="E223" s="6">
        <v>83.939036057542722</v>
      </c>
      <c r="F223" s="6">
        <v>83.939036057542722</v>
      </c>
      <c r="G223" s="5">
        <f t="shared" si="43"/>
        <v>16</v>
      </c>
      <c r="H223" s="37">
        <v>87.176205670220071</v>
      </c>
      <c r="I223" s="36"/>
      <c r="J223" s="7"/>
      <c r="K223" s="7"/>
      <c r="L223" s="7"/>
      <c r="M223" s="7"/>
      <c r="N223" s="7"/>
      <c r="O223" s="7"/>
      <c r="P223" s="7"/>
      <c r="Q223" s="7">
        <f>(INDEX('Race 9'!$E$8:$E$200,(MATCH($B223,'Race 9'!$B$8:$B$200,0)),1))*100</f>
        <v>79.555748811317144</v>
      </c>
      <c r="R223" s="7"/>
      <c r="S223" s="7">
        <f>(INDEX('Race 11'!$E$8:$E$200,(MATCH($B223,'Race 11'!$B$8:$B$200,0)),1))*100</f>
        <v>79.039639901559426</v>
      </c>
      <c r="T223" s="7"/>
      <c r="U223" s="7"/>
      <c r="V223" s="7">
        <f>(INDEX('Race 14'!$E$8:$E$200,(MATCH($B223,'Race 14'!$B$8:$B$200,0)),1))*100</f>
        <v>81.108414977569836</v>
      </c>
      <c r="W223" s="7"/>
      <c r="X223" s="7">
        <f>(INDEX('Race 16'!$E$8:$E$200,(MATCH($B223,'Race 16'!$B$8:$B$200,0)),1))*100</f>
        <v>87.852503210293037</v>
      </c>
      <c r="Y223" s="227">
        <f>(INDEX('Race 17'!$E$8:$E$200,(MATCH($B223,'Race 17'!$B$8:$B$200,0)),1))*100</f>
        <v>92.138873386974197</v>
      </c>
      <c r="Z223" s="228"/>
      <c r="AA223" s="7"/>
      <c r="AB223" s="7"/>
      <c r="AC223" s="7"/>
      <c r="AD223" s="7"/>
      <c r="AE223" s="74"/>
      <c r="AF223" s="7"/>
      <c r="AG223" s="7"/>
      <c r="AH223" s="7"/>
      <c r="AI223" s="7"/>
      <c r="AJ223" s="7"/>
      <c r="AK223" s="7"/>
      <c r="AL223" s="7"/>
      <c r="AM223" s="7"/>
      <c r="AN223" s="7"/>
      <c r="AO223" s="74"/>
      <c r="AP223" s="7"/>
      <c r="AQ223" s="74"/>
      <c r="AR223" s="70"/>
      <c r="AS223" s="7"/>
      <c r="AT223" s="70"/>
      <c r="AU223" s="7"/>
      <c r="AV223" s="70"/>
      <c r="AW223" s="7"/>
      <c r="AX223" s="8"/>
      <c r="AY223" s="36"/>
      <c r="AZ223" s="7"/>
      <c r="BA223" s="7">
        <f>(INDEX('Race 45'!$E$8:$E$200,(MATCH($B223,'Race 45'!$B$8:$B$200,0)),1))*100</f>
        <v>89.683242766529787</v>
      </c>
      <c r="BB223" s="7"/>
      <c r="BC223" s="7"/>
      <c r="BD223" s="7">
        <f>(INDEX('Race 48'!$E$8:$E$200,(MATCH($B223,'Race 48'!$B$8:$B$200,0)),1))*100</f>
        <v>88.537389283813766</v>
      </c>
      <c r="BE223" s="7"/>
      <c r="BF223" s="7"/>
      <c r="BG223" s="7"/>
      <c r="BH223" s="7"/>
      <c r="BI223" s="7"/>
      <c r="BJ223" s="7"/>
      <c r="BK223" s="7"/>
      <c r="BL223" s="7"/>
      <c r="BM223" s="7"/>
      <c r="BN223" s="14"/>
      <c r="BO223" s="14"/>
      <c r="BP223" s="7"/>
      <c r="BQ223" s="7"/>
      <c r="BR223" s="7"/>
      <c r="BS223" s="7"/>
      <c r="BT223" s="7"/>
      <c r="BU223" s="7"/>
      <c r="BV223" s="7">
        <f>(INDEX('Race 66'!$E$8:$E$200,(MATCH($B223,'Race 66'!$B$8:$B$200,0)),1))*100</f>
        <v>86.722129522119602</v>
      </c>
      <c r="BW223" s="7">
        <f>(INDEX('Race 67'!$E$8:$E$200,(MATCH($B223,'Race 67'!$B$8:$B$200,0)),1))*100</f>
        <v>86.975813959602789</v>
      </c>
      <c r="BX223" s="7">
        <f>(INDEX('Race 68'!$E$8:$E$200,(MATCH($B223,'Race 68'!$B$8:$B$200,0)),1))*100</f>
        <v>85.754619779505802</v>
      </c>
      <c r="BY223" s="7">
        <f>(INDEX('Race 69'!$E$8:$E$200,(MATCH($B223,'Race 69'!$B$8:$B$200,0)),1))*100</f>
        <v>87.309502026844839</v>
      </c>
      <c r="BZ223" s="14"/>
      <c r="CA223" s="7"/>
      <c r="CB223" s="7">
        <f>(INDEX('Race 72'!$E$8:$E$200,(MATCH($B223,'Race 72'!$B$8:$B$200,0)),1))*100</f>
        <v>89.81289516182251</v>
      </c>
      <c r="CC223" s="7"/>
      <c r="CD223" s="7"/>
      <c r="CE223" s="7"/>
      <c r="CF223" s="7"/>
      <c r="CG223" s="7"/>
      <c r="CH223" s="7"/>
      <c r="CI223" s="7"/>
      <c r="CJ223" s="7"/>
      <c r="CK223" s="101"/>
      <c r="CL223" s="7"/>
      <c r="CM223" s="7"/>
      <c r="CN223" s="74">
        <f>(INDEX('Race 84'!$E$8:$E$200,(MATCH($B223,'Race 84'!$B$8:$B$200,0)),1))*100</f>
        <v>83.176013038504138</v>
      </c>
      <c r="CO223" s="70"/>
      <c r="CP223" s="74">
        <f>(INDEX('Race 86'!$E$8:$E$200,(MATCH($B223,'Race 86'!$B$8:$B$200,0)),1))*100</f>
        <v>90.410583532701452</v>
      </c>
      <c r="CQ223" s="7"/>
      <c r="CR223" s="74"/>
      <c r="CS223" s="74"/>
      <c r="CT223" s="74"/>
      <c r="CU223" s="74"/>
      <c r="CV223" s="7">
        <f>(INDEX('Race 92'!$E$8:$E$200,(MATCH($B223,'Race 92'!$B$8:$B$200,0)),1))*100</f>
        <v>87.41911615222763</v>
      </c>
      <c r="CW223" s="7"/>
      <c r="CX223" s="7"/>
      <c r="CY223" s="7"/>
      <c r="CZ223" s="7">
        <f>(INDEX('Race 96'!$E$8:$E$200,(MATCH($B223,'Race 96'!$B$8:$B$200,0)),1))*100</f>
        <v>88.774819548557147</v>
      </c>
      <c r="DA223" s="7"/>
      <c r="DB223" s="74"/>
      <c r="DC223" s="7"/>
      <c r="DD223" s="7"/>
      <c r="DE223" s="74"/>
      <c r="DF223" s="74"/>
      <c r="DG223" s="74"/>
      <c r="DH223" s="74"/>
      <c r="DI223" s="74"/>
      <c r="DJ223" s="74"/>
      <c r="DK223" s="74"/>
      <c r="DL223" s="74"/>
      <c r="DM223" s="74"/>
      <c r="DN223" s="7"/>
      <c r="DO223" s="74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8">
        <f t="shared" si="44"/>
        <v>86.516956566246435</v>
      </c>
      <c r="EA223" s="3" t="str">
        <f t="shared" si="45"/>
        <v>Johnson, Cody</v>
      </c>
      <c r="EB223" s="2">
        <f t="shared" si="46"/>
        <v>1</v>
      </c>
      <c r="EC223" s="112">
        <f t="shared" si="57"/>
        <v>87.176205670220071</v>
      </c>
      <c r="ED223" s="29">
        <f t="shared" si="48"/>
        <v>88.709251160288304</v>
      </c>
      <c r="EE223" s="2">
        <f t="shared" si="49"/>
        <v>5</v>
      </c>
      <c r="EF223" s="46">
        <f t="shared" si="50"/>
        <v>7</v>
      </c>
      <c r="EG223" s="46">
        <f t="shared" si="51"/>
        <v>16</v>
      </c>
      <c r="EH223" s="2" t="str">
        <f t="shared" si="52"/>
        <v>ME</v>
      </c>
      <c r="EI223" s="29">
        <f>IF(COUNT(I223:Y223)&lt;5,DZ223,SUMPRODUCT(LARGE(I223:Y223,{1,2,3,4,5}))/5)</f>
        <v>83.939036057542722</v>
      </c>
      <c r="EJ223" s="29">
        <f>IF(COUNT(I223:AX223)&lt;5,DZ223,SUMPRODUCT(LARGE(I223:AX223,{1,2,3,4,5}))/5)</f>
        <v>83.939036057542722</v>
      </c>
      <c r="EK223" s="29">
        <f>IF(COUNT(I223:DY223)&lt;5,AVERAGE(I223:DY223),SUMPRODUCT(LARGE(I223:DY223,{1,2,3,4,5}))/5)</f>
        <v>90.164082879317021</v>
      </c>
      <c r="EL223" s="29">
        <f t="shared" si="53"/>
        <v>88.709251160288304</v>
      </c>
      <c r="EM223" s="116" t="str">
        <f t="shared" si="54"/>
        <v>Johnson, Cody</v>
      </c>
      <c r="EQ223"/>
    </row>
    <row r="224" spans="1:147" x14ac:dyDescent="0.25">
      <c r="A224" s="59">
        <f t="shared" si="56"/>
        <v>221</v>
      </c>
      <c r="B224" s="32" t="s">
        <v>1203</v>
      </c>
      <c r="C224" s="5" t="s">
        <v>6</v>
      </c>
      <c r="D224" s="6" t="s">
        <v>62</v>
      </c>
      <c r="E224" s="6">
        <v>0</v>
      </c>
      <c r="F224" s="6">
        <v>0</v>
      </c>
      <c r="G224" s="5">
        <f t="shared" si="43"/>
        <v>1</v>
      </c>
      <c r="H224" s="37">
        <v>0</v>
      </c>
      <c r="I224" s="36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227"/>
      <c r="Z224" s="228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4"/>
      <c r="AP224" s="7"/>
      <c r="AQ224" s="74"/>
      <c r="AR224" s="70"/>
      <c r="AS224" s="7"/>
      <c r="AT224" s="70"/>
      <c r="AU224" s="7"/>
      <c r="AV224" s="70"/>
      <c r="AW224" s="7"/>
      <c r="AX224" s="8"/>
      <c r="AY224" s="36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103"/>
      <c r="BO224" s="14"/>
      <c r="BP224" s="7"/>
      <c r="BQ224" s="7"/>
      <c r="BR224" s="7"/>
      <c r="BS224" s="7"/>
      <c r="BT224" s="7">
        <f>(INDEX('Race 64'!$E$8:$E$200,(MATCH($B224,'Race 64'!$B$8:$B$200,0)),1))*100</f>
        <v>65.849155158323867</v>
      </c>
      <c r="BU224" s="7"/>
      <c r="BV224" s="7"/>
      <c r="BW224" s="7"/>
      <c r="BX224" s="7"/>
      <c r="BY224" s="7"/>
      <c r="BZ224" s="14"/>
      <c r="CA224" s="7"/>
      <c r="CB224" s="7"/>
      <c r="CC224" s="7"/>
      <c r="CD224" s="7"/>
      <c r="CE224" s="7"/>
      <c r="CF224" s="7"/>
      <c r="CG224" s="7"/>
      <c r="CH224" s="7"/>
      <c r="CI224" s="7"/>
      <c r="CJ224" s="74"/>
      <c r="CK224" s="101"/>
      <c r="CL224" s="74"/>
      <c r="CM224" s="74"/>
      <c r="CN224" s="74"/>
      <c r="CO224" s="70"/>
      <c r="CP224" s="74"/>
      <c r="CQ224" s="7"/>
      <c r="CR224" s="74"/>
      <c r="CS224" s="74"/>
      <c r="CT224" s="74"/>
      <c r="CU224" s="74"/>
      <c r="CV224" s="7"/>
      <c r="CW224" s="7"/>
      <c r="CX224" s="7"/>
      <c r="CY224" s="7"/>
      <c r="CZ224" s="7"/>
      <c r="DA224" s="7"/>
      <c r="DB224" s="7"/>
      <c r="DC224" s="7"/>
      <c r="DD224" s="7"/>
      <c r="DE224" s="74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8">
        <f t="shared" si="44"/>
        <v>65.849155158323867</v>
      </c>
      <c r="EA224" s="3" t="str">
        <f t="shared" si="45"/>
        <v>Johnson, Dan</v>
      </c>
      <c r="EB224" s="2">
        <f t="shared" si="46"/>
        <v>1</v>
      </c>
      <c r="EC224" s="29">
        <v>0</v>
      </c>
      <c r="ED224" s="29">
        <f t="shared" si="48"/>
        <v>64.786654032195855</v>
      </c>
      <c r="EE224" s="2">
        <f t="shared" si="49"/>
        <v>0</v>
      </c>
      <c r="EF224" s="46">
        <f t="shared" si="50"/>
        <v>0</v>
      </c>
      <c r="EG224" s="46">
        <f t="shared" si="51"/>
        <v>1</v>
      </c>
      <c r="EH224" s="29" t="str">
        <f t="shared" si="52"/>
        <v>CO</v>
      </c>
      <c r="EI224" s="29">
        <f>IF(COUNT(I224:AD224)&lt;5,DZ224,SUMPRODUCT(LARGE(I224:AD224,{1,2,3,4,5}))/5)</f>
        <v>65.849155158323867</v>
      </c>
      <c r="EJ224" s="29">
        <f>IF(COUNT(I224:BE224)&lt;5,DZ224,SUMPRODUCT(LARGE(I224:BE224,{1,2,3,4,5}))/5)</f>
        <v>65.849155158323867</v>
      </c>
      <c r="EK224" s="29">
        <f>IF(COUNT(I224:DY224)&lt;5,AVERAGE(I224:DY224),SUMPRODUCT(LARGE(I224:DY224,{1,2,3,4,5}))/5)</f>
        <v>65.849155158323867</v>
      </c>
      <c r="EL224" s="29">
        <f t="shared" si="53"/>
        <v>64.786654032195855</v>
      </c>
      <c r="EM224" s="116" t="str">
        <f t="shared" si="54"/>
        <v>Johnson, Dan</v>
      </c>
      <c r="EQ224"/>
    </row>
    <row r="225" spans="1:147" x14ac:dyDescent="0.25">
      <c r="A225" s="59">
        <f t="shared" si="56"/>
        <v>222</v>
      </c>
      <c r="B225" s="186" t="s">
        <v>1022</v>
      </c>
      <c r="C225" s="106" t="s">
        <v>6</v>
      </c>
      <c r="D225" s="187" t="s">
        <v>59</v>
      </c>
      <c r="E225" s="6">
        <v>0</v>
      </c>
      <c r="F225" s="6">
        <v>0</v>
      </c>
      <c r="G225" s="5">
        <v>0</v>
      </c>
      <c r="H225" s="37">
        <v>0</v>
      </c>
      <c r="I225" s="107"/>
      <c r="J225" s="74"/>
      <c r="K225" s="74"/>
      <c r="L225" s="74"/>
      <c r="M225" s="74"/>
      <c r="N225" s="74"/>
      <c r="O225" s="74"/>
      <c r="P225" s="74"/>
      <c r="Q225" s="7">
        <f>(INDEX('Race 9'!$E$8:$E$200,(MATCH($B225,'Race 9'!$B$8:$B$200,0)),1))*100</f>
        <v>86.974399502206197</v>
      </c>
      <c r="R225" s="74"/>
      <c r="S225" s="7">
        <f>(INDEX('Race 11'!$E$8:$E$200,(MATCH($B225,'Race 11'!$B$8:$B$200,0)),1))*100</f>
        <v>83.851298393658524</v>
      </c>
      <c r="T225" s="7">
        <f>(INDEX('Race 12'!$E$8:$E$200,(MATCH($B225,'Race 12'!$B$8:$B$200,0)),1))*100</f>
        <v>92.231020317128625</v>
      </c>
      <c r="U225" s="74"/>
      <c r="V225" s="7">
        <f>(INDEX('Race 14'!$E$8:$E$200,(MATCH($B225,'Race 14'!$B$8:$B$200,0)),1))*100</f>
        <v>93.345051659481953</v>
      </c>
      <c r="W225" s="74"/>
      <c r="X225" s="74"/>
      <c r="Y225" s="229"/>
      <c r="Z225" s="230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101"/>
      <c r="AS225" s="74"/>
      <c r="AT225" s="101"/>
      <c r="AU225" s="74"/>
      <c r="AV225" s="101"/>
      <c r="AW225" s="74"/>
      <c r="AX225" s="183"/>
      <c r="AY225" s="107"/>
      <c r="AZ225" s="74"/>
      <c r="BA225" s="74"/>
      <c r="BB225" s="74"/>
      <c r="BC225" s="74"/>
      <c r="BD225" s="7"/>
      <c r="BE225" s="7"/>
      <c r="BF225" s="74"/>
      <c r="BG225" s="74"/>
      <c r="BH225" s="74"/>
      <c r="BI225" s="74"/>
      <c r="BJ225" s="74"/>
      <c r="BK225" s="74"/>
      <c r="BL225" s="74"/>
      <c r="BM225" s="74"/>
      <c r="BN225" s="103"/>
      <c r="BO225" s="103"/>
      <c r="BP225" s="7"/>
      <c r="BQ225" s="7"/>
      <c r="BR225" s="74"/>
      <c r="BS225" s="7"/>
      <c r="BT225" s="7"/>
      <c r="BU225" s="74"/>
      <c r="BV225" s="74"/>
      <c r="BW225" s="74"/>
      <c r="BX225" s="74"/>
      <c r="BY225" s="74"/>
      <c r="BZ225" s="103"/>
      <c r="CA225" s="7"/>
      <c r="CB225" s="74"/>
      <c r="CC225" s="74"/>
      <c r="CD225" s="74"/>
      <c r="CE225" s="74"/>
      <c r="CF225" s="74"/>
      <c r="CG225" s="74"/>
      <c r="CH225" s="74"/>
      <c r="CI225" s="74"/>
      <c r="CJ225" s="74"/>
      <c r="CK225" s="101"/>
      <c r="CL225" s="74"/>
      <c r="CM225" s="74"/>
      <c r="CN225" s="74"/>
      <c r="CO225" s="101"/>
      <c r="CP225" s="74"/>
      <c r="CQ225" s="74"/>
      <c r="CR225" s="74">
        <f>(INDEX('Race 88'!$E$8:$E$200,(MATCH($B225,'Race 88'!$B$8:$B$200,0)),1))*100</f>
        <v>83.551316301138598</v>
      </c>
      <c r="CS225" s="74">
        <f>(INDEX('Race 89'!$E$8:$E$200,(MATCH($B225,'Race 89'!$B$8:$B$200,0)),1))*100</f>
        <v>87.393074950957001</v>
      </c>
      <c r="CT225" s="74"/>
      <c r="CU225" s="74"/>
      <c r="CV225" s="74"/>
      <c r="CW225" s="74"/>
      <c r="CX225" s="7"/>
      <c r="CY225" s="7"/>
      <c r="CZ225" s="74"/>
      <c r="DA225" s="74"/>
      <c r="DB225" s="74"/>
      <c r="DC225" s="74"/>
      <c r="DD225" s="74"/>
      <c r="DE225" s="74"/>
      <c r="DF225" s="74"/>
      <c r="DG225" s="74"/>
      <c r="DH225" s="74"/>
      <c r="DI225" s="74"/>
      <c r="DJ225" s="74"/>
      <c r="DK225" s="74"/>
      <c r="DL225" s="74"/>
      <c r="DM225" s="74"/>
      <c r="DN225" s="74"/>
      <c r="DO225" s="74"/>
      <c r="DP225" s="74"/>
      <c r="DQ225" s="74"/>
      <c r="DR225" s="74"/>
      <c r="DS225" s="74"/>
      <c r="DT225" s="74"/>
      <c r="DU225" s="74"/>
      <c r="DV225" s="74"/>
      <c r="DW225" s="74"/>
      <c r="DX225" s="74"/>
      <c r="DY225" s="74"/>
      <c r="DZ225" s="8">
        <f t="shared" si="44"/>
        <v>0</v>
      </c>
      <c r="EA225" s="3" t="str">
        <f t="shared" si="45"/>
        <v>Johnson, Patrick</v>
      </c>
      <c r="EB225" s="2">
        <f t="shared" si="46"/>
        <v>0</v>
      </c>
      <c r="EC225" s="112">
        <f>H225</f>
        <v>0</v>
      </c>
      <c r="ED225" s="29">
        <f t="shared" si="48"/>
        <v>87.326809292292864</v>
      </c>
      <c r="EE225" s="2">
        <f t="shared" si="49"/>
        <v>4</v>
      </c>
      <c r="EF225" s="46">
        <f t="shared" si="50"/>
        <v>4</v>
      </c>
      <c r="EG225" s="46">
        <f t="shared" si="51"/>
        <v>6</v>
      </c>
      <c r="EH225" s="29" t="str">
        <f t="shared" si="52"/>
        <v>MT</v>
      </c>
      <c r="EI225" s="29">
        <f>IF(COUNT(I225:Y225)&lt;5,DZ225,SUMPRODUCT(LARGE(I225:Y225,{1,2,3,4,5}))/5)</f>
        <v>0</v>
      </c>
      <c r="EJ225" s="29">
        <f>IF(COUNT(I225:AX225)&lt;5,DZ225,SUMPRODUCT(LARGE(I225:AX225,{1,2,3,4,5}))/5)</f>
        <v>0</v>
      </c>
      <c r="EK225" s="29">
        <f>IF(COUNT(I225:DY225)&lt;5,AVERAGE(I225:DY225),SUMPRODUCT(LARGE(I225:DY225,{1,2,3,4,5}))/5)</f>
        <v>88.75896896468646</v>
      </c>
      <c r="EL225" s="29">
        <f t="shared" si="53"/>
        <v>87.326809292292864</v>
      </c>
      <c r="EM225" s="116" t="str">
        <f t="shared" si="54"/>
        <v>Johnson, Patrick</v>
      </c>
      <c r="EQ225"/>
    </row>
    <row r="226" spans="1:147" x14ac:dyDescent="0.25">
      <c r="A226" s="59">
        <f t="shared" si="56"/>
        <v>223</v>
      </c>
      <c r="B226" s="32" t="s">
        <v>1205</v>
      </c>
      <c r="C226" s="5" t="s">
        <v>6</v>
      </c>
      <c r="D226" s="6" t="s">
        <v>62</v>
      </c>
      <c r="E226" s="6">
        <v>0</v>
      </c>
      <c r="F226" s="6">
        <v>0</v>
      </c>
      <c r="G226" s="5">
        <f t="shared" ref="G226:G289" si="58">COUNT(I226:DY226)</f>
        <v>1</v>
      </c>
      <c r="H226" s="37">
        <v>0</v>
      </c>
      <c r="I226" s="107"/>
      <c r="J226" s="7"/>
      <c r="K226" s="74"/>
      <c r="L226" s="7"/>
      <c r="M226" s="74"/>
      <c r="N226" s="74"/>
      <c r="O226" s="7"/>
      <c r="P226" s="74"/>
      <c r="Q226" s="74"/>
      <c r="R226" s="74"/>
      <c r="S226" s="74"/>
      <c r="T226" s="7"/>
      <c r="U226" s="7"/>
      <c r="V226" s="74"/>
      <c r="W226" s="7"/>
      <c r="X226" s="74"/>
      <c r="Y226" s="227"/>
      <c r="Z226" s="228"/>
      <c r="AA226" s="74"/>
      <c r="AB226" s="74"/>
      <c r="AC226" s="74"/>
      <c r="AD226" s="74"/>
      <c r="AE226" s="7"/>
      <c r="AF226" s="74"/>
      <c r="AG226" s="74"/>
      <c r="AH226" s="7"/>
      <c r="AI226" s="7"/>
      <c r="AJ226" s="7"/>
      <c r="AK226" s="7"/>
      <c r="AL226" s="7"/>
      <c r="AM226" s="7"/>
      <c r="AN226" s="7"/>
      <c r="AO226" s="74"/>
      <c r="AP226" s="7"/>
      <c r="AQ226" s="74"/>
      <c r="AR226" s="101"/>
      <c r="AS226" s="7"/>
      <c r="AT226" s="74"/>
      <c r="AU226" s="7"/>
      <c r="AV226" s="74"/>
      <c r="AW226" s="7"/>
      <c r="AX226" s="8"/>
      <c r="AY226" s="36"/>
      <c r="AZ226" s="74"/>
      <c r="BA226" s="74"/>
      <c r="BB226" s="74"/>
      <c r="BC226" s="74"/>
      <c r="BD226" s="7"/>
      <c r="BE226" s="7"/>
      <c r="BF226" s="74"/>
      <c r="BG226" s="74"/>
      <c r="BH226" s="74"/>
      <c r="BI226" s="74"/>
      <c r="BJ226" s="74"/>
      <c r="BK226" s="7"/>
      <c r="BL226" s="74"/>
      <c r="BM226" s="7"/>
      <c r="BN226" s="103"/>
      <c r="BO226" s="103"/>
      <c r="BP226" s="7"/>
      <c r="BQ226" s="7"/>
      <c r="BR226" s="74"/>
      <c r="BS226" s="7"/>
      <c r="BT226" s="7">
        <f>(INDEX('Race 64'!$E$8:$E$200,(MATCH($B226,'Race 64'!$B$8:$B$200,0)),1))*100</f>
        <v>52.200656397610381</v>
      </c>
      <c r="BU226" s="74"/>
      <c r="BV226" s="74"/>
      <c r="BW226" s="74"/>
      <c r="BX226" s="74"/>
      <c r="BY226" s="74"/>
      <c r="BZ226" s="103"/>
      <c r="CA226" s="7"/>
      <c r="CB226" s="7"/>
      <c r="CC226" s="74"/>
      <c r="CD226" s="74"/>
      <c r="CE226" s="7"/>
      <c r="CF226" s="74"/>
      <c r="CG226" s="74"/>
      <c r="CH226" s="7"/>
      <c r="CI226" s="74"/>
      <c r="CJ226" s="74"/>
      <c r="CK226" s="101"/>
      <c r="CL226" s="74"/>
      <c r="CM226" s="74"/>
      <c r="CN226" s="74"/>
      <c r="CO226" s="101"/>
      <c r="CP226" s="74"/>
      <c r="CQ226" s="74"/>
      <c r="CR226" s="74"/>
      <c r="CS226" s="74"/>
      <c r="CT226" s="74"/>
      <c r="CU226" s="74"/>
      <c r="CV226" s="74"/>
      <c r="CW226" s="74"/>
      <c r="CX226" s="7"/>
      <c r="CY226" s="7"/>
      <c r="CZ226" s="74"/>
      <c r="DA226" s="74"/>
      <c r="DB226" s="74"/>
      <c r="DC226" s="74"/>
      <c r="DD226" s="74"/>
      <c r="DE226" s="74"/>
      <c r="DF226" s="74"/>
      <c r="DG226" s="74"/>
      <c r="DH226" s="74"/>
      <c r="DI226" s="74"/>
      <c r="DJ226" s="7"/>
      <c r="DK226" s="74"/>
      <c r="DL226" s="7"/>
      <c r="DM226" s="74"/>
      <c r="DN226" s="74"/>
      <c r="DO226" s="74"/>
      <c r="DP226" s="74"/>
      <c r="DQ226" s="74"/>
      <c r="DR226" s="74"/>
      <c r="DS226" s="74"/>
      <c r="DT226" s="74"/>
      <c r="DU226" s="74"/>
      <c r="DV226" s="74"/>
      <c r="DW226" s="74"/>
      <c r="DX226" s="74"/>
      <c r="DY226" s="74"/>
      <c r="DZ226" s="8">
        <f t="shared" si="44"/>
        <v>52.200656397610381</v>
      </c>
      <c r="EA226" s="3" t="str">
        <f t="shared" si="45"/>
        <v>Johnston, Brian</v>
      </c>
      <c r="EB226" s="2">
        <f t="shared" si="46"/>
        <v>1</v>
      </c>
      <c r="EC226" s="112">
        <f>H226</f>
        <v>0</v>
      </c>
      <c r="ED226" s="29">
        <f t="shared" si="48"/>
        <v>51.35837898230065</v>
      </c>
      <c r="EE226" s="2">
        <f t="shared" si="49"/>
        <v>0</v>
      </c>
      <c r="EF226" s="46">
        <f t="shared" si="50"/>
        <v>0</v>
      </c>
      <c r="EG226" s="46">
        <f t="shared" si="51"/>
        <v>1</v>
      </c>
      <c r="EH226" s="29" t="str">
        <f t="shared" si="52"/>
        <v>CO</v>
      </c>
      <c r="EI226" s="29">
        <f>IF(COUNT(I226:AD226)&lt;5,DZ226,SUMPRODUCT(LARGE(I226:AD226,{1,2,3,4,5}))/5)</f>
        <v>52.200656397610381</v>
      </c>
      <c r="EJ226" s="29">
        <f>IF(COUNT(I226:BE226)&lt;5,DZ226,SUMPRODUCT(LARGE(I226:BE226,{1,2,3,4,5}))/5)</f>
        <v>52.200656397610381</v>
      </c>
      <c r="EK226" s="29">
        <f>IF(COUNT(I226:DY226)&lt;5,AVERAGE(I226:DY226),SUMPRODUCT(LARGE(I226:DY226,{1,2,3,4,5}))/5)</f>
        <v>52.200656397610381</v>
      </c>
      <c r="EL226" s="29">
        <f t="shared" si="53"/>
        <v>51.35837898230065</v>
      </c>
      <c r="EM226" s="116" t="str">
        <f t="shared" si="54"/>
        <v>Johnston, Brian</v>
      </c>
      <c r="EQ226"/>
    </row>
    <row r="227" spans="1:147" x14ac:dyDescent="0.25">
      <c r="A227" s="59">
        <f t="shared" si="56"/>
        <v>224</v>
      </c>
      <c r="B227" s="32" t="s">
        <v>1158</v>
      </c>
      <c r="C227" s="5" t="s">
        <v>6</v>
      </c>
      <c r="D227" s="6" t="s">
        <v>61</v>
      </c>
      <c r="E227" s="6">
        <v>0</v>
      </c>
      <c r="F227" s="6">
        <v>28.502106909019602</v>
      </c>
      <c r="G227" s="5">
        <f t="shared" si="58"/>
        <v>1</v>
      </c>
      <c r="H227" s="37">
        <v>0</v>
      </c>
      <c r="I227" s="36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227"/>
      <c r="Z227" s="228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4"/>
      <c r="AP227" s="7"/>
      <c r="AQ227" s="74"/>
      <c r="AR227" s="70"/>
      <c r="AS227" s="7"/>
      <c r="AT227" s="70"/>
      <c r="AU227" s="7"/>
      <c r="AV227" s="70"/>
      <c r="AW227" s="7"/>
      <c r="AX227" s="183">
        <f>(INDEX('Race 42'!$E$8:$E$200,(MATCH($B227,'Race 42'!$B$8:$B$200,0)),1))*100</f>
        <v>28.502106909019602</v>
      </c>
      <c r="AY227" s="107"/>
      <c r="AZ227" s="70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103"/>
      <c r="BO227" s="14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14"/>
      <c r="CA227" s="7"/>
      <c r="CB227" s="7"/>
      <c r="CC227" s="7"/>
      <c r="CD227" s="7"/>
      <c r="CE227" s="7"/>
      <c r="CF227" s="7"/>
      <c r="CG227" s="74"/>
      <c r="CH227" s="7"/>
      <c r="CI227" s="7"/>
      <c r="CJ227" s="7"/>
      <c r="CK227" s="101"/>
      <c r="CL227" s="74"/>
      <c r="CM227" s="74"/>
      <c r="CN227" s="74"/>
      <c r="CO227" s="70"/>
      <c r="CP227" s="74"/>
      <c r="CQ227" s="7"/>
      <c r="CR227" s="74"/>
      <c r="CS227" s="74"/>
      <c r="CT227" s="74"/>
      <c r="CU227" s="74"/>
      <c r="CV227" s="7"/>
      <c r="CW227" s="7"/>
      <c r="CX227" s="7"/>
      <c r="CY227" s="7"/>
      <c r="CZ227" s="7"/>
      <c r="DA227" s="7"/>
      <c r="DB227" s="7"/>
      <c r="DC227" s="7"/>
      <c r="DD227" s="7"/>
      <c r="DE227" s="74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8">
        <f t="shared" si="44"/>
        <v>28.502106909019602</v>
      </c>
      <c r="EA227" s="3" t="str">
        <f t="shared" si="45"/>
        <v>Kalarchik, Jason</v>
      </c>
      <c r="EB227" s="2">
        <f t="shared" si="46"/>
        <v>1</v>
      </c>
      <c r="EC227" s="29">
        <v>0</v>
      </c>
      <c r="ED227" s="29">
        <f t="shared" si="48"/>
        <v>28.04221458974774</v>
      </c>
      <c r="EE227" s="2">
        <f t="shared" si="49"/>
        <v>0</v>
      </c>
      <c r="EF227" s="46">
        <f t="shared" si="50"/>
        <v>1</v>
      </c>
      <c r="EG227" s="46">
        <f t="shared" si="51"/>
        <v>1</v>
      </c>
      <c r="EH227" s="29" t="str">
        <f t="shared" si="52"/>
        <v>AK</v>
      </c>
      <c r="EI227" s="29">
        <f>IF(COUNT(I227:AD227)&lt;5,DZ227,SUMPRODUCT(LARGE(I227:AD227,{1,2,3,4,5}))/5)</f>
        <v>28.502106909019602</v>
      </c>
      <c r="EJ227" s="29">
        <f>IF(COUNT(I227:AX227)&lt;5,DZ227,SUMPRODUCT(LARGE(I227:AX227,{1,2,3,4,5}))/5)</f>
        <v>28.502106909019602</v>
      </c>
      <c r="EK227" s="29">
        <f>IF(COUNT(I227:DY227)&lt;5,AVERAGE(I227:DY227),SUMPRODUCT(LARGE(I227:DY227,{1,2,3,4,5}))/5)</f>
        <v>28.502106909019602</v>
      </c>
      <c r="EL227" s="29">
        <f t="shared" si="53"/>
        <v>28.04221458974774</v>
      </c>
      <c r="EM227" s="116" t="str">
        <f t="shared" si="54"/>
        <v>Kalarchik, Jason</v>
      </c>
      <c r="EQ227"/>
    </row>
    <row r="228" spans="1:147" x14ac:dyDescent="0.25">
      <c r="A228" s="59">
        <f t="shared" si="56"/>
        <v>225</v>
      </c>
      <c r="B228" s="32" t="s">
        <v>452</v>
      </c>
      <c r="C228" s="5" t="s">
        <v>6</v>
      </c>
      <c r="D228" s="6" t="s">
        <v>59</v>
      </c>
      <c r="E228" s="6">
        <v>41.478551768004372</v>
      </c>
      <c r="F228" s="6">
        <v>47.64486299656258</v>
      </c>
      <c r="G228" s="5">
        <f t="shared" si="58"/>
        <v>4</v>
      </c>
      <c r="H228" s="99">
        <v>41.478551768004372</v>
      </c>
      <c r="I228" s="107"/>
      <c r="J228" s="7"/>
      <c r="K228" s="74"/>
      <c r="L228" s="7"/>
      <c r="M228" s="74"/>
      <c r="N228" s="74"/>
      <c r="O228" s="7"/>
      <c r="P228" s="74"/>
      <c r="Q228" s="7"/>
      <c r="R228" s="74"/>
      <c r="S228" s="74"/>
      <c r="T228" s="7"/>
      <c r="U228" s="7"/>
      <c r="V228" s="74"/>
      <c r="W228" s="7"/>
      <c r="X228" s="74"/>
      <c r="Y228" s="227"/>
      <c r="Z228" s="228"/>
      <c r="AA228" s="74"/>
      <c r="AB228" s="74"/>
      <c r="AC228" s="74"/>
      <c r="AD228" s="74"/>
      <c r="AE228" s="7"/>
      <c r="AF228" s="74"/>
      <c r="AG228" s="74"/>
      <c r="AH228" s="7"/>
      <c r="AI228" s="7"/>
      <c r="AJ228" s="7"/>
      <c r="AK228" s="7"/>
      <c r="AL228" s="7"/>
      <c r="AM228" s="7"/>
      <c r="AN228" s="7"/>
      <c r="AO228" s="74"/>
      <c r="AP228" s="7"/>
      <c r="AQ228" s="74"/>
      <c r="AR228" s="101"/>
      <c r="AS228" s="7"/>
      <c r="AT228" s="101"/>
      <c r="AU228" s="7"/>
      <c r="AV228" s="101"/>
      <c r="AW228" s="7">
        <f>(INDEX('Race 41'!$E$8:$E$200,(MATCH($B228,'Race 41'!$B$8:$B$200,0)),1))*100</f>
        <v>47.383303503118753</v>
      </c>
      <c r="AX228" s="8">
        <f>(INDEX('Race 42'!$E$8:$E$200,(MATCH($B228,'Race 42'!$B$8:$B$200,0)),1))*100</f>
        <v>47.906422490006399</v>
      </c>
      <c r="AY228" s="36"/>
      <c r="AZ228" s="74"/>
      <c r="BA228" s="74"/>
      <c r="BB228" s="74"/>
      <c r="BC228" s="74"/>
      <c r="BD228" s="7"/>
      <c r="BE228" s="7"/>
      <c r="BF228" s="74"/>
      <c r="BG228" s="74"/>
      <c r="BH228" s="74"/>
      <c r="BI228" s="74"/>
      <c r="BJ228" s="74"/>
      <c r="BK228" s="7"/>
      <c r="BL228" s="74"/>
      <c r="BM228" s="7"/>
      <c r="BN228" s="103"/>
      <c r="BO228" s="103"/>
      <c r="BP228" s="7"/>
      <c r="BQ228" s="7"/>
      <c r="BR228" s="74"/>
      <c r="BS228" s="7"/>
      <c r="BT228" s="7"/>
      <c r="BU228" s="74"/>
      <c r="BV228" s="74"/>
      <c r="BW228" s="74"/>
      <c r="BX228" s="74"/>
      <c r="BY228" s="74"/>
      <c r="BZ228" s="103"/>
      <c r="CA228" s="7"/>
      <c r="CB228" s="74"/>
      <c r="CC228" s="74"/>
      <c r="CD228" s="74"/>
      <c r="CE228" s="74">
        <f>(INDEX('Race 75'!$E$8:$E$200,(MATCH($B228,'Race 75'!$B$8:$B$200,0)),1))*100</f>
        <v>47.252559307314655</v>
      </c>
      <c r="CF228" s="74">
        <f>(INDEX('Race 76'!$E$8:$E$200,(MATCH($B228,'Race 76'!$B$8:$B$200,0)),1))*100</f>
        <v>46.315294916018622</v>
      </c>
      <c r="CG228" s="74"/>
      <c r="CH228" s="74"/>
      <c r="CI228" s="74"/>
      <c r="CJ228" s="74"/>
      <c r="CK228" s="101"/>
      <c r="CL228" s="74"/>
      <c r="CM228" s="74"/>
      <c r="CN228" s="74"/>
      <c r="CO228" s="101"/>
      <c r="CP228" s="74"/>
      <c r="CQ228" s="74"/>
      <c r="CR228" s="74"/>
      <c r="CS228" s="74"/>
      <c r="CT228" s="74"/>
      <c r="CU228" s="74"/>
      <c r="CV228" s="74"/>
      <c r="CW228" s="74"/>
      <c r="CX228" s="7"/>
      <c r="CY228" s="7"/>
      <c r="CZ228" s="74"/>
      <c r="DA228" s="74"/>
      <c r="DB228" s="74"/>
      <c r="DC228" s="74"/>
      <c r="DD228" s="74"/>
      <c r="DE228" s="74"/>
      <c r="DF228" s="74"/>
      <c r="DG228" s="74"/>
      <c r="DH228" s="74"/>
      <c r="DI228" s="74"/>
      <c r="DJ228" s="100"/>
      <c r="DK228" s="74"/>
      <c r="DL228" s="74"/>
      <c r="DM228" s="74"/>
      <c r="DN228" s="74"/>
      <c r="DO228" s="74"/>
      <c r="DP228" s="74"/>
      <c r="DQ228" s="74"/>
      <c r="DR228" s="7"/>
      <c r="DS228" s="7"/>
      <c r="DT228" s="74"/>
      <c r="DU228" s="74"/>
      <c r="DV228" s="74"/>
      <c r="DW228" s="74"/>
      <c r="DX228" s="74"/>
      <c r="DY228" s="74"/>
      <c r="DZ228" s="8">
        <f t="shared" si="44"/>
        <v>47.214395054114604</v>
      </c>
      <c r="EA228" s="3" t="str">
        <f t="shared" si="45"/>
        <v>Kelly, James</v>
      </c>
      <c r="EB228" s="2">
        <f t="shared" si="46"/>
        <v>1</v>
      </c>
      <c r="EC228" s="112">
        <f t="shared" ref="EC228:EC276" si="59">H228</f>
        <v>41.478551768004372</v>
      </c>
      <c r="ED228" s="29">
        <f t="shared" si="48"/>
        <v>46.452572859223338</v>
      </c>
      <c r="EE228" s="2">
        <f t="shared" si="49"/>
        <v>0</v>
      </c>
      <c r="EF228" s="46">
        <f t="shared" si="50"/>
        <v>2</v>
      </c>
      <c r="EG228" s="46">
        <f t="shared" si="51"/>
        <v>4</v>
      </c>
      <c r="EH228" s="29" t="str">
        <f t="shared" si="52"/>
        <v>MT</v>
      </c>
      <c r="EI228" s="29">
        <f>IF(COUNT(I228:Y228)&lt;5,DZ228,SUMPRODUCT(LARGE(I228:Y228,{1,2,3,4,5}))/5)</f>
        <v>47.214395054114604</v>
      </c>
      <c r="EJ228" s="29">
        <f>IF(COUNT(I228:AX228)&lt;5,DZ228,SUMPRODUCT(LARGE(I228:AX228,{1,2,3,4,5}))/5)</f>
        <v>47.214395054114604</v>
      </c>
      <c r="EK228" s="112">
        <f>IF(COUNT(I228:DY228)&lt;5,AVERAGE(I228:DY228),SUMPRODUCT(LARGE(I228:DY228,{1,2,3,4,5}))/5)</f>
        <v>47.214395054114604</v>
      </c>
      <c r="EL228" s="29">
        <f t="shared" si="53"/>
        <v>46.452572859223338</v>
      </c>
      <c r="EM228" s="116" t="str">
        <f t="shared" si="54"/>
        <v>Kelly, James</v>
      </c>
      <c r="EQ228"/>
    </row>
    <row r="229" spans="1:147" x14ac:dyDescent="0.25">
      <c r="A229" s="59">
        <f t="shared" si="56"/>
        <v>226</v>
      </c>
      <c r="B229" s="84" t="s">
        <v>1337</v>
      </c>
      <c r="C229" s="5" t="s">
        <v>6</v>
      </c>
      <c r="D229" s="6" t="s">
        <v>67</v>
      </c>
      <c r="E229" s="6">
        <v>0</v>
      </c>
      <c r="F229" s="6">
        <v>0</v>
      </c>
      <c r="G229" s="5">
        <f t="shared" si="58"/>
        <v>1</v>
      </c>
      <c r="H229" s="37">
        <v>0</v>
      </c>
      <c r="I229" s="36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227"/>
      <c r="Z229" s="228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4"/>
      <c r="AP229" s="7"/>
      <c r="AQ229" s="74"/>
      <c r="AR229" s="7"/>
      <c r="AS229" s="7"/>
      <c r="AT229" s="70"/>
      <c r="AU229" s="7"/>
      <c r="AV229" s="70"/>
      <c r="AW229" s="7"/>
      <c r="AX229" s="8"/>
      <c r="AY229" s="36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103"/>
      <c r="BO229" s="14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14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101"/>
      <c r="CL229" s="74"/>
      <c r="CM229" s="74"/>
      <c r="CN229" s="74"/>
      <c r="CO229" s="70"/>
      <c r="CP229" s="74">
        <f>(INDEX('Race 86'!$E$8:$E$200,(MATCH($B229,'Race 86'!$B$8:$B$200,0)),1))*100</f>
        <v>69.725790980954002</v>
      </c>
      <c r="CQ229" s="7"/>
      <c r="CR229" s="74"/>
      <c r="CS229" s="74"/>
      <c r="CT229" s="74"/>
      <c r="CU229" s="74"/>
      <c r="CV229" s="7"/>
      <c r="CW229" s="7"/>
      <c r="CX229" s="7"/>
      <c r="CY229" s="7"/>
      <c r="CZ229" s="7"/>
      <c r="DA229" s="7"/>
      <c r="DB229" s="7"/>
      <c r="DC229" s="7"/>
      <c r="DD229" s="7"/>
      <c r="DE229" s="74"/>
      <c r="DF229" s="74"/>
      <c r="DG229" s="74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8">
        <f t="shared" si="44"/>
        <v>69.725790980954002</v>
      </c>
      <c r="EA229" s="3" t="str">
        <f t="shared" si="45"/>
        <v>Kennedy, Brian</v>
      </c>
      <c r="EB229" s="2">
        <f t="shared" si="46"/>
        <v>1</v>
      </c>
      <c r="EC229" s="112">
        <f t="shared" si="59"/>
        <v>0</v>
      </c>
      <c r="ED229" s="29">
        <f t="shared" si="48"/>
        <v>68.600738863591118</v>
      </c>
      <c r="EE229" s="2">
        <f t="shared" si="49"/>
        <v>0</v>
      </c>
      <c r="EF229" s="46">
        <f t="shared" si="50"/>
        <v>0</v>
      </c>
      <c r="EG229" s="46">
        <f t="shared" si="51"/>
        <v>1</v>
      </c>
      <c r="EH229" s="2" t="str">
        <f t="shared" si="52"/>
        <v>UT</v>
      </c>
      <c r="EI229" s="29">
        <f>IF(COUNT(I229:AD229)&lt;5,DZ229,SUMPRODUCT(LARGE(I229:AD229,{1,2,3,4,5}))/5)</f>
        <v>69.725790980954002</v>
      </c>
      <c r="EJ229" s="29">
        <f>IF(COUNT(I229:BE229)&lt;5,DZ229,SUMPRODUCT(LARGE(I229:BE229,{1,2,3,4,5}))/5)</f>
        <v>69.725790980954002</v>
      </c>
      <c r="EK229" s="29">
        <f>IF(COUNT(I229:DY229)&lt;5,AVERAGE(I229:DY229),SUMPRODUCT(LARGE(I229:DY229,{1,2,3,4,5}))/5)</f>
        <v>69.725790980954002</v>
      </c>
      <c r="EL229" s="29">
        <f t="shared" si="53"/>
        <v>68.600738863591118</v>
      </c>
      <c r="EM229" s="116" t="str">
        <f t="shared" si="54"/>
        <v>Kennedy, Brian</v>
      </c>
      <c r="EQ229"/>
    </row>
    <row r="230" spans="1:147" x14ac:dyDescent="0.25">
      <c r="A230" s="59">
        <f t="shared" si="56"/>
        <v>227</v>
      </c>
      <c r="B230" s="32" t="s">
        <v>1109</v>
      </c>
      <c r="C230" s="5" t="s">
        <v>6</v>
      </c>
      <c r="D230" s="6" t="s">
        <v>63</v>
      </c>
      <c r="E230" s="6">
        <v>42.513807878999437</v>
      </c>
      <c r="F230" s="6">
        <v>48.948958192586247</v>
      </c>
      <c r="G230" s="5">
        <f t="shared" si="58"/>
        <v>9</v>
      </c>
      <c r="H230" s="37">
        <v>42.513807878999437</v>
      </c>
      <c r="I230" s="36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227"/>
      <c r="Z230" s="228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4"/>
      <c r="AP230" s="7"/>
      <c r="AQ230" s="74"/>
      <c r="AR230" s="70"/>
      <c r="AS230" s="74">
        <f>(INDEX('Race 37'!$E$8:$E$200,(MATCH($B230,'Race 37'!$B$8:$B$200,0)),1))*100</f>
        <v>40.249786957577776</v>
      </c>
      <c r="AT230" s="101">
        <f>(INDEX('Race 38'!$E$8:$E$200,(MATCH($B230,'Race 38'!$B$8:$B$200,0)),1))*100</f>
        <v>50.400086384884055</v>
      </c>
      <c r="AU230" s="74">
        <f>(INDEX('Race 39'!$E$8:$E$200,(MATCH($B230,'Race 39'!$B$8:$B$200,0)),1))*100</f>
        <v>56.197001235296895</v>
      </c>
      <c r="AV230" s="101"/>
      <c r="AW230" s="74"/>
      <c r="AX230" s="183"/>
      <c r="AY230" s="107"/>
      <c r="AZ230" s="7">
        <f>(INDEX('Race 44'!$E$8:$E$200,(MATCH($B230,'Race 44'!$B$8:$B$200,0)),1))*100</f>
        <v>52.872424495942205</v>
      </c>
      <c r="BA230" s="7"/>
      <c r="BB230" s="7">
        <f>(INDEX('Race 46'!$E$8:$E$200,(MATCH($B230,'Race 46'!$B$8:$B$200,0)),1))*100</f>
        <v>50.342295264363827</v>
      </c>
      <c r="BC230" s="7"/>
      <c r="BD230" s="7"/>
      <c r="BE230" s="7">
        <f>(INDEX('Race 49'!$E$8:$E$200,(MATCH($B230,'Race 49'!$B$8:$B$200,0)),1))*100</f>
        <v>53.244695096882708</v>
      </c>
      <c r="BF230" s="7"/>
      <c r="BG230" s="7"/>
      <c r="BH230" s="7"/>
      <c r="BI230" s="7"/>
      <c r="BJ230" s="7"/>
      <c r="BK230" s="7"/>
      <c r="BL230" s="7"/>
      <c r="BM230" s="7"/>
      <c r="BN230" s="103">
        <f>(INDEX('Race 58'!$E$8:$E$200,(MATCH($B230,'Race 58'!$B$8:$B$200,0)),1))*100</f>
        <v>45.376192146855473</v>
      </c>
      <c r="BO230" s="14"/>
      <c r="BP230" s="7">
        <f>(INDEX('Race 60'!$E$8:$E$200,(MATCH($B230,'Race 60'!$B$8:$B$200,0)),1))*100</f>
        <v>51.162144564506605</v>
      </c>
      <c r="BQ230" s="7">
        <f>(INDEX('Race 61'!$E$8:$E$200,(MATCH($B230,'Race 61'!$B$8:$B$200,0)),1))*100</f>
        <v>40.91546278500315</v>
      </c>
      <c r="BR230" s="7"/>
      <c r="BS230" s="7"/>
      <c r="BT230" s="7"/>
      <c r="BU230" s="7"/>
      <c r="BV230" s="7"/>
      <c r="BW230" s="7"/>
      <c r="BX230" s="7"/>
      <c r="BY230" s="7"/>
      <c r="BZ230" s="14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101"/>
      <c r="CL230" s="74"/>
      <c r="CM230" s="74"/>
      <c r="CN230" s="74"/>
      <c r="CO230" s="70"/>
      <c r="CP230" s="74"/>
      <c r="CQ230" s="7"/>
      <c r="CR230" s="74"/>
      <c r="CS230" s="74"/>
      <c r="CT230" s="74"/>
      <c r="CU230" s="74"/>
      <c r="CV230" s="7"/>
      <c r="CW230" s="7"/>
      <c r="CX230" s="7"/>
      <c r="CY230" s="7"/>
      <c r="CZ230" s="7"/>
      <c r="DA230" s="7"/>
      <c r="DB230" s="7"/>
      <c r="DC230" s="7"/>
      <c r="DD230" s="7"/>
      <c r="DE230" s="74"/>
      <c r="DF230" s="74"/>
      <c r="DG230" s="74"/>
      <c r="DH230" s="7"/>
      <c r="DI230" s="74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8">
        <f t="shared" si="44"/>
        <v>48.973343214590301</v>
      </c>
      <c r="EA230" s="3" t="str">
        <f t="shared" si="45"/>
        <v>Ketterling, Brad</v>
      </c>
      <c r="EB230" s="2">
        <f t="shared" si="46"/>
        <v>1</v>
      </c>
      <c r="EC230" s="112">
        <f t="shared" si="59"/>
        <v>42.513807878999437</v>
      </c>
      <c r="ED230" s="29">
        <f t="shared" si="48"/>
        <v>51.923721325760027</v>
      </c>
      <c r="EE230" s="2">
        <f t="shared" si="49"/>
        <v>0</v>
      </c>
      <c r="EF230" s="46">
        <f t="shared" si="50"/>
        <v>9</v>
      </c>
      <c r="EG230" s="46">
        <f t="shared" si="51"/>
        <v>9</v>
      </c>
      <c r="EH230" s="29" t="str">
        <f t="shared" si="52"/>
        <v>VT</v>
      </c>
      <c r="EI230" s="29">
        <f>IF(COUNT(I230:Y230)&lt;5,DZ230,SUMPRODUCT(LARGE(I230:Y230,{1,2,3,4,5}))/5)</f>
        <v>48.973343214590301</v>
      </c>
      <c r="EJ230" s="29">
        <f>IF(COUNT(I230:AX230)&lt;5,DZ230,SUMPRODUCT(LARGE(I230:AX230,{1,2,3,4,5}))/5)</f>
        <v>48.973343214590301</v>
      </c>
      <c r="EK230" s="29">
        <f>IF(COUNT(I230:DY230)&lt;5,AVERAGE(I230:DY230),SUMPRODUCT(LARGE(I230:DY230,{1,2,3,4,5}))/5)</f>
        <v>52.775270355502492</v>
      </c>
      <c r="EL230" s="29">
        <f t="shared" si="53"/>
        <v>51.923721325760027</v>
      </c>
      <c r="EM230" s="116" t="str">
        <f t="shared" si="54"/>
        <v>Ketterling, Brad</v>
      </c>
      <c r="EQ230"/>
    </row>
    <row r="231" spans="1:147" x14ac:dyDescent="0.25">
      <c r="A231" s="59">
        <f t="shared" si="56"/>
        <v>228</v>
      </c>
      <c r="B231" s="32" t="s">
        <v>764</v>
      </c>
      <c r="C231" s="5" t="s">
        <v>16</v>
      </c>
      <c r="D231" s="6" t="s">
        <v>61</v>
      </c>
      <c r="E231" s="6">
        <v>74.876431909943179</v>
      </c>
      <c r="F231" s="6">
        <v>74.876431909943179</v>
      </c>
      <c r="G231" s="5">
        <f t="shared" si="58"/>
        <v>0</v>
      </c>
      <c r="H231" s="37">
        <v>74.876431909943179</v>
      </c>
      <c r="I231" s="36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227"/>
      <c r="Z231" s="228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4"/>
      <c r="AP231" s="7"/>
      <c r="AQ231" s="74"/>
      <c r="AR231" s="70"/>
      <c r="AS231" s="7"/>
      <c r="AT231" s="70"/>
      <c r="AU231" s="7"/>
      <c r="AV231" s="70"/>
      <c r="AW231" s="7"/>
      <c r="AX231" s="8"/>
      <c r="AY231" s="36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4"/>
      <c r="BO231" s="14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14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0"/>
      <c r="CL231" s="74"/>
      <c r="CM231" s="74"/>
      <c r="CN231" s="74"/>
      <c r="CO231" s="70"/>
      <c r="CP231" s="74"/>
      <c r="CQ231" s="7"/>
      <c r="CR231" s="74"/>
      <c r="CS231" s="74"/>
      <c r="CT231" s="74"/>
      <c r="CU231" s="74"/>
      <c r="CV231" s="7"/>
      <c r="CW231" s="7"/>
      <c r="CX231" s="7"/>
      <c r="CY231" s="7"/>
      <c r="CZ231" s="7"/>
      <c r="DA231" s="7"/>
      <c r="DB231" s="7"/>
      <c r="DC231" s="7"/>
      <c r="DD231" s="7"/>
      <c r="DE231" s="74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8">
        <f t="shared" si="44"/>
        <v>74.876431909943179</v>
      </c>
      <c r="EA231" s="3" t="str">
        <f t="shared" si="45"/>
        <v>Kilby, Alexander</v>
      </c>
      <c r="EB231" s="2">
        <f t="shared" si="46"/>
        <v>0</v>
      </c>
      <c r="EC231" s="112">
        <f t="shared" si="59"/>
        <v>74.876431909943179</v>
      </c>
      <c r="ED231" s="29">
        <f t="shared" si="48"/>
        <v>0</v>
      </c>
      <c r="EE231" s="2">
        <f t="shared" si="49"/>
        <v>0</v>
      </c>
      <c r="EF231" s="46">
        <f t="shared" si="50"/>
        <v>0</v>
      </c>
      <c r="EG231" s="46">
        <f t="shared" si="51"/>
        <v>0</v>
      </c>
      <c r="EH231" s="29" t="str">
        <f t="shared" si="52"/>
        <v>AK</v>
      </c>
      <c r="EI231" s="29">
        <f>IF(COUNT(I231:Y231)&lt;5,DZ231,SUMPRODUCT(LARGE(I231:Y231,{1,2,3,4,5}))/5)</f>
        <v>74.876431909943179</v>
      </c>
      <c r="EJ231" s="29">
        <f>IF(COUNT(I231:AX231)&lt;5,DZ231,SUMPRODUCT(LARGE(I231:AX231,{1,2,3,4,5}))/5)</f>
        <v>74.876431909943179</v>
      </c>
      <c r="EK231" s="112">
        <f>IF(EG231&lt;0,AVERAGE(I231:DY231),0)</f>
        <v>0</v>
      </c>
      <c r="EL231" s="29">
        <f t="shared" si="53"/>
        <v>0</v>
      </c>
      <c r="EM231" s="116" t="str">
        <f t="shared" si="54"/>
        <v>Kilby, Alexander</v>
      </c>
      <c r="EQ231"/>
    </row>
    <row r="232" spans="1:147" x14ac:dyDescent="0.25">
      <c r="A232" s="59">
        <f t="shared" si="56"/>
        <v>229</v>
      </c>
      <c r="B232" s="32" t="s">
        <v>448</v>
      </c>
      <c r="C232" s="5" t="s">
        <v>6</v>
      </c>
      <c r="D232" s="6" t="s">
        <v>62</v>
      </c>
      <c r="E232" s="6">
        <v>72.439478118397645</v>
      </c>
      <c r="F232" s="6">
        <v>72.439478118397645</v>
      </c>
      <c r="G232" s="5">
        <f t="shared" si="58"/>
        <v>0</v>
      </c>
      <c r="H232" s="37">
        <v>72.439478118397645</v>
      </c>
      <c r="I232" s="107"/>
      <c r="J232" s="7"/>
      <c r="K232" s="74"/>
      <c r="L232" s="7"/>
      <c r="M232" s="74"/>
      <c r="N232" s="74"/>
      <c r="O232" s="7"/>
      <c r="P232" s="74"/>
      <c r="Q232" s="7"/>
      <c r="R232" s="74"/>
      <c r="S232" s="74"/>
      <c r="T232" s="7"/>
      <c r="U232" s="7"/>
      <c r="V232" s="74"/>
      <c r="W232" s="7"/>
      <c r="X232" s="74"/>
      <c r="Y232" s="227"/>
      <c r="Z232" s="228"/>
      <c r="AA232" s="74"/>
      <c r="AB232" s="7"/>
      <c r="AC232" s="74"/>
      <c r="AD232" s="74"/>
      <c r="AE232" s="7"/>
      <c r="AF232" s="74"/>
      <c r="AG232" s="74"/>
      <c r="AH232" s="7"/>
      <c r="AI232" s="7"/>
      <c r="AJ232" s="7"/>
      <c r="AK232" s="7"/>
      <c r="AL232" s="7"/>
      <c r="AM232" s="7"/>
      <c r="AN232" s="7"/>
      <c r="AO232" s="74"/>
      <c r="AP232" s="7"/>
      <c r="AQ232" s="74"/>
      <c r="AR232" s="101"/>
      <c r="AS232" s="7"/>
      <c r="AT232" s="101"/>
      <c r="AU232" s="7"/>
      <c r="AV232" s="101"/>
      <c r="AW232" s="7"/>
      <c r="AX232" s="183"/>
      <c r="AY232" s="107"/>
      <c r="AZ232" s="74"/>
      <c r="BA232" s="74"/>
      <c r="BB232" s="74"/>
      <c r="BC232" s="74"/>
      <c r="BD232" s="7"/>
      <c r="BE232" s="7"/>
      <c r="BF232" s="74"/>
      <c r="BG232" s="74"/>
      <c r="BH232" s="74"/>
      <c r="BI232" s="74"/>
      <c r="BJ232" s="74"/>
      <c r="BK232" s="7"/>
      <c r="BL232" s="74"/>
      <c r="BM232" s="7"/>
      <c r="BN232" s="103"/>
      <c r="BO232" s="103"/>
      <c r="BP232" s="7"/>
      <c r="BQ232" s="7"/>
      <c r="BR232" s="74"/>
      <c r="BS232" s="7"/>
      <c r="BT232" s="7"/>
      <c r="BU232" s="74"/>
      <c r="BV232" s="74"/>
      <c r="BW232" s="74"/>
      <c r="BX232" s="74"/>
      <c r="BY232" s="74"/>
      <c r="BZ232" s="103"/>
      <c r="CA232" s="7"/>
      <c r="CB232" s="74"/>
      <c r="CC232" s="74"/>
      <c r="CD232" s="74"/>
      <c r="CE232" s="7"/>
      <c r="CF232" s="74"/>
      <c r="CG232" s="74"/>
      <c r="CH232" s="7"/>
      <c r="CI232" s="74"/>
      <c r="CJ232" s="74"/>
      <c r="CK232" s="101"/>
      <c r="CL232" s="74"/>
      <c r="CM232" s="74"/>
      <c r="CN232" s="74"/>
      <c r="CO232" s="101"/>
      <c r="CP232" s="74"/>
      <c r="CQ232" s="74"/>
      <c r="CR232" s="74"/>
      <c r="CS232" s="74"/>
      <c r="CT232" s="74"/>
      <c r="CU232" s="74"/>
      <c r="CV232" s="74"/>
      <c r="CW232" s="74"/>
      <c r="CX232" s="7"/>
      <c r="CY232" s="7"/>
      <c r="CZ232" s="74"/>
      <c r="DA232" s="74"/>
      <c r="DB232" s="74"/>
      <c r="DC232" s="74"/>
      <c r="DD232" s="74"/>
      <c r="DE232" s="74"/>
      <c r="DF232" s="74"/>
      <c r="DG232" s="74"/>
      <c r="DH232" s="74"/>
      <c r="DI232" s="74"/>
      <c r="DJ232" s="7"/>
      <c r="DK232" s="74"/>
      <c r="DL232" s="7"/>
      <c r="DM232" s="74"/>
      <c r="DN232" s="74"/>
      <c r="DO232" s="74"/>
      <c r="DP232" s="74"/>
      <c r="DQ232" s="74"/>
      <c r="DR232" s="7"/>
      <c r="DS232" s="7"/>
      <c r="DT232" s="74"/>
      <c r="DU232" s="74"/>
      <c r="DV232" s="74"/>
      <c r="DW232" s="74"/>
      <c r="DX232" s="74"/>
      <c r="DY232" s="74"/>
      <c r="DZ232" s="8">
        <f t="shared" si="44"/>
        <v>72.439478118397645</v>
      </c>
      <c r="EA232" s="3" t="str">
        <f t="shared" si="45"/>
        <v>Killian, Robert</v>
      </c>
      <c r="EB232" s="2">
        <f t="shared" si="46"/>
        <v>0</v>
      </c>
      <c r="EC232" s="112">
        <f t="shared" si="59"/>
        <v>72.439478118397645</v>
      </c>
      <c r="ED232" s="29">
        <f t="shared" si="48"/>
        <v>0</v>
      </c>
      <c r="EE232" s="2">
        <f t="shared" si="49"/>
        <v>0</v>
      </c>
      <c r="EF232" s="46">
        <f t="shared" si="50"/>
        <v>0</v>
      </c>
      <c r="EG232" s="46">
        <f t="shared" si="51"/>
        <v>0</v>
      </c>
      <c r="EH232" s="29" t="str">
        <f t="shared" si="52"/>
        <v>CO</v>
      </c>
      <c r="EI232" s="29">
        <f>IF(COUNT(I232:Y232)&lt;5,DZ232,SUMPRODUCT(LARGE(I232:Y232,{1,2,3,4,5}))/5)</f>
        <v>72.439478118397645</v>
      </c>
      <c r="EJ232" s="29">
        <f>IF(COUNT(I232:AX232)&lt;5,DZ232,SUMPRODUCT(LARGE(I232:AX232,{1,2,3,4,5}))/5)</f>
        <v>72.439478118397645</v>
      </c>
      <c r="EK232" s="112">
        <f>IF(EG232&lt;0,AVERAGE(I232:DY232),0)</f>
        <v>0</v>
      </c>
      <c r="EL232" s="29">
        <f t="shared" si="53"/>
        <v>0</v>
      </c>
      <c r="EM232" s="116" t="str">
        <f t="shared" si="54"/>
        <v>Killian, Robert</v>
      </c>
      <c r="EQ232"/>
    </row>
    <row r="233" spans="1:147" x14ac:dyDescent="0.25">
      <c r="A233" s="59">
        <f t="shared" si="56"/>
        <v>230</v>
      </c>
      <c r="B233" s="32" t="s">
        <v>709</v>
      </c>
      <c r="C233" s="5" t="s">
        <v>6</v>
      </c>
      <c r="D233" s="6" t="s">
        <v>62</v>
      </c>
      <c r="E233" s="6">
        <v>57.385103389992111</v>
      </c>
      <c r="F233" s="6">
        <v>59.581407521421525</v>
      </c>
      <c r="G233" s="5">
        <f t="shared" si="58"/>
        <v>4</v>
      </c>
      <c r="H233" s="37">
        <v>57.385103389992111</v>
      </c>
      <c r="I233" s="10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227"/>
      <c r="Z233" s="228"/>
      <c r="AA233" s="7"/>
      <c r="AB233" s="7"/>
      <c r="AC233" s="7"/>
      <c r="AD233" s="7"/>
      <c r="AE233" s="7"/>
      <c r="AF233" s="7"/>
      <c r="AG233" s="74">
        <f>(INDEX('Race 25'!$E$8:$E$200,(MATCH($B233,'Race 25'!$B$8:$B$200,0)),1))*100</f>
        <v>63.95979535379054</v>
      </c>
      <c r="AH233" s="7"/>
      <c r="AI233" s="7"/>
      <c r="AJ233" s="7"/>
      <c r="AK233" s="7"/>
      <c r="AL233" s="74">
        <f>(INDEX('Race 30'!$E$8:$E$200,(MATCH($B233,'Race 30'!$B$8:$B$200,0)),1))*100</f>
        <v>55.203019689052503</v>
      </c>
      <c r="AM233" s="7"/>
      <c r="AN233" s="7"/>
      <c r="AO233" s="7"/>
      <c r="AP233" s="7"/>
      <c r="AQ233" s="7"/>
      <c r="AR233" s="70"/>
      <c r="AS233" s="7"/>
      <c r="AT233" s="70"/>
      <c r="AU233" s="7"/>
      <c r="AV233" s="70"/>
      <c r="AW233" s="7"/>
      <c r="AX233" s="8"/>
      <c r="AY233" s="36"/>
      <c r="AZ233" s="7"/>
      <c r="BA233" s="7"/>
      <c r="BB233" s="7"/>
      <c r="BC233" s="74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14"/>
      <c r="BO233" s="14"/>
      <c r="BP233" s="7"/>
      <c r="BQ233" s="7"/>
      <c r="BR233" s="7"/>
      <c r="BS233" s="7">
        <f>(INDEX('Race 63'!$E$8:$E$200,(MATCH($B233,'Race 63'!$B$8:$B$200,0)),1))*100</f>
        <v>66.943264574585129</v>
      </c>
      <c r="BT233" s="7">
        <f>(INDEX('Race 64'!$E$8:$E$200,(MATCH($B233,'Race 64'!$B$8:$B$200,0)),1))*100</f>
        <v>64.490616763067166</v>
      </c>
      <c r="BU233" s="7"/>
      <c r="BV233" s="7"/>
      <c r="BW233" s="7"/>
      <c r="BX233" s="7"/>
      <c r="BY233" s="7"/>
      <c r="BZ233" s="14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101"/>
      <c r="CL233" s="74"/>
      <c r="CM233" s="74"/>
      <c r="CN233" s="74"/>
      <c r="CO233" s="70"/>
      <c r="CP233" s="74"/>
      <c r="CQ233" s="7"/>
      <c r="CR233" s="74"/>
      <c r="CS233" s="74"/>
      <c r="CT233" s="74"/>
      <c r="CU233" s="74"/>
      <c r="CV233" s="74"/>
      <c r="CW233" s="7"/>
      <c r="CX233" s="7"/>
      <c r="CY233" s="7"/>
      <c r="CZ233" s="7"/>
      <c r="DA233" s="7"/>
      <c r="DB233" s="7"/>
      <c r="DC233" s="7"/>
      <c r="DD233" s="7"/>
      <c r="DE233" s="74"/>
      <c r="DF233" s="74"/>
      <c r="DG233" s="74"/>
      <c r="DH233" s="74"/>
      <c r="DI233" s="74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8">
        <f t="shared" si="44"/>
        <v>62.64917409512384</v>
      </c>
      <c r="EA233" s="3" t="str">
        <f t="shared" si="45"/>
        <v>Kimm, Ed</v>
      </c>
      <c r="EB233" s="2">
        <f t="shared" si="46"/>
        <v>1</v>
      </c>
      <c r="EC233" s="112">
        <f t="shared" si="59"/>
        <v>57.385103389992111</v>
      </c>
      <c r="ED233" s="29">
        <f t="shared" si="48"/>
        <v>61.638305878712941</v>
      </c>
      <c r="EE233" s="2">
        <f t="shared" si="49"/>
        <v>1</v>
      </c>
      <c r="EF233" s="46">
        <f t="shared" si="50"/>
        <v>2</v>
      </c>
      <c r="EG233" s="46">
        <f t="shared" si="51"/>
        <v>4</v>
      </c>
      <c r="EH233" s="2" t="str">
        <f t="shared" si="52"/>
        <v>CO</v>
      </c>
      <c r="EI233" s="29">
        <f>IF(COUNT(I233:Y233)&lt;5,DZ233,SUMPRODUCT(LARGE(I233:Y233,{1,2,3,4,5}))/5)</f>
        <v>62.64917409512384</v>
      </c>
      <c r="EJ233" s="29">
        <f>IF(COUNT(I233:AX233)&lt;5,DZ233,SUMPRODUCT(LARGE(I233:AX233,{1,2,3,4,5}))/5)</f>
        <v>62.64917409512384</v>
      </c>
      <c r="EK233" s="29">
        <f>IF(COUNT(I233:DY233)&lt;5,AVERAGE(I233:DY233),SUMPRODUCT(LARGE(I233:DY233,{1,2,3,4,5}))/5)</f>
        <v>62.64917409512384</v>
      </c>
      <c r="EL233" s="29">
        <f t="shared" si="53"/>
        <v>61.638305878712941</v>
      </c>
      <c r="EM233" s="116" t="str">
        <f t="shared" si="54"/>
        <v>Kimm, Ed</v>
      </c>
      <c r="EQ233"/>
    </row>
    <row r="234" spans="1:147" x14ac:dyDescent="0.25">
      <c r="A234" s="59">
        <f t="shared" si="56"/>
        <v>231</v>
      </c>
      <c r="B234" s="4" t="s">
        <v>1134</v>
      </c>
      <c r="C234" s="5" t="s">
        <v>6</v>
      </c>
      <c r="D234" s="6" t="s">
        <v>88</v>
      </c>
      <c r="E234" s="6">
        <v>0</v>
      </c>
      <c r="F234" s="6">
        <v>53.03402415872749</v>
      </c>
      <c r="G234" s="5">
        <f t="shared" si="58"/>
        <v>4</v>
      </c>
      <c r="H234" s="37">
        <v>0</v>
      </c>
      <c r="I234" s="36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227"/>
      <c r="Z234" s="228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4"/>
      <c r="AP234" s="7"/>
      <c r="AQ234" s="74"/>
      <c r="AR234" s="70"/>
      <c r="AS234" s="7"/>
      <c r="AT234" s="70"/>
      <c r="AU234" s="7"/>
      <c r="AV234" s="70"/>
      <c r="AW234" s="7">
        <f>(INDEX('Race 41'!$E$8:$E$200,(MATCH($B234,'Race 41'!$B$8:$B$200,0)),1))*100</f>
        <v>51.602483697789999</v>
      </c>
      <c r="AX234" s="8">
        <f>(INDEX('Race 42'!$E$8:$E$200,(MATCH($B234,'Race 42'!$B$8:$B$200,0)),1))*100</f>
        <v>54.465564619664988</v>
      </c>
      <c r="AY234" s="36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103"/>
      <c r="BO234" s="14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14"/>
      <c r="CA234" s="7"/>
      <c r="CB234" s="7"/>
      <c r="CC234" s="7"/>
      <c r="CD234" s="7"/>
      <c r="CE234" s="7">
        <f>(INDEX('Race 75'!$E$8:$E$200,(MATCH($B234,'Race 75'!$B$8:$B$200,0)),1))*100</f>
        <v>54.505594473630794</v>
      </c>
      <c r="CF234" s="7">
        <f>(INDEX('Race 76'!$E$8:$E$200,(MATCH($B234,'Race 76'!$B$8:$B$200,0)),1))*100</f>
        <v>54.882194009957573</v>
      </c>
      <c r="CG234" s="7"/>
      <c r="CH234" s="7"/>
      <c r="CI234" s="7"/>
      <c r="CJ234" s="7"/>
      <c r="CK234" s="101"/>
      <c r="CL234" s="74"/>
      <c r="CM234" s="74"/>
      <c r="CN234" s="74"/>
      <c r="CO234" s="70"/>
      <c r="CP234" s="74"/>
      <c r="CQ234" s="7"/>
      <c r="CR234" s="74"/>
      <c r="CS234" s="74"/>
      <c r="CT234" s="74"/>
      <c r="CU234" s="74"/>
      <c r="CV234" s="7"/>
      <c r="CW234" s="7"/>
      <c r="CX234" s="7"/>
      <c r="CY234" s="7"/>
      <c r="CZ234" s="7"/>
      <c r="DA234" s="7"/>
      <c r="DB234" s="7"/>
      <c r="DC234" s="7"/>
      <c r="DD234" s="7"/>
      <c r="DE234" s="74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8">
        <f t="shared" si="44"/>
        <v>53.863959200260837</v>
      </c>
      <c r="EA234" s="3" t="str">
        <f t="shared" si="45"/>
        <v>Kirch, Jason</v>
      </c>
      <c r="EB234" s="2">
        <f t="shared" si="46"/>
        <v>1</v>
      </c>
      <c r="EC234" s="112">
        <f t="shared" si="59"/>
        <v>0</v>
      </c>
      <c r="ED234" s="29">
        <f t="shared" si="48"/>
        <v>52.994843762554929</v>
      </c>
      <c r="EE234" s="2">
        <f t="shared" si="49"/>
        <v>0</v>
      </c>
      <c r="EF234" s="46">
        <f t="shared" si="50"/>
        <v>2</v>
      </c>
      <c r="EG234" s="46">
        <f t="shared" si="51"/>
        <v>4</v>
      </c>
      <c r="EH234" s="29" t="str">
        <f t="shared" si="52"/>
        <v>WI</v>
      </c>
      <c r="EI234" s="29">
        <f>IF(COUNT(I234:AD234)&lt;5,DZ234,SUMPRODUCT(LARGE(I234:AD234,{1,2,3,4,5}))/5)</f>
        <v>53.863959200260837</v>
      </c>
      <c r="EJ234" s="29">
        <f>IF(COUNT(I234:AX234)&lt;5,DZ234,SUMPRODUCT(LARGE(I234:AX234,{1,2,3,4,5}))/5)</f>
        <v>53.863959200260837</v>
      </c>
      <c r="EK234" s="29">
        <f>IF(COUNT(I234:DY234)&lt;5,AVERAGE(I234:DY234),SUMPRODUCT(LARGE(I234:DY234,{1,2,3,4,5}))/5)</f>
        <v>53.863959200260837</v>
      </c>
      <c r="EL234" s="29">
        <f t="shared" si="53"/>
        <v>52.994843762554929</v>
      </c>
      <c r="EM234" s="116" t="str">
        <f t="shared" si="54"/>
        <v>Kirch, Jason</v>
      </c>
      <c r="EQ234"/>
    </row>
    <row r="235" spans="1:147" x14ac:dyDescent="0.25">
      <c r="A235" s="59">
        <f t="shared" si="56"/>
        <v>232</v>
      </c>
      <c r="B235" s="32" t="s">
        <v>1064</v>
      </c>
      <c r="C235" s="5" t="s">
        <v>6</v>
      </c>
      <c r="D235" s="6" t="s">
        <v>62</v>
      </c>
      <c r="E235" s="6">
        <v>0</v>
      </c>
      <c r="F235" s="6">
        <v>65.13313036771936</v>
      </c>
      <c r="G235" s="5">
        <f t="shared" si="58"/>
        <v>2</v>
      </c>
      <c r="H235" s="37">
        <v>0</v>
      </c>
      <c r="I235" s="36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227"/>
      <c r="Z235" s="228"/>
      <c r="AA235" s="7"/>
      <c r="AB235" s="7"/>
      <c r="AC235" s="7"/>
      <c r="AD235" s="7"/>
      <c r="AE235" s="7"/>
      <c r="AF235" s="7"/>
      <c r="AG235" s="74">
        <f>(INDEX('Race 25'!$E$8:$E$200,(MATCH($B235,'Race 25'!$B$8:$B$200,0)),1))*100</f>
        <v>64.717014714727284</v>
      </c>
      <c r="AH235" s="7"/>
      <c r="AI235" s="7"/>
      <c r="AJ235" s="7"/>
      <c r="AK235" s="7"/>
      <c r="AL235" s="74">
        <f>(INDEX('Race 30'!$E$8:$E$200,(MATCH($B235,'Race 30'!$B$8:$B$200,0)),1))*100</f>
        <v>65.549246020711422</v>
      </c>
      <c r="AM235" s="7"/>
      <c r="AN235" s="7"/>
      <c r="AO235" s="74"/>
      <c r="AP235" s="7"/>
      <c r="AQ235" s="74"/>
      <c r="AR235" s="7"/>
      <c r="AS235" s="7"/>
      <c r="AT235" s="7"/>
      <c r="AU235" s="7"/>
      <c r="AV235" s="7"/>
      <c r="AW235" s="7"/>
      <c r="AX235" s="8"/>
      <c r="AY235" s="36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4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4"/>
      <c r="CF235" s="74"/>
      <c r="CG235" s="7"/>
      <c r="CH235" s="7"/>
      <c r="CI235" s="7"/>
      <c r="CJ235" s="7"/>
      <c r="CK235" s="101"/>
      <c r="CL235" s="74"/>
      <c r="CM235" s="74"/>
      <c r="CN235" s="74"/>
      <c r="CO235" s="7"/>
      <c r="CP235" s="74"/>
      <c r="CQ235" s="7"/>
      <c r="CR235" s="74"/>
      <c r="CS235" s="74"/>
      <c r="CT235" s="74"/>
      <c r="CU235" s="74"/>
      <c r="CV235" s="7"/>
      <c r="CW235" s="7"/>
      <c r="CX235" s="7"/>
      <c r="CY235" s="7"/>
      <c r="CZ235" s="7"/>
      <c r="DA235" s="7"/>
      <c r="DB235" s="7"/>
      <c r="DC235" s="7"/>
      <c r="DD235" s="7"/>
      <c r="DE235" s="74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8">
        <f t="shared" si="44"/>
        <v>65.13313036771936</v>
      </c>
      <c r="EA235" s="3" t="str">
        <f t="shared" si="45"/>
        <v>Kirkegaard, Lew</v>
      </c>
      <c r="EB235" s="2">
        <f t="shared" si="46"/>
        <v>1</v>
      </c>
      <c r="EC235" s="112">
        <f t="shared" si="59"/>
        <v>0</v>
      </c>
      <c r="ED235" s="29">
        <f t="shared" si="48"/>
        <v>64.082182573513734</v>
      </c>
      <c r="EE235" s="2">
        <f t="shared" si="49"/>
        <v>1</v>
      </c>
      <c r="EF235" s="46">
        <f t="shared" si="50"/>
        <v>2</v>
      </c>
      <c r="EG235" s="46">
        <f t="shared" si="51"/>
        <v>2</v>
      </c>
      <c r="EH235" s="2" t="str">
        <f t="shared" si="52"/>
        <v>CO</v>
      </c>
      <c r="EI235" s="29">
        <f>IF(COUNT(I235:AD235)&lt;5,DZ235,SUMPRODUCT(LARGE(I235:AD235,{1,2,3,4,5}))/5)</f>
        <v>65.13313036771936</v>
      </c>
      <c r="EJ235" s="29">
        <f>IF(COUNT(I235:AX235)&lt;5,DZ235,SUMPRODUCT(LARGE(I235:AX235,{1,2,3,4,5}))/5)</f>
        <v>65.13313036771936</v>
      </c>
      <c r="EK235" s="29">
        <f>IF(COUNT(I235:DY235)&lt;5,AVERAGE(I235:DY235),SUMPRODUCT(LARGE(I235:DY235,{1,2,3,4,5}))/5)</f>
        <v>65.13313036771936</v>
      </c>
      <c r="EL235" s="29">
        <f t="shared" si="53"/>
        <v>64.082182573513734</v>
      </c>
      <c r="EM235" s="116" t="str">
        <f t="shared" si="54"/>
        <v>Kirkegaard, Lew</v>
      </c>
      <c r="EQ235"/>
    </row>
    <row r="236" spans="1:147" x14ac:dyDescent="0.25">
      <c r="A236" s="59">
        <f t="shared" si="56"/>
        <v>233</v>
      </c>
      <c r="B236" s="32" t="s">
        <v>1332</v>
      </c>
      <c r="C236" s="5" t="s">
        <v>6</v>
      </c>
      <c r="D236" s="6" t="s">
        <v>62</v>
      </c>
      <c r="E236" s="6">
        <v>0</v>
      </c>
      <c r="F236" s="6">
        <v>0</v>
      </c>
      <c r="G236" s="5">
        <f t="shared" si="58"/>
        <v>3</v>
      </c>
      <c r="H236" s="37">
        <v>0</v>
      </c>
      <c r="I236" s="36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227"/>
      <c r="Z236" s="228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4"/>
      <c r="AP236" s="7"/>
      <c r="AQ236" s="74"/>
      <c r="AR236" s="7"/>
      <c r="AS236" s="7"/>
      <c r="AT236" s="7"/>
      <c r="AU236" s="7"/>
      <c r="AV236" s="7"/>
      <c r="AW236" s="7"/>
      <c r="AX236" s="8"/>
      <c r="AY236" s="36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4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101"/>
      <c r="CL236" s="74"/>
      <c r="CM236" s="74"/>
      <c r="CN236" s="74"/>
      <c r="CO236" s="7">
        <f>(INDEX('Race 85'!$E$8:$E$200,(MATCH($B236,'Race 85'!$B$8:$B$200,0)),1))*100</f>
        <v>67.598131146359975</v>
      </c>
      <c r="CP236" s="74"/>
      <c r="CQ236" s="7">
        <f>(INDEX('Race 87'!$E$8:$E$200,(MATCH($B236,'Race 87'!$B$8:$B$200,0)),1))*100</f>
        <v>63.214130247587399</v>
      </c>
      <c r="CR236" s="74"/>
      <c r="CS236" s="74"/>
      <c r="CT236" s="74"/>
      <c r="CU236" s="74"/>
      <c r="CV236" s="7">
        <f>(INDEX('Race 92'!$E$8:$E$200,(MATCH($B236,'Race 92'!$B$8:$B$200,0)),1))*100</f>
        <v>59.998669476207247</v>
      </c>
      <c r="CW236" s="7"/>
      <c r="CX236" s="7"/>
      <c r="CY236" s="7"/>
      <c r="CZ236" s="7"/>
      <c r="DA236" s="7"/>
      <c r="DB236" s="7"/>
      <c r="DC236" s="7"/>
      <c r="DD236" s="7"/>
      <c r="DE236" s="74"/>
      <c r="DF236" s="74"/>
      <c r="DG236" s="74"/>
      <c r="DH236" s="74"/>
      <c r="DI236" s="74"/>
      <c r="DJ236" s="7"/>
      <c r="DK236" s="7"/>
      <c r="DL236" s="7"/>
      <c r="DM236" s="7"/>
      <c r="DN236" s="7"/>
      <c r="DO236" s="7"/>
      <c r="DP236" s="7"/>
      <c r="DQ236" s="74"/>
      <c r="DR236" s="74"/>
      <c r="DS236" s="7"/>
      <c r="DT236" s="7"/>
      <c r="DU236" s="7"/>
      <c r="DV236" s="74"/>
      <c r="DW236" s="7"/>
      <c r="DX236" s="7"/>
      <c r="DY236" s="7"/>
      <c r="DZ236" s="8">
        <f t="shared" si="44"/>
        <v>63.603643623384876</v>
      </c>
      <c r="EA236" s="3" t="str">
        <f t="shared" si="45"/>
        <v>Kirkegaard, Lewis</v>
      </c>
      <c r="EB236" s="2">
        <f t="shared" si="46"/>
        <v>1</v>
      </c>
      <c r="EC236" s="112">
        <f t="shared" si="59"/>
        <v>0</v>
      </c>
      <c r="ED236" s="29">
        <f t="shared" si="48"/>
        <v>62.577374678654934</v>
      </c>
      <c r="EE236" s="2">
        <f t="shared" si="49"/>
        <v>0</v>
      </c>
      <c r="EF236" s="46">
        <f t="shared" si="50"/>
        <v>0</v>
      </c>
      <c r="EG236" s="46">
        <f t="shared" si="51"/>
        <v>3</v>
      </c>
      <c r="EH236" s="2" t="str">
        <f t="shared" si="52"/>
        <v>CO</v>
      </c>
      <c r="EI236" s="29">
        <f>IF(COUNT(I236:AD236)&lt;5,DZ236,SUMPRODUCT(LARGE(I236:AD236,{1,2,3,4,5}))/5)</f>
        <v>63.603643623384876</v>
      </c>
      <c r="EJ236" s="29">
        <f>IF(COUNT(I236:BE236)&lt;5,DZ236,SUMPRODUCT(LARGE(I236:BE236,{1,2,3,4,5}))/5)</f>
        <v>63.603643623384876</v>
      </c>
      <c r="EK236" s="29">
        <f>IF(COUNT(I236:DY236)&lt;5,AVERAGE(I236:DY236),SUMPRODUCT(LARGE(I236:DY236,{1,2,3,4,5}))/5)</f>
        <v>63.603643623384876</v>
      </c>
      <c r="EL236" s="29">
        <f t="shared" si="53"/>
        <v>62.577374678654934</v>
      </c>
      <c r="EM236" s="116" t="str">
        <f t="shared" si="54"/>
        <v>Kirkegaard, Lewis</v>
      </c>
      <c r="EQ236"/>
    </row>
    <row r="237" spans="1:147" x14ac:dyDescent="0.25">
      <c r="A237" s="59">
        <f t="shared" si="56"/>
        <v>234</v>
      </c>
      <c r="B237" s="186" t="s">
        <v>1092</v>
      </c>
      <c r="C237" s="5" t="s">
        <v>6</v>
      </c>
      <c r="D237" s="187" t="s">
        <v>88</v>
      </c>
      <c r="E237" s="187">
        <v>0</v>
      </c>
      <c r="F237" s="187">
        <v>52.381673963354459</v>
      </c>
      <c r="G237" s="5">
        <f t="shared" si="58"/>
        <v>4</v>
      </c>
      <c r="H237" s="188">
        <v>0</v>
      </c>
      <c r="I237" s="107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"/>
      <c r="Y237" s="227"/>
      <c r="Z237" s="230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>
        <f>(INDEX('Race 33'!$E$8:$E$200,(MATCH($B237,'Race 33'!$B$8:$B$200,0)),1))*100</f>
        <v>52.381673963354459</v>
      </c>
      <c r="AP237" s="74"/>
      <c r="AQ237" s="74"/>
      <c r="AR237" s="74"/>
      <c r="AS237" s="74"/>
      <c r="AT237" s="74"/>
      <c r="AU237" s="74"/>
      <c r="AV237" s="74"/>
      <c r="AW237" s="74"/>
      <c r="AX237" s="183"/>
      <c r="AY237" s="107"/>
      <c r="AZ237" s="74"/>
      <c r="BA237" s="74"/>
      <c r="BB237" s="74"/>
      <c r="BC237" s="74"/>
      <c r="BD237" s="7"/>
      <c r="BE237" s="7"/>
      <c r="BF237" s="74"/>
      <c r="BG237" s="74">
        <f>(INDEX('Race 51'!$E$8:$E$200,(MATCH($B237,'Race 51'!$B$8:$B$200,0)),1))*100</f>
        <v>56.224369173582431</v>
      </c>
      <c r="BH237" s="74"/>
      <c r="BI237" s="74"/>
      <c r="BJ237" s="74"/>
      <c r="BK237" s="74"/>
      <c r="BL237" s="74"/>
      <c r="BM237" s="74"/>
      <c r="BN237" s="74"/>
      <c r="BO237" s="74">
        <f>(INDEX('Race 59'!$E$8:$E$200,(MATCH($B237,'Race 59'!$B$8:$B$200,0)),1))*100</f>
        <v>50.466470252772801</v>
      </c>
      <c r="BP237" s="7"/>
      <c r="BQ237" s="7"/>
      <c r="BR237" s="74"/>
      <c r="BS237" s="7"/>
      <c r="BT237" s="7"/>
      <c r="BU237" s="74"/>
      <c r="BV237" s="74"/>
      <c r="BW237" s="74"/>
      <c r="BX237" s="74"/>
      <c r="BY237" s="74"/>
      <c r="BZ237" s="74"/>
      <c r="CA237" s="7"/>
      <c r="CB237" s="74"/>
      <c r="CC237" s="74"/>
      <c r="CD237" s="74">
        <f>(INDEX('Race 74'!$E$8:$E$200,(MATCH($B237,'Race 74'!$B$8:$B$200,0)),1))*100</f>
        <v>52.65026442230797</v>
      </c>
      <c r="CE237" s="74"/>
      <c r="CF237" s="74"/>
      <c r="CG237" s="74"/>
      <c r="CH237" s="74"/>
      <c r="CI237" s="74"/>
      <c r="CJ237" s="74"/>
      <c r="CK237" s="101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"/>
      <c r="CY237" s="7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  <c r="DL237" s="74"/>
      <c r="DM237" s="74"/>
      <c r="DN237" s="74"/>
      <c r="DO237" s="74"/>
      <c r="DP237" s="74"/>
      <c r="DQ237" s="74"/>
      <c r="DR237" s="74"/>
      <c r="DS237" s="74"/>
      <c r="DT237" s="74"/>
      <c r="DU237" s="74"/>
      <c r="DV237" s="74"/>
      <c r="DW237" s="74"/>
      <c r="DX237" s="74"/>
      <c r="DY237" s="74"/>
      <c r="DZ237" s="8">
        <f t="shared" si="44"/>
        <v>52.930694453004413</v>
      </c>
      <c r="EA237" s="3" t="str">
        <f t="shared" si="45"/>
        <v>Kisseloff, Richard</v>
      </c>
      <c r="EB237" s="2">
        <f t="shared" si="46"/>
        <v>1</v>
      </c>
      <c r="EC237" s="112">
        <f t="shared" si="59"/>
        <v>0</v>
      </c>
      <c r="ED237" s="29">
        <f t="shared" si="48"/>
        <v>52.076637596423076</v>
      </c>
      <c r="EE237" s="2">
        <f t="shared" si="49"/>
        <v>0</v>
      </c>
      <c r="EF237" s="46">
        <f t="shared" si="50"/>
        <v>3</v>
      </c>
      <c r="EG237" s="46">
        <f t="shared" si="51"/>
        <v>4</v>
      </c>
      <c r="EH237" s="29" t="str">
        <f t="shared" si="52"/>
        <v>WI</v>
      </c>
      <c r="EI237" s="29">
        <f>IF(COUNT(I237:Y237)&lt;5,DZ237,SUMPRODUCT(LARGE(I237:Y237,{1,2,3,4,5}))/5)</f>
        <v>52.930694453004413</v>
      </c>
      <c r="EJ237" s="29">
        <f>IF(COUNT(I237:AX237)&lt;5,DZ237,SUMPRODUCT(LARGE(I237:AX237,{1,2,3,4,5}))/5)</f>
        <v>52.930694453004413</v>
      </c>
      <c r="EK237" s="29">
        <f>IF(COUNT(I237:DY237)&lt;5,AVERAGE(I237:DY237),SUMPRODUCT(LARGE(I237:DY237,{1,2,3,4,5}))/5)</f>
        <v>52.930694453004413</v>
      </c>
      <c r="EL237" s="29">
        <f t="shared" si="53"/>
        <v>52.076637596423076</v>
      </c>
      <c r="EM237" s="116" t="str">
        <f t="shared" si="54"/>
        <v>Kisseloff, Richard</v>
      </c>
      <c r="EQ237"/>
    </row>
    <row r="238" spans="1:147" x14ac:dyDescent="0.25">
      <c r="A238" s="59">
        <f t="shared" si="56"/>
        <v>235</v>
      </c>
      <c r="B238" s="32" t="s">
        <v>792</v>
      </c>
      <c r="C238" s="5" t="s">
        <v>6</v>
      </c>
      <c r="D238" s="6" t="s">
        <v>88</v>
      </c>
      <c r="E238" s="6">
        <v>53.962552466274587</v>
      </c>
      <c r="F238" s="6">
        <v>54.791216542900059</v>
      </c>
      <c r="G238" s="5">
        <f t="shared" si="58"/>
        <v>4</v>
      </c>
      <c r="H238" s="99">
        <v>53.962552466274587</v>
      </c>
      <c r="I238" s="36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227"/>
      <c r="Z238" s="228"/>
      <c r="AA238" s="7"/>
      <c r="AB238" s="7"/>
      <c r="AC238" s="74">
        <f>(INDEX('Race 21'!$E$8:$E$200,(MATCH($B238,'Race 21'!$B$8:$B$200,0)),1))*100</f>
        <v>54.791216542900059</v>
      </c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4"/>
      <c r="AP238" s="7"/>
      <c r="AQ238" s="74"/>
      <c r="AR238" s="7"/>
      <c r="AS238" s="7"/>
      <c r="AT238" s="7"/>
      <c r="AU238" s="7"/>
      <c r="AV238" s="7"/>
      <c r="AW238" s="7"/>
      <c r="AX238" s="8"/>
      <c r="AY238" s="36"/>
      <c r="AZ238" s="7"/>
      <c r="BA238" s="7"/>
      <c r="BB238" s="7"/>
      <c r="BC238" s="7"/>
      <c r="BD238" s="7"/>
      <c r="BE238" s="7"/>
      <c r="BF238" s="7"/>
      <c r="BG238" s="7">
        <f>(INDEX('Race 51'!$E$8:$E$200,(MATCH($B238,'Race 51'!$B$8:$B$200,0)),1))*100</f>
        <v>54.258016013391938</v>
      </c>
      <c r="BH238" s="7">
        <f>(INDEX('Race 52'!$E$8:$E$200,(MATCH($B238,'Race 52'!$B$8:$B$200,0)),1))*100</f>
        <v>56.389721662147217</v>
      </c>
      <c r="BI238" s="7"/>
      <c r="BJ238" s="7"/>
      <c r="BK238" s="7"/>
      <c r="BL238" s="7"/>
      <c r="BM238" s="7"/>
      <c r="BN238" s="74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4"/>
      <c r="BZ238" s="7"/>
      <c r="CA238" s="7"/>
      <c r="CB238" s="7"/>
      <c r="CC238" s="7"/>
      <c r="CD238" s="7">
        <f>(INDEX('Race 74'!$E$8:$E$200,(MATCH($B238,'Race 74'!$B$8:$B$200,0)),1))*100</f>
        <v>59.175996885135127</v>
      </c>
      <c r="CE238" s="7"/>
      <c r="CF238" s="7"/>
      <c r="CG238" s="7"/>
      <c r="CH238" s="7"/>
      <c r="CI238" s="7"/>
      <c r="CJ238" s="7"/>
      <c r="CK238" s="101"/>
      <c r="CL238" s="74"/>
      <c r="CM238" s="74"/>
      <c r="CN238" s="74"/>
      <c r="CO238" s="7"/>
      <c r="CP238" s="74"/>
      <c r="CQ238" s="7"/>
      <c r="CR238" s="74"/>
      <c r="CS238" s="74"/>
      <c r="CT238" s="74"/>
      <c r="CU238" s="74"/>
      <c r="CV238" s="7"/>
      <c r="CW238" s="7"/>
      <c r="CX238" s="7"/>
      <c r="CY238" s="7"/>
      <c r="CZ238" s="7"/>
      <c r="DA238" s="7"/>
      <c r="DB238" s="7"/>
      <c r="DC238" s="7"/>
      <c r="DD238" s="7"/>
      <c r="DE238" s="74"/>
      <c r="DF238" s="74"/>
      <c r="DG238" s="74"/>
      <c r="DH238" s="74"/>
      <c r="DI238" s="74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8">
        <f t="shared" si="44"/>
        <v>56.153737775893589</v>
      </c>
      <c r="EA238" s="3" t="str">
        <f t="shared" si="45"/>
        <v>Klein, Cam</v>
      </c>
      <c r="EB238" s="2">
        <f t="shared" si="46"/>
        <v>1</v>
      </c>
      <c r="EC238" s="112">
        <f t="shared" si="59"/>
        <v>53.962552466274587</v>
      </c>
      <c r="ED238" s="29">
        <f t="shared" si="48"/>
        <v>55.24767589127665</v>
      </c>
      <c r="EE238" s="2">
        <f t="shared" si="49"/>
        <v>1</v>
      </c>
      <c r="EF238" s="46">
        <f t="shared" si="50"/>
        <v>3</v>
      </c>
      <c r="EG238" s="46">
        <f t="shared" si="51"/>
        <v>4</v>
      </c>
      <c r="EH238" s="29" t="str">
        <f t="shared" si="52"/>
        <v>WI</v>
      </c>
      <c r="EI238" s="29">
        <f>IF(COUNT(I238:Y238)&lt;5,DZ238,SUMPRODUCT(LARGE(I238:Y238,{1,2,3,4,5}))/5)</f>
        <v>56.153737775893589</v>
      </c>
      <c r="EJ238" s="29">
        <f>IF(COUNT(I238:AX238)&lt;5,DZ238,SUMPRODUCT(LARGE(I238:AX238,{1,2,3,4,5}))/5)</f>
        <v>56.153737775893589</v>
      </c>
      <c r="EK238" s="29">
        <f>IF(COUNT(I238:DY238)&lt;5,AVERAGE(I238:DY238),SUMPRODUCT(LARGE(I238:DY238,{1,2,3,4,5}))/5)</f>
        <v>56.153737775893589</v>
      </c>
      <c r="EL238" s="29">
        <f t="shared" si="53"/>
        <v>55.24767589127665</v>
      </c>
      <c r="EM238" s="116" t="str">
        <f t="shared" si="54"/>
        <v>Klein, Cam</v>
      </c>
      <c r="EQ238"/>
    </row>
    <row r="239" spans="1:147" x14ac:dyDescent="0.25">
      <c r="A239" s="59">
        <f t="shared" si="56"/>
        <v>236</v>
      </c>
      <c r="B239" s="32" t="s">
        <v>715</v>
      </c>
      <c r="C239" s="5" t="s">
        <v>6</v>
      </c>
      <c r="D239" s="6" t="s">
        <v>62</v>
      </c>
      <c r="E239" s="6">
        <v>67.376687844768071</v>
      </c>
      <c r="F239" s="6">
        <v>66.618351292376403</v>
      </c>
      <c r="G239" s="5">
        <f t="shared" si="58"/>
        <v>6</v>
      </c>
      <c r="H239" s="37">
        <v>67.376687844768071</v>
      </c>
      <c r="I239" s="36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227"/>
      <c r="Z239" s="228"/>
      <c r="AA239" s="7"/>
      <c r="AB239" s="7"/>
      <c r="AC239" s="7"/>
      <c r="AD239" s="74">
        <f>(INDEX('Race 22'!$E$8:$E$200,(MATCH($B239,'Race 22'!$B$8:$B$200,0)),1))*100</f>
        <v>65.334359475883218</v>
      </c>
      <c r="AE239" s="7"/>
      <c r="AF239" s="7"/>
      <c r="AG239" s="74">
        <f>(INDEX('Race 25'!$E$8:$E$200,(MATCH($B239,'Race 25'!$B$8:$B$200,0)),1))*100</f>
        <v>67.127677153957805</v>
      </c>
      <c r="AH239" s="7"/>
      <c r="AI239" s="7"/>
      <c r="AJ239" s="7"/>
      <c r="AK239" s="7"/>
      <c r="AL239" s="74">
        <f>(INDEX('Race 30'!$E$8:$E$200,(MATCH($B239,'Race 30'!$B$8:$B$200,0)),1))*100</f>
        <v>67.393017247288171</v>
      </c>
      <c r="AM239" s="7"/>
      <c r="AN239" s="7"/>
      <c r="AO239" s="7"/>
      <c r="AP239" s="7"/>
      <c r="AQ239" s="74"/>
      <c r="AR239" s="70"/>
      <c r="AS239" s="7"/>
      <c r="AT239" s="70"/>
      <c r="AU239" s="7"/>
      <c r="AV239" s="70"/>
      <c r="AW239" s="7"/>
      <c r="AX239" s="8"/>
      <c r="AY239" s="36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103"/>
      <c r="BO239" s="14"/>
      <c r="BP239" s="7"/>
      <c r="BQ239" s="7"/>
      <c r="BR239" s="7"/>
      <c r="BS239" s="7">
        <f>(INDEX('Race 63'!$E$8:$E$200,(MATCH($B239,'Race 63'!$B$8:$B$200,0)),1))*100</f>
        <v>71.832495300063286</v>
      </c>
      <c r="BT239" s="7">
        <f>(INDEX('Race 64'!$E$8:$E$200,(MATCH($B239,'Race 64'!$B$8:$B$200,0)),1))*100</f>
        <v>71.778840449483155</v>
      </c>
      <c r="BU239" s="7"/>
      <c r="BV239" s="7"/>
      <c r="BW239" s="7"/>
      <c r="BX239" s="7"/>
      <c r="BY239" s="7"/>
      <c r="BZ239" s="14"/>
      <c r="CA239" s="7"/>
      <c r="CB239" s="7"/>
      <c r="CC239" s="7"/>
      <c r="CD239" s="7"/>
      <c r="CE239" s="7"/>
      <c r="CF239" s="7"/>
      <c r="CG239" s="7"/>
      <c r="CH239" s="7"/>
      <c r="CI239" s="7"/>
      <c r="CJ239" s="74"/>
      <c r="CK239" s="101"/>
      <c r="CL239" s="74"/>
      <c r="CM239" s="74">
        <f>(INDEX('Race 83'!$E$8:$E$200,(MATCH($B239,'Race 83'!$B$8:$B$200,0)),1))*100</f>
        <v>71.54656168018974</v>
      </c>
      <c r="CN239" s="74"/>
      <c r="CO239" s="70"/>
      <c r="CP239" s="74"/>
      <c r="CQ239" s="7"/>
      <c r="CR239" s="74"/>
      <c r="CS239" s="74"/>
      <c r="CT239" s="74"/>
      <c r="CU239" s="74"/>
      <c r="CV239" s="7"/>
      <c r="CW239" s="7"/>
      <c r="CX239" s="7"/>
      <c r="CY239" s="7"/>
      <c r="CZ239" s="7"/>
      <c r="DA239" s="7"/>
      <c r="DB239" s="7"/>
      <c r="DC239" s="7"/>
      <c r="DD239" s="7"/>
      <c r="DE239" s="74"/>
      <c r="DF239" s="74"/>
      <c r="DG239" s="74"/>
      <c r="DH239" s="7"/>
      <c r="DI239" s="74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8">
        <f t="shared" si="44"/>
        <v>69.168825217810891</v>
      </c>
      <c r="EA239" s="3" t="str">
        <f t="shared" si="45"/>
        <v>Knauss, Dan</v>
      </c>
      <c r="EB239" s="2">
        <f t="shared" si="46"/>
        <v>1</v>
      </c>
      <c r="EC239" s="112">
        <f t="shared" si="59"/>
        <v>67.376687844768071</v>
      </c>
      <c r="ED239" s="29">
        <f t="shared" si="48"/>
        <v>68.807278990748159</v>
      </c>
      <c r="EE239" s="2">
        <f t="shared" si="49"/>
        <v>2</v>
      </c>
      <c r="EF239" s="46">
        <f t="shared" si="50"/>
        <v>3</v>
      </c>
      <c r="EG239" s="46">
        <f t="shared" si="51"/>
        <v>6</v>
      </c>
      <c r="EH239" s="2" t="str">
        <f t="shared" si="52"/>
        <v>CO</v>
      </c>
      <c r="EI239" s="29">
        <f>IF(COUNT(I239:Y239)&lt;5,DZ239,SUMPRODUCT(LARGE(I239:Y239,{1,2,3,4,5}))/5)</f>
        <v>69.168825217810891</v>
      </c>
      <c r="EJ239" s="29">
        <f>IF(COUNT(I239:AX239)&lt;5,DZ239,SUMPRODUCT(LARGE(I239:AX239,{1,2,3,4,5}))/5)</f>
        <v>69.168825217810891</v>
      </c>
      <c r="EK239" s="29">
        <f>IF(COUNT(I239:DY239)&lt;5,AVERAGE(I239:DY239),SUMPRODUCT(LARGE(I239:DY239,{1,2,3,4,5}))/5)</f>
        <v>69.935718366196426</v>
      </c>
      <c r="EL239" s="29">
        <f t="shared" si="53"/>
        <v>68.807278990748159</v>
      </c>
      <c r="EM239" s="116" t="str">
        <f t="shared" si="54"/>
        <v>Knauss, Dan</v>
      </c>
      <c r="EQ239"/>
    </row>
    <row r="240" spans="1:147" x14ac:dyDescent="0.25">
      <c r="A240" s="59">
        <f t="shared" si="56"/>
        <v>237</v>
      </c>
      <c r="B240" s="32" t="s">
        <v>717</v>
      </c>
      <c r="C240" s="5" t="s">
        <v>6</v>
      </c>
      <c r="D240" s="6" t="s">
        <v>63</v>
      </c>
      <c r="E240" s="6">
        <v>48.672019800701939</v>
      </c>
      <c r="F240" s="6">
        <v>56.657336543010217</v>
      </c>
      <c r="G240" s="5">
        <f t="shared" si="58"/>
        <v>7</v>
      </c>
      <c r="H240" s="37">
        <v>48.672019800701939</v>
      </c>
      <c r="I240" s="36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227"/>
      <c r="Z240" s="228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4"/>
      <c r="AP240" s="7"/>
      <c r="AQ240" s="74"/>
      <c r="AR240" s="70"/>
      <c r="AS240" s="74">
        <f>(INDEX('Race 37'!$E$8:$E$200,(MATCH($B240,'Race 37'!$B$8:$B$200,0)),1))*100</f>
        <v>51.62514802840019</v>
      </c>
      <c r="AT240" s="101">
        <f>(INDEX('Race 38'!$E$8:$E$200,(MATCH($B240,'Race 38'!$B$8:$B$200,0)),1))*100</f>
        <v>57.763247484643507</v>
      </c>
      <c r="AU240" s="74">
        <f>(INDEX('Race 39'!$E$8:$E$200,(MATCH($B240,'Race 39'!$B$8:$B$200,0)),1))*100</f>
        <v>60.583614115986947</v>
      </c>
      <c r="AV240" s="101"/>
      <c r="AW240" s="74"/>
      <c r="AX240" s="183"/>
      <c r="AY240" s="107"/>
      <c r="AZ240" s="7">
        <f>(INDEX('Race 44'!$E$8:$E$200,(MATCH($B240,'Race 44'!$B$8:$B$200,0)),1))*100</f>
        <v>65.043194342344208</v>
      </c>
      <c r="BA240" s="7"/>
      <c r="BB240" s="7">
        <f>(INDEX('Race 46'!$E$8:$E$200,(MATCH($B240,'Race 46'!$B$8:$B$200,0)),1))*100</f>
        <v>58.644540930095069</v>
      </c>
      <c r="BC240" s="7"/>
      <c r="BD240" s="7"/>
      <c r="BE240" s="7">
        <f>(INDEX('Race 49'!$E$8:$E$200,(MATCH($B240,'Race 49'!$B$8:$B$200,0)),1))*100</f>
        <v>55.476989877063929</v>
      </c>
      <c r="BF240" s="7"/>
      <c r="BG240" s="7"/>
      <c r="BH240" s="7"/>
      <c r="BI240" s="7"/>
      <c r="BJ240" s="7"/>
      <c r="BK240" s="7"/>
      <c r="BL240" s="7"/>
      <c r="BM240" s="7"/>
      <c r="BN240" s="103"/>
      <c r="BO240" s="14"/>
      <c r="BP240" s="7"/>
      <c r="BQ240" s="7">
        <f>(INDEX('Race 61'!$E$8:$E$200,(MATCH($B240,'Race 61'!$B$8:$B$200,0)),1))*100</f>
        <v>45.252790995427503</v>
      </c>
      <c r="BR240" s="7"/>
      <c r="BS240" s="7"/>
      <c r="BT240" s="7"/>
      <c r="BU240" s="7"/>
      <c r="BV240" s="7"/>
      <c r="BW240" s="7"/>
      <c r="BX240" s="7"/>
      <c r="BY240" s="7"/>
      <c r="BZ240" s="14"/>
      <c r="CA240" s="7"/>
      <c r="CB240" s="7"/>
      <c r="CC240" s="7"/>
      <c r="CD240" s="74"/>
      <c r="CE240" s="7"/>
      <c r="CF240" s="7"/>
      <c r="CG240" s="74"/>
      <c r="CH240" s="7"/>
      <c r="CI240" s="7"/>
      <c r="CJ240" s="7"/>
      <c r="CK240" s="101"/>
      <c r="CL240" s="74"/>
      <c r="CM240" s="74"/>
      <c r="CN240" s="74"/>
      <c r="CO240" s="70"/>
      <c r="CP240" s="74"/>
      <c r="CQ240" s="70"/>
      <c r="CR240" s="74"/>
      <c r="CS240" s="74"/>
      <c r="CT240" s="74"/>
      <c r="CU240" s="74"/>
      <c r="CV240" s="7"/>
      <c r="CW240" s="7"/>
      <c r="CX240" s="7"/>
      <c r="CY240" s="7"/>
      <c r="CZ240" s="7"/>
      <c r="DA240" s="7"/>
      <c r="DB240" s="7"/>
      <c r="DC240" s="7"/>
      <c r="DD240" s="7"/>
      <c r="DE240" s="74"/>
      <c r="DF240" s="74"/>
      <c r="DG240" s="74"/>
      <c r="DH240" s="7"/>
      <c r="DI240" s="74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8">
        <f t="shared" ref="DZ240:DZ303" si="60">IF(EB240&gt;0,AVERAGE(I240:DY240),H240)</f>
        <v>56.341360824851627</v>
      </c>
      <c r="EA240" s="3" t="str">
        <f t="shared" ref="EA240:EA303" si="61">B240</f>
        <v>Koff, Matthew</v>
      </c>
      <c r="EB240" s="2">
        <f t="shared" ref="EB240:EB303" si="62">IF(G240&gt;0,1,0)</f>
        <v>1</v>
      </c>
      <c r="EC240" s="112">
        <f t="shared" si="59"/>
        <v>48.672019800701939</v>
      </c>
      <c r="ED240" s="29">
        <f t="shared" ref="ED240:ED303" si="63">EL240</f>
        <v>58.542224862285252</v>
      </c>
      <c r="EE240" s="2">
        <f t="shared" ref="EE240:EE303" si="64">COUNT(I240:AH240)</f>
        <v>0</v>
      </c>
      <c r="EF240" s="46">
        <f t="shared" ref="EF240:EF303" si="65">COUNT(I240:BQ240)</f>
        <v>7</v>
      </c>
      <c r="EG240" s="46">
        <f t="shared" ref="EG240:EG303" si="66">COUNT(I240:DY240)</f>
        <v>7</v>
      </c>
      <c r="EH240" s="2" t="str">
        <f t="shared" ref="EH240:EH303" si="67">D240</f>
        <v>VT</v>
      </c>
      <c r="EI240" s="29">
        <f>IF(COUNT(I240:Y240)&lt;5,DZ240,SUMPRODUCT(LARGE(I240:Y240,{1,2,3,4,5}))/5)</f>
        <v>56.341360824851627</v>
      </c>
      <c r="EJ240" s="29">
        <f>IF(COUNT(I240:AX240)&lt;5,DZ240,SUMPRODUCT(LARGE(I240:AX240,{1,2,3,4,5}))/5)</f>
        <v>56.341360824851627</v>
      </c>
      <c r="EK240" s="29">
        <f>IF(COUNT(I240:DY240)&lt;5,AVERAGE(I240:DY240),SUMPRODUCT(LARGE(I240:DY240,{1,2,3,4,5}))/5)</f>
        <v>59.502317350026729</v>
      </c>
      <c r="EL240" s="29">
        <f t="shared" ref="EL240:EL303" si="68">(EK240*100)/101.64</f>
        <v>58.542224862285252</v>
      </c>
      <c r="EM240" s="116" t="str">
        <f t="shared" ref="EM240:EM303" si="69">B240</f>
        <v>Koff, Matthew</v>
      </c>
      <c r="EQ240"/>
    </row>
    <row r="241" spans="1:147" x14ac:dyDescent="0.25">
      <c r="A241" s="59">
        <f t="shared" si="56"/>
        <v>238</v>
      </c>
      <c r="B241" s="186" t="s">
        <v>1088</v>
      </c>
      <c r="C241" s="5" t="s">
        <v>6</v>
      </c>
      <c r="D241" s="187" t="s">
        <v>69</v>
      </c>
      <c r="E241" s="187">
        <v>0</v>
      </c>
      <c r="F241" s="187">
        <v>49.917106335945576</v>
      </c>
      <c r="G241" s="5">
        <f t="shared" si="58"/>
        <v>1</v>
      </c>
      <c r="H241" s="188">
        <v>0</v>
      </c>
      <c r="I241" s="107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"/>
      <c r="Y241" s="227"/>
      <c r="Z241" s="230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>
        <f>(INDEX('Race 32'!$E$8:$E$200,(MATCH($B241,'Race 32'!$B$8:$B$200,0)),1))*100</f>
        <v>49.917106335945576</v>
      </c>
      <c r="AO241" s="74"/>
      <c r="AP241" s="74"/>
      <c r="AQ241" s="74"/>
      <c r="AR241" s="101"/>
      <c r="AS241" s="74"/>
      <c r="AT241" s="101"/>
      <c r="AU241" s="74"/>
      <c r="AV241" s="101"/>
      <c r="AW241" s="74"/>
      <c r="AX241" s="8"/>
      <c r="AY241" s="36"/>
      <c r="AZ241" s="74"/>
      <c r="BA241" s="74"/>
      <c r="BB241" s="74"/>
      <c r="BC241" s="74"/>
      <c r="BD241" s="7"/>
      <c r="BE241" s="7"/>
      <c r="BF241" s="74"/>
      <c r="BG241" s="74"/>
      <c r="BH241" s="74"/>
      <c r="BI241" s="74"/>
      <c r="BJ241" s="74"/>
      <c r="BK241" s="74"/>
      <c r="BL241" s="74"/>
      <c r="BM241" s="74"/>
      <c r="BN241" s="103"/>
      <c r="BO241" s="103"/>
      <c r="BP241" s="7"/>
      <c r="BQ241" s="7"/>
      <c r="BR241" s="74"/>
      <c r="BS241" s="7"/>
      <c r="BT241" s="7"/>
      <c r="BU241" s="74"/>
      <c r="BV241" s="74"/>
      <c r="BW241" s="74"/>
      <c r="BX241" s="74"/>
      <c r="BY241" s="74"/>
      <c r="BZ241" s="103"/>
      <c r="CA241" s="7"/>
      <c r="CB241" s="74"/>
      <c r="CC241" s="74"/>
      <c r="CD241" s="74"/>
      <c r="CE241" s="74"/>
      <c r="CF241" s="74"/>
      <c r="CG241" s="74"/>
      <c r="CH241" s="74"/>
      <c r="CI241" s="74"/>
      <c r="CJ241" s="74"/>
      <c r="CK241" s="101"/>
      <c r="CL241" s="74"/>
      <c r="CM241" s="74"/>
      <c r="CN241" s="74"/>
      <c r="CO241" s="101"/>
      <c r="CP241" s="74"/>
      <c r="CQ241" s="74"/>
      <c r="CR241" s="74"/>
      <c r="CS241" s="74"/>
      <c r="CT241" s="74"/>
      <c r="CU241" s="74"/>
      <c r="CV241" s="74"/>
      <c r="CW241" s="74"/>
      <c r="CX241" s="7"/>
      <c r="CY241" s="7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103"/>
      <c r="DO241" s="74"/>
      <c r="DP241" s="74"/>
      <c r="DQ241" s="74"/>
      <c r="DR241" s="74"/>
      <c r="DS241" s="74"/>
      <c r="DT241" s="74"/>
      <c r="DU241" s="74"/>
      <c r="DV241" s="74"/>
      <c r="DW241" s="74"/>
      <c r="DX241" s="74"/>
      <c r="DY241" s="74"/>
      <c r="DZ241" s="8">
        <f t="shared" si="60"/>
        <v>49.917106335945576</v>
      </c>
      <c r="EA241" s="3" t="str">
        <f t="shared" si="61"/>
        <v>Kolyvek, Laszlo</v>
      </c>
      <c r="EB241" s="2">
        <f t="shared" si="62"/>
        <v>1</v>
      </c>
      <c r="EC241" s="112">
        <f t="shared" si="59"/>
        <v>0</v>
      </c>
      <c r="ED241" s="29">
        <f t="shared" si="63"/>
        <v>49.111674868108594</v>
      </c>
      <c r="EE241" s="2">
        <f t="shared" si="64"/>
        <v>0</v>
      </c>
      <c r="EF241" s="46">
        <f t="shared" si="65"/>
        <v>1</v>
      </c>
      <c r="EG241" s="46">
        <f t="shared" si="66"/>
        <v>1</v>
      </c>
      <c r="EH241" s="29" t="str">
        <f t="shared" si="67"/>
        <v>WA</v>
      </c>
      <c r="EI241" s="29">
        <f>IF(COUNT(I241:Y241)&lt;5,DZ241,SUMPRODUCT(LARGE(I241:Y241,{1,2,3,4,5}))/5)</f>
        <v>49.917106335945576</v>
      </c>
      <c r="EJ241" s="29">
        <f>IF(COUNT(I241:AX241)&lt;5,DZ241,SUMPRODUCT(LARGE(I241:AX241,{1,2,3,4,5}))/5)</f>
        <v>49.917106335945576</v>
      </c>
      <c r="EK241" s="29">
        <f>IF(COUNT(I241:DY241)&lt;5,AVERAGE(I241:DY241),SUMPRODUCT(LARGE(I241:DY241,{1,2,3,4,5}))/5)</f>
        <v>49.917106335945576</v>
      </c>
      <c r="EL241" s="29">
        <f t="shared" si="68"/>
        <v>49.111674868108594</v>
      </c>
      <c r="EM241" s="116" t="str">
        <f t="shared" si="69"/>
        <v>Kolyvek, Laszlo</v>
      </c>
      <c r="EQ241"/>
    </row>
    <row r="242" spans="1:147" x14ac:dyDescent="0.25">
      <c r="A242" s="59">
        <f t="shared" si="56"/>
        <v>239</v>
      </c>
      <c r="B242" s="32" t="s">
        <v>875</v>
      </c>
      <c r="C242" s="5" t="s">
        <v>6</v>
      </c>
      <c r="D242" s="6" t="s">
        <v>87</v>
      </c>
      <c r="E242" s="6">
        <v>55.800486914492183</v>
      </c>
      <c r="F242" s="6">
        <v>55.800486914492183</v>
      </c>
      <c r="G242" s="5">
        <f t="shared" si="58"/>
        <v>0</v>
      </c>
      <c r="H242" s="37">
        <v>55.800486914492183</v>
      </c>
      <c r="I242" s="36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227"/>
      <c r="Z242" s="228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4"/>
      <c r="AP242" s="7"/>
      <c r="AQ242" s="74"/>
      <c r="AR242" s="70"/>
      <c r="AS242" s="7"/>
      <c r="AT242" s="70"/>
      <c r="AU242" s="7"/>
      <c r="AV242" s="70"/>
      <c r="AW242" s="7"/>
      <c r="AX242" s="8"/>
      <c r="AY242" s="36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103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14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101"/>
      <c r="CL242" s="74"/>
      <c r="CM242" s="74"/>
      <c r="CN242" s="74"/>
      <c r="CO242" s="70"/>
      <c r="CP242" s="74"/>
      <c r="CQ242" s="7"/>
      <c r="CR242" s="74"/>
      <c r="CS242" s="74"/>
      <c r="CT242" s="74"/>
      <c r="CU242" s="74"/>
      <c r="CV242" s="7"/>
      <c r="CW242" s="7"/>
      <c r="CX242" s="7"/>
      <c r="CY242" s="7"/>
      <c r="CZ242" s="7"/>
      <c r="DA242" s="7"/>
      <c r="DB242" s="7"/>
      <c r="DC242" s="7"/>
      <c r="DD242" s="7"/>
      <c r="DE242" s="74"/>
      <c r="DF242" s="74"/>
      <c r="DG242" s="74"/>
      <c r="DH242" s="7"/>
      <c r="DI242" s="74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8">
        <f t="shared" si="60"/>
        <v>55.800486914492183</v>
      </c>
      <c r="EA242" s="3" t="str">
        <f t="shared" si="61"/>
        <v>Koshnick, Nick</v>
      </c>
      <c r="EB242" s="2">
        <f t="shared" si="62"/>
        <v>0</v>
      </c>
      <c r="EC242" s="112">
        <f t="shared" si="59"/>
        <v>55.800486914492183</v>
      </c>
      <c r="ED242" s="29">
        <f t="shared" si="63"/>
        <v>0</v>
      </c>
      <c r="EE242" s="2">
        <f t="shared" si="64"/>
        <v>0</v>
      </c>
      <c r="EF242" s="46">
        <f t="shared" si="65"/>
        <v>0</v>
      </c>
      <c r="EG242" s="46">
        <f t="shared" si="66"/>
        <v>0</v>
      </c>
      <c r="EH242" s="29" t="str">
        <f t="shared" si="67"/>
        <v>CA</v>
      </c>
      <c r="EI242" s="29">
        <f>IF(COUNT(I242:Y242)&lt;5,DZ242,SUMPRODUCT(LARGE(I242:Y242,{1,2,3,4,5}))/5)</f>
        <v>55.800486914492183</v>
      </c>
      <c r="EJ242" s="29">
        <f>IF(COUNT(I242:AX242)&lt;5,DZ242,SUMPRODUCT(LARGE(I242:AX242,{1,2,3,4,5}))/5)</f>
        <v>55.800486914492183</v>
      </c>
      <c r="EK242" s="112">
        <f>IF(EG242&lt;0,AVERAGE(I242:DY242),0)</f>
        <v>0</v>
      </c>
      <c r="EL242" s="29">
        <f t="shared" si="68"/>
        <v>0</v>
      </c>
      <c r="EM242" s="116" t="str">
        <f t="shared" si="69"/>
        <v>Koshnick, Nick</v>
      </c>
      <c r="EQ242"/>
    </row>
    <row r="243" spans="1:147" x14ac:dyDescent="0.25">
      <c r="A243" s="59">
        <f t="shared" si="56"/>
        <v>240</v>
      </c>
      <c r="B243" s="32" t="s">
        <v>757</v>
      </c>
      <c r="C243" s="5" t="s">
        <v>6</v>
      </c>
      <c r="D243" s="6" t="s">
        <v>67</v>
      </c>
      <c r="E243" s="6">
        <v>60.328448077557226</v>
      </c>
      <c r="F243" s="6">
        <v>56.070637340025378</v>
      </c>
      <c r="G243" s="5">
        <f t="shared" si="58"/>
        <v>5</v>
      </c>
      <c r="H243" s="37">
        <v>60.328448077557226</v>
      </c>
      <c r="I243" s="36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227"/>
      <c r="Z243" s="228"/>
      <c r="AA243" s="7"/>
      <c r="AB243" s="7"/>
      <c r="AC243" s="7"/>
      <c r="AD243" s="74">
        <f>(INDEX('Race 22'!$E$8:$E$200,(MATCH($B243,'Race 22'!$B$8:$B$200,0)),1))*100</f>
        <v>58.299962770357979</v>
      </c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4"/>
      <c r="AP243" s="7"/>
      <c r="AQ243" s="74"/>
      <c r="AR243" s="70"/>
      <c r="AS243" s="7"/>
      <c r="AT243" s="70"/>
      <c r="AU243" s="7"/>
      <c r="AV243" s="70"/>
      <c r="AW243" s="7">
        <f>(INDEX('Race 41'!$E$8:$E$200,(MATCH($B243,'Race 41'!$B$8:$B$200,0)),1))*100</f>
        <v>53.321915187909475</v>
      </c>
      <c r="AX243" s="8">
        <f>(INDEX('Race 42'!$E$8:$E$200,(MATCH($B243,'Race 42'!$B$8:$B$200,0)),1))*100</f>
        <v>56.590034061808701</v>
      </c>
      <c r="AY243" s="36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103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14"/>
      <c r="CA243" s="7"/>
      <c r="CB243" s="7"/>
      <c r="CC243" s="7"/>
      <c r="CD243" s="7"/>
      <c r="CE243" s="7">
        <f>(INDEX('Race 75'!$E$8:$E$200,(MATCH($B243,'Race 75'!$B$8:$B$200,0)),1))*100</f>
        <v>58.047272907067025</v>
      </c>
      <c r="CF243" s="7">
        <f>(INDEX('Race 76'!$E$8:$E$200,(MATCH($B243,'Race 76'!$B$8:$B$200,0)),1))*100</f>
        <v>62.107461493213656</v>
      </c>
      <c r="CG243" s="7"/>
      <c r="CH243" s="7"/>
      <c r="CI243" s="7"/>
      <c r="CJ243" s="7"/>
      <c r="CK243" s="101"/>
      <c r="CL243" s="74"/>
      <c r="CM243" s="74"/>
      <c r="CN243" s="74"/>
      <c r="CO243" s="70"/>
      <c r="CP243" s="74"/>
      <c r="CQ243" s="7"/>
      <c r="CR243" s="74"/>
      <c r="CS243" s="74"/>
      <c r="CT243" s="74"/>
      <c r="CU243" s="74"/>
      <c r="CV243" s="7"/>
      <c r="CW243" s="7"/>
      <c r="CX243" s="7"/>
      <c r="CY243" s="7"/>
      <c r="CZ243" s="7"/>
      <c r="DA243" s="7"/>
      <c r="DB243" s="7"/>
      <c r="DC243" s="7"/>
      <c r="DD243" s="7"/>
      <c r="DE243" s="74"/>
      <c r="DF243" s="74"/>
      <c r="DG243" s="74"/>
      <c r="DH243" s="7"/>
      <c r="DI243" s="74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8">
        <f t="shared" si="60"/>
        <v>57.673329284071357</v>
      </c>
      <c r="EA243" s="3" t="str">
        <f t="shared" si="61"/>
        <v>Kreitzer, Eric</v>
      </c>
      <c r="EB243" s="2">
        <f t="shared" si="62"/>
        <v>1</v>
      </c>
      <c r="EC243" s="112">
        <f t="shared" si="59"/>
        <v>60.328448077557226</v>
      </c>
      <c r="ED243" s="29">
        <f t="shared" si="63"/>
        <v>56.742748213372067</v>
      </c>
      <c r="EE243" s="2">
        <f t="shared" si="64"/>
        <v>1</v>
      </c>
      <c r="EF243" s="46">
        <f t="shared" si="65"/>
        <v>3</v>
      </c>
      <c r="EG243" s="46">
        <f t="shared" si="66"/>
        <v>5</v>
      </c>
      <c r="EH243" s="2" t="str">
        <f t="shared" si="67"/>
        <v>UT</v>
      </c>
      <c r="EI243" s="29">
        <f>IF(COUNT(I243:Y243)&lt;5,DZ243,SUMPRODUCT(LARGE(I243:Y243,{1,2,3,4,5}))/5)</f>
        <v>57.673329284071357</v>
      </c>
      <c r="EJ243" s="29">
        <f>IF(COUNT(I243:AX243)&lt;5,DZ243,SUMPRODUCT(LARGE(I243:AX243,{1,2,3,4,5}))/5)</f>
        <v>57.673329284071357</v>
      </c>
      <c r="EK243" s="29">
        <f>IF(COUNT(I243:DY243)&lt;5,AVERAGE(I243:DY243),SUMPRODUCT(LARGE(I243:DY243,{1,2,3,4,5}))/5)</f>
        <v>57.673329284071372</v>
      </c>
      <c r="EL243" s="29">
        <f t="shared" si="68"/>
        <v>56.742748213372067</v>
      </c>
      <c r="EM243" s="116" t="str">
        <f t="shared" si="69"/>
        <v>Kreitzer, Eric</v>
      </c>
      <c r="EQ243"/>
    </row>
    <row r="244" spans="1:147" x14ac:dyDescent="0.25">
      <c r="A244" s="59">
        <f t="shared" si="56"/>
        <v>241</v>
      </c>
      <c r="B244" s="32" t="s">
        <v>465</v>
      </c>
      <c r="C244" s="5" t="s">
        <v>6</v>
      </c>
      <c r="D244" s="6" t="s">
        <v>88</v>
      </c>
      <c r="E244" s="6">
        <v>56.186666306419866</v>
      </c>
      <c r="F244" s="6">
        <v>59.072121846033831</v>
      </c>
      <c r="G244" s="5">
        <f t="shared" si="58"/>
        <v>2</v>
      </c>
      <c r="H244" s="37">
        <v>56.186666306419866</v>
      </c>
      <c r="I244" s="107"/>
      <c r="J244" s="7"/>
      <c r="K244" s="74"/>
      <c r="L244" s="7"/>
      <c r="M244" s="74"/>
      <c r="N244" s="74"/>
      <c r="O244" s="7"/>
      <c r="P244" s="74"/>
      <c r="Q244" s="7"/>
      <c r="R244" s="74"/>
      <c r="S244" s="74"/>
      <c r="T244" s="7"/>
      <c r="U244" s="7"/>
      <c r="V244" s="74"/>
      <c r="W244" s="74"/>
      <c r="X244" s="74"/>
      <c r="Y244" s="227"/>
      <c r="Z244" s="228"/>
      <c r="AA244" s="7"/>
      <c r="AB244" s="74"/>
      <c r="AC244" s="74"/>
      <c r="AD244" s="74"/>
      <c r="AE244" s="7"/>
      <c r="AF244" s="74"/>
      <c r="AG244" s="74"/>
      <c r="AH244" s="7"/>
      <c r="AI244" s="7"/>
      <c r="AJ244" s="7"/>
      <c r="AK244" s="7"/>
      <c r="AL244" s="7"/>
      <c r="AM244" s="7"/>
      <c r="AN244" s="7"/>
      <c r="AO244" s="74">
        <f>(INDEX('Race 33'!$E$8:$E$200,(MATCH($B244,'Race 33'!$B$8:$B$200,0)),1))*100</f>
        <v>59.072121846033831</v>
      </c>
      <c r="AP244" s="7"/>
      <c r="AQ244" s="74"/>
      <c r="AR244" s="101"/>
      <c r="AS244" s="7"/>
      <c r="AT244" s="101"/>
      <c r="AU244" s="7"/>
      <c r="AV244" s="101"/>
      <c r="AW244" s="7"/>
      <c r="AX244" s="183"/>
      <c r="AY244" s="107"/>
      <c r="AZ244" s="74"/>
      <c r="BA244" s="74"/>
      <c r="BB244" s="74"/>
      <c r="BC244" s="74"/>
      <c r="BD244" s="7"/>
      <c r="BE244" s="7"/>
      <c r="BF244" s="74"/>
      <c r="BG244" s="74"/>
      <c r="BH244" s="74"/>
      <c r="BI244" s="74"/>
      <c r="BJ244" s="74"/>
      <c r="BK244" s="7"/>
      <c r="BL244" s="74"/>
      <c r="BM244" s="7"/>
      <c r="BN244" s="103"/>
      <c r="BO244" s="74"/>
      <c r="BP244" s="7"/>
      <c r="BQ244" s="7"/>
      <c r="BR244" s="74"/>
      <c r="BS244" s="7"/>
      <c r="BT244" s="7"/>
      <c r="BU244" s="74"/>
      <c r="BV244" s="74"/>
      <c r="BW244" s="74"/>
      <c r="BX244" s="74"/>
      <c r="BY244" s="74"/>
      <c r="BZ244" s="103"/>
      <c r="CA244" s="7"/>
      <c r="CB244" s="74"/>
      <c r="CC244" s="74"/>
      <c r="CD244" s="74">
        <f>(INDEX('Race 74'!$E$8:$E$200,(MATCH($B244,'Race 74'!$B$8:$B$200,0)),1))*100</f>
        <v>60.991377741959326</v>
      </c>
      <c r="CE244" s="7"/>
      <c r="CF244" s="74"/>
      <c r="CG244" s="74"/>
      <c r="CH244" s="7"/>
      <c r="CI244" s="74"/>
      <c r="CJ244" s="74"/>
      <c r="CK244" s="101"/>
      <c r="CL244" s="74"/>
      <c r="CM244" s="74"/>
      <c r="CN244" s="74"/>
      <c r="CO244" s="101"/>
      <c r="CP244" s="74"/>
      <c r="CQ244" s="74"/>
      <c r="CR244" s="74"/>
      <c r="CS244" s="74"/>
      <c r="CT244" s="74"/>
      <c r="CU244" s="74"/>
      <c r="CV244" s="74"/>
      <c r="CW244" s="74"/>
      <c r="CX244" s="7"/>
      <c r="CY244" s="7"/>
      <c r="CZ244" s="74"/>
      <c r="DA244" s="74"/>
      <c r="DB244" s="74"/>
      <c r="DC244" s="74"/>
      <c r="DD244" s="74"/>
      <c r="DE244" s="74"/>
      <c r="DF244" s="74"/>
      <c r="DG244" s="74"/>
      <c r="DH244" s="74"/>
      <c r="DI244" s="74"/>
      <c r="DJ244" s="74"/>
      <c r="DK244" s="74"/>
      <c r="DL244" s="74"/>
      <c r="DM244" s="74"/>
      <c r="DN244" s="74"/>
      <c r="DO244" s="74"/>
      <c r="DP244" s="74"/>
      <c r="DQ244" s="74"/>
      <c r="DR244" s="7"/>
      <c r="DS244" s="7"/>
      <c r="DT244" s="74"/>
      <c r="DU244" s="74"/>
      <c r="DV244" s="74"/>
      <c r="DW244" s="74"/>
      <c r="DX244" s="74"/>
      <c r="DY244" s="74"/>
      <c r="DZ244" s="8">
        <f t="shared" si="60"/>
        <v>60.031749793996582</v>
      </c>
      <c r="EA244" s="3" t="str">
        <f t="shared" si="61"/>
        <v>Kulas, Paul</v>
      </c>
      <c r="EB244" s="2">
        <f t="shared" si="62"/>
        <v>1</v>
      </c>
      <c r="EC244" s="112">
        <f t="shared" si="59"/>
        <v>56.186666306419866</v>
      </c>
      <c r="ED244" s="29">
        <f t="shared" si="63"/>
        <v>59.063114712708163</v>
      </c>
      <c r="EE244" s="2">
        <f t="shared" si="64"/>
        <v>0</v>
      </c>
      <c r="EF244" s="46">
        <f t="shared" si="65"/>
        <v>1</v>
      </c>
      <c r="EG244" s="46">
        <f t="shared" si="66"/>
        <v>2</v>
      </c>
      <c r="EH244" s="2" t="str">
        <f t="shared" si="67"/>
        <v>WI</v>
      </c>
      <c r="EI244" s="29">
        <f>IF(COUNT(I244:Y244)&lt;5,DZ244,SUMPRODUCT(LARGE(I244:Y244,{1,2,3,4,5}))/5)</f>
        <v>60.031749793996582</v>
      </c>
      <c r="EJ244" s="29">
        <f>IF(COUNT(I244:AX244)&lt;5,DZ244,SUMPRODUCT(LARGE(I244:AX244,{1,2,3,4,5}))/5)</f>
        <v>60.031749793996582</v>
      </c>
      <c r="EK244" s="29">
        <f>IF(COUNT(I244:DY244)&lt;5,AVERAGE(I244:DY244),SUMPRODUCT(LARGE(I244:DY244,{1,2,3,4,5}))/5)</f>
        <v>60.031749793996582</v>
      </c>
      <c r="EL244" s="29">
        <f t="shared" si="68"/>
        <v>59.063114712708163</v>
      </c>
      <c r="EM244" s="116" t="str">
        <f t="shared" si="69"/>
        <v>Kulas, Paul</v>
      </c>
      <c r="EQ244"/>
    </row>
    <row r="245" spans="1:147" x14ac:dyDescent="0.25">
      <c r="A245" s="59">
        <f t="shared" si="56"/>
        <v>242</v>
      </c>
      <c r="B245" s="32" t="s">
        <v>720</v>
      </c>
      <c r="C245" s="5" t="s">
        <v>6</v>
      </c>
      <c r="D245" s="6" t="s">
        <v>61</v>
      </c>
      <c r="E245" s="6">
        <v>57.326166620501759</v>
      </c>
      <c r="F245" s="6">
        <v>61.010855957768854</v>
      </c>
      <c r="G245" s="5">
        <f t="shared" si="58"/>
        <v>4</v>
      </c>
      <c r="H245" s="37">
        <v>57.326166620501759</v>
      </c>
      <c r="I245" s="36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227"/>
      <c r="Z245" s="228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4"/>
      <c r="AP245" s="7"/>
      <c r="AQ245" s="74"/>
      <c r="AR245" s="70"/>
      <c r="AS245" s="7"/>
      <c r="AT245" s="70"/>
      <c r="AU245" s="7"/>
      <c r="AV245" s="70"/>
      <c r="AW245" s="7">
        <f>(INDEX('Race 41'!$E$8:$E$200,(MATCH($B245,'Race 41'!$B$8:$B$200,0)),1))*100</f>
        <v>60.439132193677636</v>
      </c>
      <c r="AX245" s="8">
        <f>(INDEX('Race 42'!$E$8:$E$200,(MATCH($B245,'Race 42'!$B$8:$B$200,0)),1))*100</f>
        <v>61.582579721860078</v>
      </c>
      <c r="AY245" s="36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4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14"/>
      <c r="CA245" s="7"/>
      <c r="CB245" s="7"/>
      <c r="CC245" s="7"/>
      <c r="CD245" s="7"/>
      <c r="CE245" s="7">
        <f>(INDEX('Race 75'!$E$8:$E$200,(MATCH($B245,'Race 75'!$B$8:$B$200,0)),1))*100</f>
        <v>58.360799844065056</v>
      </c>
      <c r="CF245" s="7">
        <f>(INDEX('Race 76'!$E$8:$E$200,(MATCH($B245,'Race 76'!$B$8:$B$200,0)),1))*100</f>
        <v>58.559763216775828</v>
      </c>
      <c r="CG245" s="7"/>
      <c r="CH245" s="7"/>
      <c r="CI245" s="7"/>
      <c r="CJ245" s="7"/>
      <c r="CK245" s="101"/>
      <c r="CL245" s="74"/>
      <c r="CM245" s="74"/>
      <c r="CN245" s="74"/>
      <c r="CO245" s="70"/>
      <c r="CP245" s="74"/>
      <c r="CQ245" s="7"/>
      <c r="CR245" s="74"/>
      <c r="CS245" s="74"/>
      <c r="CT245" s="74"/>
      <c r="CU245" s="74"/>
      <c r="CV245" s="7"/>
      <c r="CW245" s="7"/>
      <c r="CX245" s="7"/>
      <c r="CY245" s="7"/>
      <c r="CZ245" s="7"/>
      <c r="DA245" s="7"/>
      <c r="DB245" s="7"/>
      <c r="DC245" s="7"/>
      <c r="DD245" s="7"/>
      <c r="DE245" s="74"/>
      <c r="DF245" s="74"/>
      <c r="DG245" s="74"/>
      <c r="DH245" s="7"/>
      <c r="DI245" s="74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8">
        <f t="shared" si="60"/>
        <v>59.73556874409465</v>
      </c>
      <c r="EA245" s="3" t="str">
        <f t="shared" si="61"/>
        <v>Kulp, Travis</v>
      </c>
      <c r="EB245" s="2">
        <f t="shared" si="62"/>
        <v>1</v>
      </c>
      <c r="EC245" s="112">
        <f t="shared" si="59"/>
        <v>57.326166620501759</v>
      </c>
      <c r="ED245" s="29">
        <f t="shared" si="63"/>
        <v>58.771712656527598</v>
      </c>
      <c r="EE245" s="2">
        <f t="shared" si="64"/>
        <v>0</v>
      </c>
      <c r="EF245" s="46">
        <f t="shared" si="65"/>
        <v>2</v>
      </c>
      <c r="EG245" s="46">
        <f t="shared" si="66"/>
        <v>4</v>
      </c>
      <c r="EH245" s="2" t="str">
        <f t="shared" si="67"/>
        <v>AK</v>
      </c>
      <c r="EI245" s="29">
        <f>IF(COUNT(I245:Y245)&lt;5,DZ245,SUMPRODUCT(LARGE(I245:Y245,{1,2,3,4,5}))/5)</f>
        <v>59.73556874409465</v>
      </c>
      <c r="EJ245" s="29">
        <f>IF(COUNT(I245:AX245)&lt;5,DZ245,SUMPRODUCT(LARGE(I245:AX245,{1,2,3,4,5}))/5)</f>
        <v>59.73556874409465</v>
      </c>
      <c r="EK245" s="29">
        <f>IF(COUNT(I245:DY245)&lt;5,AVERAGE(I245:DY245),SUMPRODUCT(LARGE(I245:DY245,{1,2,3,4,5}))/5)</f>
        <v>59.73556874409465</v>
      </c>
      <c r="EL245" s="29">
        <f t="shared" si="68"/>
        <v>58.771712656527598</v>
      </c>
      <c r="EM245" s="116" t="str">
        <f t="shared" si="69"/>
        <v>Kulp, Travis</v>
      </c>
      <c r="EQ245"/>
    </row>
    <row r="246" spans="1:147" x14ac:dyDescent="0.25">
      <c r="A246" s="59">
        <f t="shared" si="56"/>
        <v>243</v>
      </c>
      <c r="B246" s="32" t="s">
        <v>129</v>
      </c>
      <c r="C246" s="5" t="s">
        <v>6</v>
      </c>
      <c r="D246" s="6" t="s">
        <v>89</v>
      </c>
      <c r="E246" s="6">
        <v>0</v>
      </c>
      <c r="F246" s="6">
        <v>47.714365226853097</v>
      </c>
      <c r="G246" s="5">
        <f t="shared" si="58"/>
        <v>4</v>
      </c>
      <c r="H246" s="37">
        <v>0</v>
      </c>
      <c r="I246" s="36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227"/>
      <c r="Z246" s="228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4"/>
      <c r="AP246" s="7"/>
      <c r="AQ246" s="74"/>
      <c r="AR246" s="70"/>
      <c r="AS246" s="7"/>
      <c r="AT246" s="70"/>
      <c r="AU246" s="7"/>
      <c r="AV246" s="70"/>
      <c r="AW246" s="7">
        <f>(INDEX('Race 41'!$E$8:$E$200,(MATCH($B246,'Race 41'!$B$8:$B$200,0)),1))*100</f>
        <v>42.933895735142961</v>
      </c>
      <c r="AX246" s="8">
        <f>(INDEX('Race 42'!$E$8:$E$200,(MATCH($B246,'Race 42'!$B$8:$B$200,0)),1))*100</f>
        <v>52.494834718563233</v>
      </c>
      <c r="AY246" s="36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4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14"/>
      <c r="CA246" s="7"/>
      <c r="CB246" s="7"/>
      <c r="CC246" s="7"/>
      <c r="CD246" s="7"/>
      <c r="CE246" s="74">
        <f>(INDEX('Race 75'!$E$8:$E$200,(MATCH($B246,'Race 75'!$B$8:$B$200,0)),1))*100</f>
        <v>51.698972384079511</v>
      </c>
      <c r="CF246" s="74">
        <f>(INDEX('Race 76'!$E$8:$E$200,(MATCH($B246,'Race 76'!$B$8:$B$200,0)),1))*100</f>
        <v>50.196708520096912</v>
      </c>
      <c r="CG246" s="7"/>
      <c r="CH246" s="7"/>
      <c r="CI246" s="7"/>
      <c r="CJ246" s="7"/>
      <c r="CK246" s="101"/>
      <c r="CL246" s="74"/>
      <c r="CM246" s="74"/>
      <c r="CN246" s="74"/>
      <c r="CO246" s="70"/>
      <c r="CP246" s="74"/>
      <c r="CQ246" s="7"/>
      <c r="CR246" s="74"/>
      <c r="CS246" s="74"/>
      <c r="CT246" s="74"/>
      <c r="CU246" s="74"/>
      <c r="CV246" s="7"/>
      <c r="CW246" s="7"/>
      <c r="CX246" s="7"/>
      <c r="CY246" s="7"/>
      <c r="CZ246" s="7"/>
      <c r="DA246" s="7"/>
      <c r="DB246" s="7"/>
      <c r="DC246" s="7"/>
      <c r="DD246" s="7"/>
      <c r="DE246" s="74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8">
        <f t="shared" si="60"/>
        <v>49.331102839470653</v>
      </c>
      <c r="EA246" s="3" t="str">
        <f t="shared" si="61"/>
        <v>Kumlin, Rocky</v>
      </c>
      <c r="EB246" s="2">
        <f t="shared" si="62"/>
        <v>1</v>
      </c>
      <c r="EC246" s="112">
        <f t="shared" si="59"/>
        <v>0</v>
      </c>
      <c r="ED246" s="29">
        <f t="shared" si="63"/>
        <v>0</v>
      </c>
      <c r="EE246" s="2">
        <f t="shared" si="64"/>
        <v>0</v>
      </c>
      <c r="EF246" s="46">
        <f t="shared" si="65"/>
        <v>2</v>
      </c>
      <c r="EG246" s="46">
        <f t="shared" si="66"/>
        <v>4</v>
      </c>
      <c r="EH246" s="2" t="str">
        <f t="shared" si="67"/>
        <v>OR</v>
      </c>
      <c r="EI246" s="29">
        <f>IF(COUNT(I246:AD246)&lt;5,DZ246,SUMPRODUCT(LARGE(I246:AD246,{1,2,3,4,5}))/5)</f>
        <v>49.331102839470653</v>
      </c>
      <c r="EJ246" s="29">
        <f>IF(COUNT(I246:AX246)&lt;5,DZ246,SUMPRODUCT(LARGE(I246:AX246,{1,2,3,4,5}))/5)</f>
        <v>49.331102839470653</v>
      </c>
      <c r="EK246" s="29">
        <f>IF(EG246&lt;0,AVERAGE(I246:DY246),0)</f>
        <v>0</v>
      </c>
      <c r="EL246" s="29">
        <f t="shared" si="68"/>
        <v>0</v>
      </c>
      <c r="EM246" s="116" t="str">
        <f t="shared" si="69"/>
        <v>Kumlin, Rocky</v>
      </c>
      <c r="EQ246"/>
    </row>
    <row r="247" spans="1:147" x14ac:dyDescent="0.25">
      <c r="A247" s="59">
        <f t="shared" si="56"/>
        <v>244</v>
      </c>
      <c r="B247" s="32" t="s">
        <v>750</v>
      </c>
      <c r="C247" s="5" t="s">
        <v>6</v>
      </c>
      <c r="D247" s="6" t="s">
        <v>88</v>
      </c>
      <c r="E247" s="6">
        <v>0</v>
      </c>
      <c r="F247" s="6">
        <v>47.294153385554111</v>
      </c>
      <c r="G247" s="5">
        <f t="shared" si="58"/>
        <v>6</v>
      </c>
      <c r="H247" s="37">
        <v>0</v>
      </c>
      <c r="I247" s="36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227"/>
      <c r="Z247" s="228"/>
      <c r="AA247" s="7"/>
      <c r="AB247" s="7"/>
      <c r="AC247" s="74">
        <f>(INDEX('Race 21'!$E$8:$E$200,(MATCH($B247,'Race 21'!$B$8:$B$200,0)),1))*100</f>
        <v>48.725976178624293</v>
      </c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4">
        <f>(INDEX('Race 33'!$E$8:$E$200,(MATCH($B247,'Race 33'!$B$8:$B$200,0)),1))*100</f>
        <v>45.862330592483929</v>
      </c>
      <c r="AP247" s="7"/>
      <c r="AQ247" s="74"/>
      <c r="AR247" s="70"/>
      <c r="AS247" s="7"/>
      <c r="AT247" s="70"/>
      <c r="AU247" s="7"/>
      <c r="AV247" s="70"/>
      <c r="AW247" s="7"/>
      <c r="AX247" s="8"/>
      <c r="AY247" s="36"/>
      <c r="AZ247" s="7"/>
      <c r="BA247" s="7"/>
      <c r="BB247" s="7"/>
      <c r="BC247" s="7"/>
      <c r="BD247" s="7"/>
      <c r="BE247" s="7"/>
      <c r="BF247" s="7"/>
      <c r="BG247" s="7">
        <f>(INDEX('Race 51'!$E$8:$E$200,(MATCH($B247,'Race 51'!$B$8:$B$200,0)),1))*100</f>
        <v>48.674965708371282</v>
      </c>
      <c r="BH247" s="7">
        <f>(INDEX('Race 52'!$E$8:$E$200,(MATCH($B247,'Race 52'!$B$8:$B$200,0)),1))*100</f>
        <v>50.203132776378823</v>
      </c>
      <c r="BI247" s="7"/>
      <c r="BJ247" s="7"/>
      <c r="BK247" s="7"/>
      <c r="BL247" s="7"/>
      <c r="BM247" s="7"/>
      <c r="BN247" s="7"/>
      <c r="BO247" s="7">
        <f>(INDEX('Race 59'!$E$8:$E$200,(MATCH($B247,'Race 59'!$B$8:$B$200,0)),1))*100</f>
        <v>49.461817678665767</v>
      </c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14"/>
      <c r="CA247" s="7"/>
      <c r="CB247" s="7"/>
      <c r="CC247" s="74"/>
      <c r="CD247" s="7">
        <f>(INDEX('Race 74'!$E$8:$E$200,(MATCH($B247,'Race 74'!$B$8:$B$200,0)),1))*100</f>
        <v>53.539055059662047</v>
      </c>
      <c r="CE247" s="7"/>
      <c r="CF247" s="7"/>
      <c r="CG247" s="7"/>
      <c r="CH247" s="7"/>
      <c r="CI247" s="7"/>
      <c r="CJ247" s="7"/>
      <c r="CK247" s="101"/>
      <c r="CL247" s="74"/>
      <c r="CM247" s="74"/>
      <c r="CN247" s="74"/>
      <c r="CO247" s="70"/>
      <c r="CP247" s="74"/>
      <c r="CQ247" s="7"/>
      <c r="CR247" s="74"/>
      <c r="CS247" s="74"/>
      <c r="CT247" s="74"/>
      <c r="CU247" s="74"/>
      <c r="CV247" s="74"/>
      <c r="CW247" s="7"/>
      <c r="CX247" s="7"/>
      <c r="CY247" s="7"/>
      <c r="CZ247" s="74"/>
      <c r="DA247" s="7"/>
      <c r="DB247" s="7"/>
      <c r="DC247" s="7"/>
      <c r="DD247" s="7"/>
      <c r="DE247" s="74"/>
      <c r="DF247" s="74"/>
      <c r="DG247" s="74"/>
      <c r="DH247" s="74"/>
      <c r="DI247" s="74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4"/>
      <c r="DU247" s="7"/>
      <c r="DV247" s="7"/>
      <c r="DW247" s="7"/>
      <c r="DX247" s="7"/>
      <c r="DY247" s="7"/>
      <c r="DZ247" s="8">
        <f t="shared" si="60"/>
        <v>49.411212999031022</v>
      </c>
      <c r="EA247" s="3" t="str">
        <f t="shared" si="61"/>
        <v>Larsen, Michael</v>
      </c>
      <c r="EB247" s="2">
        <f t="shared" si="62"/>
        <v>1</v>
      </c>
      <c r="EC247" s="112">
        <f t="shared" si="59"/>
        <v>0</v>
      </c>
      <c r="ED247" s="29">
        <f t="shared" si="63"/>
        <v>0</v>
      </c>
      <c r="EE247" s="2">
        <f t="shared" si="64"/>
        <v>1</v>
      </c>
      <c r="EF247" s="46">
        <f t="shared" si="65"/>
        <v>5</v>
      </c>
      <c r="EG247" s="46">
        <f t="shared" si="66"/>
        <v>6</v>
      </c>
      <c r="EH247" s="2" t="str">
        <f t="shared" si="67"/>
        <v>WI</v>
      </c>
      <c r="EI247" s="29">
        <f>IF(COUNT(I247:AD247)&lt;5,DZ247,SUMPRODUCT(LARGE(I247:AD247,{1,2,3,4,5}))/5)</f>
        <v>49.411212999031022</v>
      </c>
      <c r="EJ247" s="29">
        <f>IF(COUNT(I247:AX247)&lt;5,DZ247,SUMPRODUCT(LARGE(I247:AX247,{1,2,3,4,5}))/5)</f>
        <v>49.411212999031022</v>
      </c>
      <c r="EK247" s="29">
        <f>IF(EG247&lt;0,AVERAGE(I247:DY247),0)</f>
        <v>0</v>
      </c>
      <c r="EL247" s="29">
        <f t="shared" si="68"/>
        <v>0</v>
      </c>
      <c r="EM247" s="116" t="str">
        <f t="shared" si="69"/>
        <v>Larsen, Michael</v>
      </c>
      <c r="EQ247"/>
    </row>
    <row r="248" spans="1:147" x14ac:dyDescent="0.25">
      <c r="A248" s="59">
        <f t="shared" si="56"/>
        <v>245</v>
      </c>
      <c r="B248" s="32" t="s">
        <v>329</v>
      </c>
      <c r="C248" s="5" t="s">
        <v>6</v>
      </c>
      <c r="D248" s="6" t="s">
        <v>57</v>
      </c>
      <c r="E248" s="6">
        <v>35.205333381012913</v>
      </c>
      <c r="F248" s="6">
        <v>43.417973722279548</v>
      </c>
      <c r="G248" s="5">
        <f t="shared" si="58"/>
        <v>4</v>
      </c>
      <c r="H248" s="37">
        <v>35.205333381012913</v>
      </c>
      <c r="I248" s="107"/>
      <c r="J248" s="7"/>
      <c r="K248" s="74"/>
      <c r="L248" s="7"/>
      <c r="M248" s="74"/>
      <c r="N248" s="74"/>
      <c r="O248" s="7"/>
      <c r="P248" s="74"/>
      <c r="Q248" s="74"/>
      <c r="R248" s="74"/>
      <c r="S248" s="74"/>
      <c r="T248" s="7"/>
      <c r="U248" s="7"/>
      <c r="V248" s="74"/>
      <c r="W248" s="7"/>
      <c r="X248" s="74"/>
      <c r="Y248" s="227"/>
      <c r="Z248" s="228"/>
      <c r="AA248" s="74"/>
      <c r="AB248" s="74"/>
      <c r="AC248" s="74"/>
      <c r="AD248" s="74"/>
      <c r="AE248" s="7"/>
      <c r="AF248" s="74"/>
      <c r="AG248" s="74"/>
      <c r="AH248" s="7"/>
      <c r="AI248" s="7"/>
      <c r="AJ248" s="7"/>
      <c r="AK248" s="7"/>
      <c r="AL248" s="7"/>
      <c r="AM248" s="7"/>
      <c r="AN248" s="7"/>
      <c r="AO248" s="74"/>
      <c r="AP248" s="7"/>
      <c r="AQ248" s="74"/>
      <c r="AR248" s="101"/>
      <c r="AS248" s="7"/>
      <c r="AT248" s="101">
        <f>(INDEX('Race 38'!$E$8:$E$200,(MATCH($B248,'Race 38'!$B$8:$B$200,0)),1))*100</f>
        <v>43.792480122851337</v>
      </c>
      <c r="AU248" s="74">
        <f>(INDEX('Race 39'!$E$8:$E$200,(MATCH($B248,'Race 39'!$B$8:$B$200,0)),1))*100</f>
        <v>43.043467321707759</v>
      </c>
      <c r="AV248" s="101"/>
      <c r="AW248" s="74"/>
      <c r="AX248" s="183"/>
      <c r="AY248" s="107"/>
      <c r="AZ248" s="7">
        <f>(INDEX('Race 44'!$E$8:$E$200,(MATCH($B248,'Race 44'!$B$8:$B$200,0)),1))*100</f>
        <v>44.853149560617943</v>
      </c>
      <c r="BA248" s="74"/>
      <c r="BB248" s="7"/>
      <c r="BC248" s="74"/>
      <c r="BD248" s="7"/>
      <c r="BE248" s="7"/>
      <c r="BF248" s="74"/>
      <c r="BG248" s="74"/>
      <c r="BH248" s="74"/>
      <c r="BI248" s="74"/>
      <c r="BJ248" s="74"/>
      <c r="BK248" s="7"/>
      <c r="BL248" s="74"/>
      <c r="BM248" s="7"/>
      <c r="BN248" s="74"/>
      <c r="BO248" s="74"/>
      <c r="BP248" s="7">
        <f>(INDEX('Race 60'!$E$8:$E$200,(MATCH($B248,'Race 60'!$B$8:$B$200,0)),1))*100</f>
        <v>38.032361228238962</v>
      </c>
      <c r="BQ248" s="7"/>
      <c r="BR248" s="74"/>
      <c r="BS248" s="7"/>
      <c r="BT248" s="7"/>
      <c r="BU248" s="74"/>
      <c r="BV248" s="74"/>
      <c r="BW248" s="74"/>
      <c r="BX248" s="74"/>
      <c r="BY248" s="74"/>
      <c r="BZ248" s="103"/>
      <c r="CA248" s="7"/>
      <c r="CB248" s="74"/>
      <c r="CC248" s="74"/>
      <c r="CD248" s="74"/>
      <c r="CE248" s="7"/>
      <c r="CF248" s="74"/>
      <c r="CG248" s="74"/>
      <c r="CH248" s="7"/>
      <c r="CI248" s="74"/>
      <c r="CJ248" s="74"/>
      <c r="CK248" s="101"/>
      <c r="CL248" s="74"/>
      <c r="CM248" s="74"/>
      <c r="CN248" s="74"/>
      <c r="CO248" s="101"/>
      <c r="CP248" s="101"/>
      <c r="CQ248" s="74"/>
      <c r="CR248" s="74"/>
      <c r="CS248" s="74"/>
      <c r="CT248" s="74"/>
      <c r="CU248" s="74"/>
      <c r="CV248" s="74"/>
      <c r="CW248" s="74"/>
      <c r="CX248" s="7"/>
      <c r="CY248" s="7"/>
      <c r="CZ248" s="74"/>
      <c r="DA248" s="74"/>
      <c r="DB248" s="74"/>
      <c r="DC248" s="74"/>
      <c r="DD248" s="74"/>
      <c r="DE248" s="74"/>
      <c r="DF248" s="74"/>
      <c r="DG248" s="74"/>
      <c r="DH248" s="74"/>
      <c r="DI248" s="74"/>
      <c r="DJ248" s="74"/>
      <c r="DK248" s="74"/>
      <c r="DL248" s="74"/>
      <c r="DM248" s="74"/>
      <c r="DN248" s="74"/>
      <c r="DO248" s="74"/>
      <c r="DP248" s="74"/>
      <c r="DQ248" s="74"/>
      <c r="DR248" s="7"/>
      <c r="DS248" s="7"/>
      <c r="DT248" s="74"/>
      <c r="DU248" s="74"/>
      <c r="DV248" s="74"/>
      <c r="DW248" s="74"/>
      <c r="DX248" s="74"/>
      <c r="DY248" s="74"/>
      <c r="DZ248" s="8">
        <f t="shared" si="60"/>
        <v>42.430364558354</v>
      </c>
      <c r="EA248" s="3" t="str">
        <f t="shared" si="61"/>
        <v>Latshaw, Bob</v>
      </c>
      <c r="EB248" s="2">
        <f t="shared" si="62"/>
        <v>1</v>
      </c>
      <c r="EC248" s="112">
        <f t="shared" si="59"/>
        <v>35.205333381012913</v>
      </c>
      <c r="ED248" s="29">
        <f t="shared" si="63"/>
        <v>41.74573451235144</v>
      </c>
      <c r="EE248" s="2">
        <f t="shared" si="64"/>
        <v>0</v>
      </c>
      <c r="EF248" s="46">
        <f t="shared" si="65"/>
        <v>4</v>
      </c>
      <c r="EG248" s="46">
        <f t="shared" si="66"/>
        <v>4</v>
      </c>
      <c r="EH248" s="2" t="str">
        <f t="shared" si="67"/>
        <v>NY</v>
      </c>
      <c r="EI248" s="29">
        <f>IF(COUNT(I248:Y248)&lt;5,DZ248,SUMPRODUCT(LARGE(I248:Y248,{1,2,3,4,5}))/5)</f>
        <v>42.430364558354</v>
      </c>
      <c r="EJ248" s="29">
        <f>IF(COUNT(I248:AX248)&lt;5,DZ248,SUMPRODUCT(LARGE(I248:AX248,{1,2,3,4,5}))/5)</f>
        <v>42.430364558354</v>
      </c>
      <c r="EK248" s="29">
        <f>IF(COUNT(I248:DY248)&lt;5,AVERAGE(I248:DY248),SUMPRODUCT(LARGE(I248:DY248,{1,2,3,4,5}))/5)</f>
        <v>42.430364558354</v>
      </c>
      <c r="EL248" s="29">
        <f t="shared" si="68"/>
        <v>41.74573451235144</v>
      </c>
      <c r="EM248" s="116" t="str">
        <f t="shared" si="69"/>
        <v>Latshaw, Bob</v>
      </c>
      <c r="EQ248"/>
    </row>
    <row r="249" spans="1:147" x14ac:dyDescent="0.25">
      <c r="A249" s="59">
        <f t="shared" si="56"/>
        <v>246</v>
      </c>
      <c r="B249" s="32" t="s">
        <v>1129</v>
      </c>
      <c r="C249" s="5" t="s">
        <v>6</v>
      </c>
      <c r="D249" s="6" t="s">
        <v>58</v>
      </c>
      <c r="E249" s="6">
        <v>0</v>
      </c>
      <c r="F249" s="6">
        <v>69.462945408894683</v>
      </c>
      <c r="G249" s="5">
        <f t="shared" si="58"/>
        <v>4</v>
      </c>
      <c r="H249" s="37">
        <v>0</v>
      </c>
      <c r="I249" s="36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227"/>
      <c r="Z249" s="228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4"/>
      <c r="AP249" s="7"/>
      <c r="AQ249" s="74"/>
      <c r="AR249" s="70"/>
      <c r="AS249" s="7"/>
      <c r="AT249" s="70"/>
      <c r="AU249" s="7"/>
      <c r="AV249" s="70"/>
      <c r="AW249" s="7">
        <f>(INDEX('Race 41'!$E$8:$E$200,(MATCH($B249,'Race 41'!$B$8:$B$200,0)),1))*100</f>
        <v>69.645488630696775</v>
      </c>
      <c r="AX249" s="183">
        <f>(INDEX('Race 42'!$E$8:$E$200,(MATCH($B249,'Race 42'!$B$8:$B$200,0)),1))*100</f>
        <v>69.280402187092577</v>
      </c>
      <c r="AY249" s="10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4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14"/>
      <c r="CA249" s="7"/>
      <c r="CB249" s="7"/>
      <c r="CC249" s="7"/>
      <c r="CD249" s="7"/>
      <c r="CE249" s="7">
        <f>(INDEX('Race 75'!$E$8:$E$200,(MATCH($B249,'Race 75'!$B$8:$B$200,0)),1))*100</f>
        <v>67.33139163018545</v>
      </c>
      <c r="CF249" s="7">
        <f>(INDEX('Race 76'!$E$8:$E$200,(MATCH($B249,'Race 76'!$B$8:$B$200,0)),1))*100</f>
        <v>65.867674359560425</v>
      </c>
      <c r="CG249" s="7"/>
      <c r="CH249" s="7"/>
      <c r="CI249" s="7"/>
      <c r="CJ249" s="7"/>
      <c r="CK249" s="101"/>
      <c r="CL249" s="74"/>
      <c r="CM249" s="74"/>
      <c r="CN249" s="74"/>
      <c r="CO249" s="70"/>
      <c r="CP249" s="74"/>
      <c r="CQ249" s="7"/>
      <c r="CR249" s="74"/>
      <c r="CS249" s="74"/>
      <c r="CT249" s="74"/>
      <c r="CU249" s="74"/>
      <c r="CV249" s="7"/>
      <c r="CW249" s="7"/>
      <c r="CX249" s="7"/>
      <c r="CY249" s="7"/>
      <c r="CZ249" s="7"/>
      <c r="DA249" s="7"/>
      <c r="DB249" s="7"/>
      <c r="DC249" s="7"/>
      <c r="DD249" s="7"/>
      <c r="DE249" s="74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8">
        <f t="shared" si="60"/>
        <v>68.031239201883807</v>
      </c>
      <c r="EA249" s="3" t="str">
        <f t="shared" si="61"/>
        <v>Lau, Aidan</v>
      </c>
      <c r="EB249" s="2">
        <f t="shared" si="62"/>
        <v>1</v>
      </c>
      <c r="EC249" s="112">
        <f t="shared" si="59"/>
        <v>0</v>
      </c>
      <c r="ED249" s="29">
        <f t="shared" si="63"/>
        <v>0</v>
      </c>
      <c r="EE249" s="2">
        <f t="shared" si="64"/>
        <v>0</v>
      </c>
      <c r="EF249" s="46">
        <f t="shared" si="65"/>
        <v>2</v>
      </c>
      <c r="EG249" s="46">
        <f t="shared" si="66"/>
        <v>4</v>
      </c>
      <c r="EH249" s="29" t="str">
        <f t="shared" si="67"/>
        <v>MN</v>
      </c>
      <c r="EI249" s="29">
        <f>IF(COUNT(I249:AD249)&lt;5,DZ249,SUMPRODUCT(LARGE(I249:AD249,{1,2,3,4,5}))/5)</f>
        <v>68.031239201883807</v>
      </c>
      <c r="EJ249" s="29">
        <f>IF(COUNT(I249:AX249)&lt;5,DZ249,SUMPRODUCT(LARGE(I249:AX249,{1,2,3,4,5}))/5)</f>
        <v>68.031239201883807</v>
      </c>
      <c r="EK249" s="29">
        <f>IF(EG249&lt;0,AVERAGE(I249:DY249),0)</f>
        <v>0</v>
      </c>
      <c r="EL249" s="29">
        <f t="shared" si="68"/>
        <v>0</v>
      </c>
      <c r="EM249" s="116" t="str">
        <f t="shared" si="69"/>
        <v>Lau, Aidan</v>
      </c>
      <c r="EQ249"/>
    </row>
    <row r="250" spans="1:147" x14ac:dyDescent="0.25">
      <c r="A250" s="59">
        <f t="shared" si="56"/>
        <v>247</v>
      </c>
      <c r="B250" s="186" t="s">
        <v>959</v>
      </c>
      <c r="C250" s="106" t="s">
        <v>6</v>
      </c>
      <c r="D250" s="187" t="s">
        <v>69</v>
      </c>
      <c r="E250" s="187">
        <v>47.616188533523349</v>
      </c>
      <c r="F250" s="187">
        <v>47.616188533523349</v>
      </c>
      <c r="G250" s="106">
        <f t="shared" si="58"/>
        <v>0</v>
      </c>
      <c r="H250" s="188">
        <v>47.616188533523349</v>
      </c>
      <c r="I250" s="107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229"/>
      <c r="Z250" s="230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101"/>
      <c r="AS250" s="74"/>
      <c r="AT250" s="101"/>
      <c r="AU250" s="74"/>
      <c r="AV250" s="101"/>
      <c r="AW250" s="74"/>
      <c r="AX250" s="8"/>
      <c r="AY250" s="36"/>
      <c r="AZ250" s="74"/>
      <c r="BA250" s="74"/>
      <c r="BB250" s="74"/>
      <c r="BC250" s="74"/>
      <c r="BD250" s="7"/>
      <c r="BE250" s="7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"/>
      <c r="BQ250" s="7"/>
      <c r="BR250" s="74"/>
      <c r="BS250" s="7"/>
      <c r="BT250" s="7"/>
      <c r="BU250" s="74"/>
      <c r="BV250" s="74"/>
      <c r="BW250" s="74"/>
      <c r="BX250" s="74"/>
      <c r="BY250" s="74"/>
      <c r="BZ250" s="103"/>
      <c r="CA250" s="7"/>
      <c r="CB250" s="74"/>
      <c r="CC250" s="74"/>
      <c r="CD250" s="74"/>
      <c r="CE250" s="74"/>
      <c r="CF250" s="74"/>
      <c r="CG250" s="74"/>
      <c r="CH250" s="74"/>
      <c r="CI250" s="74"/>
      <c r="CJ250" s="74"/>
      <c r="CK250" s="74"/>
      <c r="CL250" s="74"/>
      <c r="CM250" s="74"/>
      <c r="CN250" s="74"/>
      <c r="CO250" s="101"/>
      <c r="CP250" s="74"/>
      <c r="CQ250" s="74"/>
      <c r="CR250" s="74"/>
      <c r="CS250" s="74"/>
      <c r="CT250" s="74"/>
      <c r="CU250" s="74"/>
      <c r="CV250" s="74"/>
      <c r="CW250" s="74"/>
      <c r="CX250" s="7"/>
      <c r="CY250" s="7"/>
      <c r="CZ250" s="74"/>
      <c r="DA250" s="74"/>
      <c r="DB250" s="74"/>
      <c r="DC250" s="74"/>
      <c r="DD250" s="74"/>
      <c r="DE250" s="74"/>
      <c r="DF250" s="74"/>
      <c r="DG250" s="74"/>
      <c r="DH250" s="74"/>
      <c r="DI250" s="74"/>
      <c r="DJ250" s="74"/>
      <c r="DK250" s="74"/>
      <c r="DL250" s="74"/>
      <c r="DM250" s="74"/>
      <c r="DN250" s="74"/>
      <c r="DO250" s="74"/>
      <c r="DP250" s="74"/>
      <c r="DQ250" s="74"/>
      <c r="DR250" s="7"/>
      <c r="DS250" s="7"/>
      <c r="DT250" s="7"/>
      <c r="DU250" s="7"/>
      <c r="DV250" s="74"/>
      <c r="DW250" s="74"/>
      <c r="DX250" s="74"/>
      <c r="DY250" s="74"/>
      <c r="DZ250" s="8">
        <f t="shared" si="60"/>
        <v>47.616188533523349</v>
      </c>
      <c r="EA250" s="3" t="str">
        <f t="shared" si="61"/>
        <v>Law, Peter</v>
      </c>
      <c r="EB250" s="2">
        <f t="shared" si="62"/>
        <v>0</v>
      </c>
      <c r="EC250" s="112">
        <f t="shared" si="59"/>
        <v>47.616188533523349</v>
      </c>
      <c r="ED250" s="29">
        <f t="shared" si="63"/>
        <v>0</v>
      </c>
      <c r="EE250" s="2">
        <f t="shared" si="64"/>
        <v>0</v>
      </c>
      <c r="EF250" s="46">
        <f t="shared" si="65"/>
        <v>0</v>
      </c>
      <c r="EG250" s="46">
        <f t="shared" si="66"/>
        <v>0</v>
      </c>
      <c r="EH250" s="29" t="str">
        <f t="shared" si="67"/>
        <v>WA</v>
      </c>
      <c r="EI250" s="29">
        <f>IF(COUNT(I250:Y250)&lt;5,DZ250,SUMPRODUCT(LARGE(I250:Y250,{1,2,3,4,5}))/5)</f>
        <v>47.616188533523349</v>
      </c>
      <c r="EJ250" s="29">
        <f>IF(COUNT(I250:AX250)&lt;5,DZ250,SUMPRODUCT(LARGE(I250:AX250,{1,2,3,4,5}))/5)</f>
        <v>47.616188533523349</v>
      </c>
      <c r="EK250" s="112">
        <f>IF(EG250&lt;0,AVERAGE(I250:DY250),0)</f>
        <v>0</v>
      </c>
      <c r="EL250" s="29">
        <f t="shared" si="68"/>
        <v>0</v>
      </c>
      <c r="EM250" s="116" t="str">
        <f t="shared" si="69"/>
        <v>Law, Peter</v>
      </c>
      <c r="EQ250"/>
    </row>
    <row r="251" spans="1:147" x14ac:dyDescent="0.25">
      <c r="A251" s="59">
        <f t="shared" si="56"/>
        <v>248</v>
      </c>
      <c r="B251" s="32" t="s">
        <v>1105</v>
      </c>
      <c r="C251" s="5" t="s">
        <v>16</v>
      </c>
      <c r="D251" s="6" t="s">
        <v>63</v>
      </c>
      <c r="E251" s="6">
        <v>0</v>
      </c>
      <c r="F251" s="6">
        <v>62.925723271706111</v>
      </c>
      <c r="G251" s="5">
        <f t="shared" si="58"/>
        <v>3</v>
      </c>
      <c r="H251" s="37">
        <v>0</v>
      </c>
      <c r="I251" s="36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227"/>
      <c r="Z251" s="228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4"/>
      <c r="AP251" s="7"/>
      <c r="AQ251" s="74"/>
      <c r="AR251" s="70"/>
      <c r="AS251" s="74">
        <f>(INDEX('Race 37'!$E$8:$E$200,(MATCH($B251,'Race 37'!$B$8:$B$200,0)),1))*100</f>
        <v>62.925723271706111</v>
      </c>
      <c r="AT251" s="70"/>
      <c r="AU251" s="7"/>
      <c r="AV251" s="70"/>
      <c r="AW251" s="7"/>
      <c r="AX251" s="8"/>
      <c r="AY251" s="36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4">
        <f>(INDEX('Race 55'!$E$8:$E$200,(MATCH($B251,'Race 55'!$B$8:$B$200,0)),1))*100</f>
        <v>72.659974705219497</v>
      </c>
      <c r="BL251" s="7"/>
      <c r="BM251" s="7"/>
      <c r="BN251" s="74">
        <f>(INDEX('Race 58'!$E$8:$E$200,(MATCH($B251,'Race 58'!$B$8:$B$200,0)),1))*100</f>
        <v>63.71731146445444</v>
      </c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14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101"/>
      <c r="CL251" s="74"/>
      <c r="CM251" s="74"/>
      <c r="CN251" s="74"/>
      <c r="CO251" s="70"/>
      <c r="CP251" s="74"/>
      <c r="CQ251" s="7"/>
      <c r="CR251" s="74"/>
      <c r="CS251" s="74"/>
      <c r="CT251" s="74"/>
      <c r="CU251" s="74"/>
      <c r="CV251" s="7"/>
      <c r="CW251" s="7"/>
      <c r="CX251" s="7"/>
      <c r="CY251" s="7"/>
      <c r="CZ251" s="7"/>
      <c r="DA251" s="7"/>
      <c r="DB251" s="7"/>
      <c r="DC251" s="7"/>
      <c r="DD251" s="7"/>
      <c r="DE251" s="74"/>
      <c r="DF251" s="74"/>
      <c r="DG251" s="74"/>
      <c r="DH251" s="74"/>
      <c r="DI251" s="74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8">
        <f t="shared" si="60"/>
        <v>66.434336480460018</v>
      </c>
      <c r="EA251" s="3" t="str">
        <f t="shared" si="61"/>
        <v>Ledger, Van</v>
      </c>
      <c r="EB251" s="2">
        <f t="shared" si="62"/>
        <v>1</v>
      </c>
      <c r="EC251" s="112">
        <f t="shared" si="59"/>
        <v>0</v>
      </c>
      <c r="ED251" s="29">
        <f t="shared" si="63"/>
        <v>65.362393231464011</v>
      </c>
      <c r="EE251" s="2">
        <f t="shared" si="64"/>
        <v>0</v>
      </c>
      <c r="EF251" s="46">
        <f t="shared" si="65"/>
        <v>3</v>
      </c>
      <c r="EG251" s="46">
        <f t="shared" si="66"/>
        <v>3</v>
      </c>
      <c r="EH251" s="29" t="str">
        <f t="shared" si="67"/>
        <v>VT</v>
      </c>
      <c r="EI251" s="29">
        <f>IF(COUNT(I251:Y251)&lt;5,DZ251,SUMPRODUCT(LARGE(I251:Y251,{1,2,3,4,5}))/5)</f>
        <v>66.434336480460018</v>
      </c>
      <c r="EJ251" s="29">
        <f>IF(COUNT(I251:AX251)&lt;5,DZ251,SUMPRODUCT(LARGE(I251:AX251,{1,2,3,4,5}))/5)</f>
        <v>66.434336480460018</v>
      </c>
      <c r="EK251" s="29">
        <f>IF(COUNT(I251:DY251)&lt;5,AVERAGE(I251:DY251),SUMPRODUCT(LARGE(I251:DY251,{1,2,3,4,5}))/5)</f>
        <v>66.434336480460018</v>
      </c>
      <c r="EL251" s="29">
        <f t="shared" si="68"/>
        <v>65.362393231464011</v>
      </c>
      <c r="EM251" s="116" t="str">
        <f t="shared" si="69"/>
        <v>Ledger, Van</v>
      </c>
      <c r="EQ251"/>
    </row>
    <row r="252" spans="1:147" x14ac:dyDescent="0.25">
      <c r="A252" s="59">
        <f t="shared" si="56"/>
        <v>249</v>
      </c>
      <c r="B252" s="32" t="s">
        <v>422</v>
      </c>
      <c r="C252" s="5" t="s">
        <v>6</v>
      </c>
      <c r="D252" s="6" t="s">
        <v>57</v>
      </c>
      <c r="E252" s="6">
        <v>0</v>
      </c>
      <c r="F252" s="6">
        <v>53.267725340335318</v>
      </c>
      <c r="G252" s="5">
        <f t="shared" si="58"/>
        <v>2</v>
      </c>
      <c r="H252" s="37">
        <v>0</v>
      </c>
      <c r="I252" s="36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227"/>
      <c r="Z252" s="228"/>
      <c r="AA252" s="7"/>
      <c r="AB252" s="7"/>
      <c r="AC252" s="7"/>
      <c r="AD252" s="7"/>
      <c r="AE252" s="74"/>
      <c r="AF252" s="7"/>
      <c r="AG252" s="7"/>
      <c r="AH252" s="7"/>
      <c r="AI252" s="7"/>
      <c r="AJ252" s="7"/>
      <c r="AK252" s="7"/>
      <c r="AL252" s="7"/>
      <c r="AM252" s="7"/>
      <c r="AN252" s="7"/>
      <c r="AO252" s="74"/>
      <c r="AP252" s="7"/>
      <c r="AQ252" s="74"/>
      <c r="AR252" s="70"/>
      <c r="AS252" s="7"/>
      <c r="AT252" s="101"/>
      <c r="AU252" s="7"/>
      <c r="AV252" s="101"/>
      <c r="AW252" s="7"/>
      <c r="AX252" s="8"/>
      <c r="AY252" s="36">
        <f>(INDEX('Race 43'!$E$8:$E$200,(MATCH($B252,'Race 43'!$B$8:$B$200,0)),1))*100</f>
        <v>53.949912936527113</v>
      </c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4"/>
      <c r="BO252" s="7"/>
      <c r="BP252" s="7"/>
      <c r="BQ252" s="7"/>
      <c r="BR252" s="7">
        <f>(INDEX('Race 62'!$E$8:$E$200,(MATCH($B252,'Race 62'!$B$8:$B$200,0)),1))*100</f>
        <v>52.461738050105879</v>
      </c>
      <c r="BS252" s="7"/>
      <c r="BT252" s="7"/>
      <c r="BU252" s="7"/>
      <c r="BV252" s="7"/>
      <c r="BW252" s="7"/>
      <c r="BX252" s="7"/>
      <c r="BY252" s="7"/>
      <c r="BZ252" s="14"/>
      <c r="CA252" s="7"/>
      <c r="CB252" s="7"/>
      <c r="CC252" s="7"/>
      <c r="CD252" s="7"/>
      <c r="CE252" s="7"/>
      <c r="CF252" s="74"/>
      <c r="CG252" s="7"/>
      <c r="CH252" s="7"/>
      <c r="CI252" s="7"/>
      <c r="CJ252" s="7"/>
      <c r="CK252" s="101"/>
      <c r="CL252" s="74"/>
      <c r="CM252" s="74"/>
      <c r="CN252" s="74"/>
      <c r="CO252" s="70"/>
      <c r="CP252" s="74"/>
      <c r="CQ252" s="7"/>
      <c r="CR252" s="74"/>
      <c r="CS252" s="74"/>
      <c r="CT252" s="74"/>
      <c r="CU252" s="74"/>
      <c r="CV252" s="7"/>
      <c r="CW252" s="7"/>
      <c r="CX252" s="7"/>
      <c r="CY252" s="7"/>
      <c r="CZ252" s="7"/>
      <c r="DA252" s="7"/>
      <c r="DB252" s="7"/>
      <c r="DC252" s="7"/>
      <c r="DD252" s="7"/>
      <c r="DE252" s="74"/>
      <c r="DF252" s="74"/>
      <c r="DG252" s="74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8">
        <f t="shared" si="60"/>
        <v>53.205825493316496</v>
      </c>
      <c r="EA252" s="3" t="str">
        <f t="shared" si="61"/>
        <v>Lerner, Andrew</v>
      </c>
      <c r="EB252" s="2">
        <f t="shared" si="62"/>
        <v>1</v>
      </c>
      <c r="EC252" s="112">
        <f t="shared" si="59"/>
        <v>0</v>
      </c>
      <c r="ED252" s="29">
        <f t="shared" si="63"/>
        <v>52.347329292912725</v>
      </c>
      <c r="EE252" s="2">
        <f t="shared" si="64"/>
        <v>0</v>
      </c>
      <c r="EF252" s="46">
        <f t="shared" si="65"/>
        <v>1</v>
      </c>
      <c r="EG252" s="46">
        <f t="shared" si="66"/>
        <v>2</v>
      </c>
      <c r="EH252" s="2" t="str">
        <f t="shared" si="67"/>
        <v>NY</v>
      </c>
      <c r="EI252" s="29">
        <f>IF(COUNT(I252:AD252)&lt;5,DZ252,SUMPRODUCT(LARGE(I252:AD252,{1,2,3,4,5}))/5)</f>
        <v>53.205825493316496</v>
      </c>
      <c r="EJ252" s="29">
        <f>IF(COUNT(I252:AX252)&lt;5,DZ252,SUMPRODUCT(LARGE(I252:AX252,{1,2,3,4,5}))/5)</f>
        <v>53.205825493316496</v>
      </c>
      <c r="EK252" s="29">
        <f>IF(COUNT(I252:DY252)&lt;5,AVERAGE(I252:DY252),SUMPRODUCT(LARGE(I252:DY252,{1,2,3,4,5}))/5)</f>
        <v>53.205825493316496</v>
      </c>
      <c r="EL252" s="29">
        <f t="shared" si="68"/>
        <v>52.347329292912725</v>
      </c>
      <c r="EM252" s="116" t="str">
        <f t="shared" si="69"/>
        <v>Lerner, Andrew</v>
      </c>
      <c r="EQ252"/>
    </row>
    <row r="253" spans="1:147" x14ac:dyDescent="0.25">
      <c r="A253" s="59">
        <f t="shared" si="56"/>
        <v>250</v>
      </c>
      <c r="B253" s="32" t="s">
        <v>907</v>
      </c>
      <c r="C253" s="5" t="s">
        <v>6</v>
      </c>
      <c r="D253" s="6" t="s">
        <v>88</v>
      </c>
      <c r="E253" s="6">
        <v>51.9619471013281</v>
      </c>
      <c r="F253" s="6">
        <v>55.901532955447941</v>
      </c>
      <c r="G253" s="5">
        <f t="shared" si="58"/>
        <v>4</v>
      </c>
      <c r="H253" s="37">
        <v>51.9619471013281</v>
      </c>
      <c r="I253" s="36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227"/>
      <c r="Z253" s="228"/>
      <c r="AA253" s="7"/>
      <c r="AB253" s="7"/>
      <c r="AC253" s="74">
        <f>(INDEX('Race 21'!$E$8:$E$200,(MATCH($B253,'Race 21'!$B$8:$B$200,0)),1))*100</f>
        <v>55.901532955447941</v>
      </c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4"/>
      <c r="AP253" s="7"/>
      <c r="AQ253" s="74"/>
      <c r="AR253" s="70"/>
      <c r="AS253" s="7"/>
      <c r="AT253" s="7"/>
      <c r="AU253" s="7"/>
      <c r="AV253" s="7"/>
      <c r="AW253" s="7"/>
      <c r="AX253" s="183"/>
      <c r="AY253" s="107"/>
      <c r="AZ253" s="7"/>
      <c r="BA253" s="7"/>
      <c r="BB253" s="7"/>
      <c r="BC253" s="7"/>
      <c r="BD253" s="7"/>
      <c r="BE253" s="7"/>
      <c r="BF253" s="7"/>
      <c r="BG253" s="7"/>
      <c r="BH253" s="7">
        <f>(INDEX('Race 52'!$E$8:$E$200,(MATCH($B253,'Race 52'!$B$8:$B$200,0)),1))*100</f>
        <v>53.339078605131995</v>
      </c>
      <c r="BI253" s="7"/>
      <c r="BJ253" s="7"/>
      <c r="BK253" s="7"/>
      <c r="BL253" s="7"/>
      <c r="BM253" s="7"/>
      <c r="BN253" s="74"/>
      <c r="BO253" s="7">
        <f>(INDEX('Race 59'!$E$8:$E$200,(MATCH($B253,'Race 59'!$B$8:$B$200,0)),1))*100</f>
        <v>54.96071922455863</v>
      </c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>
        <f>(INDEX('Race 74'!$E$8:$E$200,(MATCH($B253,'Race 74'!$B$8:$B$200,0)),1))*100</f>
        <v>56.538696514617648</v>
      </c>
      <c r="CE253" s="74"/>
      <c r="CF253" s="74"/>
      <c r="CG253" s="7"/>
      <c r="CH253" s="7"/>
      <c r="CI253" s="7"/>
      <c r="CJ253" s="7"/>
      <c r="CK253" s="101"/>
      <c r="CL253" s="74"/>
      <c r="CM253" s="74"/>
      <c r="CN253" s="74"/>
      <c r="CO253" s="70"/>
      <c r="CP253" s="74"/>
      <c r="CQ253" s="7"/>
      <c r="CR253" s="74"/>
      <c r="CS253" s="74"/>
      <c r="CT253" s="74"/>
      <c r="CU253" s="74"/>
      <c r="CV253" s="7"/>
      <c r="CW253" s="7"/>
      <c r="CX253" s="7"/>
      <c r="CY253" s="7"/>
      <c r="CZ253" s="7"/>
      <c r="DA253" s="7"/>
      <c r="DB253" s="7"/>
      <c r="DC253" s="7"/>
      <c r="DD253" s="7"/>
      <c r="DE253" s="74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8">
        <f t="shared" si="60"/>
        <v>55.185006824939052</v>
      </c>
      <c r="EA253" s="3" t="str">
        <f t="shared" si="61"/>
        <v>Lescher, Jacob</v>
      </c>
      <c r="EB253" s="2">
        <f t="shared" si="62"/>
        <v>1</v>
      </c>
      <c r="EC253" s="112">
        <f t="shared" si="59"/>
        <v>51.9619471013281</v>
      </c>
      <c r="ED253" s="29">
        <f t="shared" si="63"/>
        <v>54.29457578211241</v>
      </c>
      <c r="EE253" s="2">
        <f t="shared" si="64"/>
        <v>1</v>
      </c>
      <c r="EF253" s="46">
        <f t="shared" si="65"/>
        <v>3</v>
      </c>
      <c r="EG253" s="46">
        <f t="shared" si="66"/>
        <v>4</v>
      </c>
      <c r="EH253" s="29" t="str">
        <f t="shared" si="67"/>
        <v>WI</v>
      </c>
      <c r="EI253" s="29">
        <f>IF(COUNT(I253:Y253)&lt;5,DZ253,SUMPRODUCT(LARGE(I253:Y253,{1,2,3,4,5}))/5)</f>
        <v>55.185006824939052</v>
      </c>
      <c r="EJ253" s="29">
        <f>IF(COUNT(I253:AX253)&lt;5,DZ253,SUMPRODUCT(LARGE(I253:AX253,{1,2,3,4,5}))/5)</f>
        <v>55.185006824939052</v>
      </c>
      <c r="EK253" s="29">
        <f>IF(COUNT(I253:DY253)&lt;5,AVERAGE(I253:DY253),SUMPRODUCT(LARGE(I253:DY253,{1,2,3,4,5}))/5)</f>
        <v>55.185006824939052</v>
      </c>
      <c r="EL253" s="29">
        <f t="shared" si="68"/>
        <v>54.29457578211241</v>
      </c>
      <c r="EM253" s="116" t="str">
        <f t="shared" si="69"/>
        <v>Lescher, Jacob</v>
      </c>
      <c r="EQ253"/>
    </row>
    <row r="254" spans="1:147" x14ac:dyDescent="0.25">
      <c r="A254" s="59">
        <f t="shared" si="56"/>
        <v>251</v>
      </c>
      <c r="B254" s="32" t="s">
        <v>94</v>
      </c>
      <c r="C254" s="5" t="s">
        <v>6</v>
      </c>
      <c r="D254" s="6" t="s">
        <v>63</v>
      </c>
      <c r="E254" s="6">
        <v>64.193321890375088</v>
      </c>
      <c r="F254" s="6">
        <v>61.174273679960422</v>
      </c>
      <c r="G254" s="5">
        <f t="shared" si="58"/>
        <v>1</v>
      </c>
      <c r="H254" s="37">
        <v>64.193321890375088</v>
      </c>
      <c r="I254" s="107"/>
      <c r="J254" s="7"/>
      <c r="K254" s="74"/>
      <c r="L254" s="7"/>
      <c r="M254" s="74"/>
      <c r="N254" s="74"/>
      <c r="O254" s="7"/>
      <c r="P254" s="74"/>
      <c r="Q254" s="74"/>
      <c r="R254" s="74"/>
      <c r="S254" s="74"/>
      <c r="T254" s="74"/>
      <c r="U254" s="7"/>
      <c r="V254" s="7"/>
      <c r="W254" s="7"/>
      <c r="X254" s="74"/>
      <c r="Y254" s="227"/>
      <c r="Z254" s="228"/>
      <c r="AA254" s="74"/>
      <c r="AB254" s="74"/>
      <c r="AC254" s="74"/>
      <c r="AD254" s="74"/>
      <c r="AE254" s="7"/>
      <c r="AF254" s="74"/>
      <c r="AG254" s="74"/>
      <c r="AH254" s="7"/>
      <c r="AI254" s="7"/>
      <c r="AJ254" s="7"/>
      <c r="AK254" s="7"/>
      <c r="AL254" s="7"/>
      <c r="AM254" s="7"/>
      <c r="AN254" s="7"/>
      <c r="AO254" s="74"/>
      <c r="AP254" s="7"/>
      <c r="AQ254" s="74"/>
      <c r="AR254" s="101"/>
      <c r="AS254" s="7"/>
      <c r="AT254" s="70"/>
      <c r="AU254" s="7"/>
      <c r="AV254" s="70"/>
      <c r="AW254" s="7">
        <f>(INDEX('Race 41'!$E$8:$E$200,(MATCH($B254,'Race 41'!$B$8:$B$200,0)),1))*100</f>
        <v>61.174273679960422</v>
      </c>
      <c r="AX254" s="183"/>
      <c r="AY254" s="107"/>
      <c r="AZ254" s="74"/>
      <c r="BA254" s="74"/>
      <c r="BB254" s="74"/>
      <c r="BC254" s="74"/>
      <c r="BD254" s="7"/>
      <c r="BE254" s="7"/>
      <c r="BF254" s="74"/>
      <c r="BG254" s="74"/>
      <c r="BH254" s="74"/>
      <c r="BI254" s="74"/>
      <c r="BJ254" s="74"/>
      <c r="BK254" s="7"/>
      <c r="BL254" s="74"/>
      <c r="BM254" s="7"/>
      <c r="BN254" s="74"/>
      <c r="BO254" s="74"/>
      <c r="BP254" s="7"/>
      <c r="BQ254" s="7"/>
      <c r="BR254" s="7"/>
      <c r="BS254" s="7"/>
      <c r="BT254" s="7"/>
      <c r="BU254" s="74"/>
      <c r="BV254" s="74"/>
      <c r="BW254" s="74"/>
      <c r="BX254" s="74"/>
      <c r="BY254" s="74"/>
      <c r="BZ254" s="74"/>
      <c r="CA254" s="7"/>
      <c r="CB254" s="74"/>
      <c r="CC254" s="74"/>
      <c r="CD254" s="74"/>
      <c r="CE254" s="74"/>
      <c r="CF254" s="74"/>
      <c r="CG254" s="74"/>
      <c r="CH254" s="74"/>
      <c r="CI254" s="74"/>
      <c r="CJ254" s="74"/>
      <c r="CK254" s="101"/>
      <c r="CL254" s="74"/>
      <c r="CM254" s="74"/>
      <c r="CN254" s="74"/>
      <c r="CO254" s="101"/>
      <c r="CP254" s="74"/>
      <c r="CQ254" s="74"/>
      <c r="CR254" s="74"/>
      <c r="CS254" s="74"/>
      <c r="CT254" s="74"/>
      <c r="CU254" s="74"/>
      <c r="CV254" s="74"/>
      <c r="CW254" s="74"/>
      <c r="CX254" s="7"/>
      <c r="CY254" s="7"/>
      <c r="CZ254" s="74"/>
      <c r="DA254" s="74"/>
      <c r="DB254" s="74"/>
      <c r="DC254" s="74"/>
      <c r="DD254" s="74"/>
      <c r="DE254" s="74"/>
      <c r="DF254" s="74"/>
      <c r="DG254" s="74"/>
      <c r="DH254" s="74"/>
      <c r="DI254" s="74"/>
      <c r="DJ254" s="74"/>
      <c r="DK254" s="74"/>
      <c r="DL254" s="74"/>
      <c r="DM254" s="74"/>
      <c r="DN254" s="74"/>
      <c r="DO254" s="74"/>
      <c r="DP254" s="74"/>
      <c r="DQ254" s="74"/>
      <c r="DR254" s="7"/>
      <c r="DS254" s="7"/>
      <c r="DT254" s="74"/>
      <c r="DU254" s="74"/>
      <c r="DV254" s="74"/>
      <c r="DW254" s="74"/>
      <c r="DX254" s="74"/>
      <c r="DY254" s="74"/>
      <c r="DZ254" s="8">
        <f t="shared" si="60"/>
        <v>61.174273679960422</v>
      </c>
      <c r="EA254" s="3" t="str">
        <f t="shared" si="61"/>
        <v>Letourneau, Brian</v>
      </c>
      <c r="EB254" s="2">
        <f t="shared" si="62"/>
        <v>1</v>
      </c>
      <c r="EC254" s="112">
        <f t="shared" si="59"/>
        <v>64.193321890375088</v>
      </c>
      <c r="ED254" s="29">
        <f t="shared" si="63"/>
        <v>60.187203541873693</v>
      </c>
      <c r="EE254" s="2">
        <f t="shared" si="64"/>
        <v>0</v>
      </c>
      <c r="EF254" s="46">
        <f t="shared" si="65"/>
        <v>1</v>
      </c>
      <c r="EG254" s="46">
        <f t="shared" si="66"/>
        <v>1</v>
      </c>
      <c r="EH254" s="2" t="str">
        <f t="shared" si="67"/>
        <v>VT</v>
      </c>
      <c r="EI254" s="29">
        <f>IF(COUNT(I254:Y254)&lt;5,DZ254,SUMPRODUCT(LARGE(I254:Y254,{1,2,3,4,5}))/5)</f>
        <v>61.174273679960422</v>
      </c>
      <c r="EJ254" s="29">
        <f>IF(COUNT(I254:AX254)&lt;5,DZ254,SUMPRODUCT(LARGE(I254:AX254,{1,2,3,4,5}))/5)</f>
        <v>61.174273679960422</v>
      </c>
      <c r="EK254" s="29">
        <f>IF(COUNT(I254:DY254)&lt;5,AVERAGE(I254:DY254),SUMPRODUCT(LARGE(I254:DY254,{1,2,3,4,5}))/5)</f>
        <v>61.174273679960422</v>
      </c>
      <c r="EL254" s="29">
        <f t="shared" si="68"/>
        <v>60.187203541873693</v>
      </c>
      <c r="EM254" s="116" t="str">
        <f t="shared" si="69"/>
        <v>Letourneau, Brian</v>
      </c>
      <c r="EQ254"/>
    </row>
    <row r="255" spans="1:147" x14ac:dyDescent="0.25">
      <c r="A255" s="59">
        <f t="shared" si="56"/>
        <v>252</v>
      </c>
      <c r="B255" s="32" t="s">
        <v>729</v>
      </c>
      <c r="C255" s="5" t="s">
        <v>6</v>
      </c>
      <c r="D255" s="6" t="s">
        <v>88</v>
      </c>
      <c r="E255" s="6">
        <v>72.442202338406162</v>
      </c>
      <c r="F255" s="6">
        <v>74.818918747524734</v>
      </c>
      <c r="G255" s="5">
        <f t="shared" si="58"/>
        <v>12</v>
      </c>
      <c r="H255" s="37">
        <v>68.642687944653403</v>
      </c>
      <c r="I255" s="36"/>
      <c r="J255" s="7"/>
      <c r="K255" s="7"/>
      <c r="L255" s="7"/>
      <c r="M255" s="7"/>
      <c r="N255" s="7"/>
      <c r="O255" s="7"/>
      <c r="P255" s="7"/>
      <c r="Q255" s="7">
        <f>(INDEX('Race 9'!$E$8:$E$200,(MATCH($B255,'Race 9'!$B$8:$B$200,0)),1))*100</f>
        <v>74.169997602839715</v>
      </c>
      <c r="R255" s="7"/>
      <c r="S255" s="7">
        <f>(INDEX('Race 11'!$E$8:$E$200,(MATCH($B255,'Race 11'!$B$8:$B$200,0)),1))*100</f>
        <v>74.204608002144923</v>
      </c>
      <c r="T255" s="7">
        <f>(INDEX('Race 12'!$E$8:$E$200,(MATCH($B255,'Race 12'!$B$8:$B$200,0)),1))*100</f>
        <v>69.189349371932664</v>
      </c>
      <c r="U255" s="7"/>
      <c r="V255" s="7">
        <f>(INDEX('Race 14'!$E$8:$E$200,(MATCH($B255,'Race 14'!$B$8:$B$200,0)),1))*100</f>
        <v>72.204854376707345</v>
      </c>
      <c r="W255" s="7"/>
      <c r="X255" s="7"/>
      <c r="Y255" s="227"/>
      <c r="Z255" s="228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4"/>
      <c r="AP255" s="7"/>
      <c r="AQ255" s="74"/>
      <c r="AR255" s="70"/>
      <c r="AS255" s="7"/>
      <c r="AT255" s="70"/>
      <c r="AU255" s="7"/>
      <c r="AV255" s="70"/>
      <c r="AW255" s="7">
        <f>(INDEX('Race 41'!$E$8:$E$200,(MATCH($B255,'Race 41'!$B$8:$B$200,0)),1))*100</f>
        <v>75.874557118140586</v>
      </c>
      <c r="AX255" s="8">
        <f>(INDEX('Race 42'!$E$8:$E$200,(MATCH($B255,'Race 42'!$B$8:$B$200,0)),1))*100</f>
        <v>77.640576637791085</v>
      </c>
      <c r="AY255" s="36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4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>
        <f>(INDEX('Race 75'!$E$8:$E$200,(MATCH($B255,'Race 75'!$B$8:$B$200,0)),1))*100</f>
        <v>76.735471692162676</v>
      </c>
      <c r="CF255" s="14">
        <f>(INDEX('Race 76'!$E$8:$E$200,(MATCH($B255,'Race 76'!$B$8:$B$200,0)),1))*100</f>
        <v>72.23428787037578</v>
      </c>
      <c r="CG255" s="7"/>
      <c r="CH255" s="7"/>
      <c r="CI255" s="7"/>
      <c r="CJ255" s="7"/>
      <c r="CK255" s="101"/>
      <c r="CL255" s="74"/>
      <c r="CM255" s="74"/>
      <c r="CN255" s="74">
        <f>(INDEX('Race 84'!$E$8:$E$200,(MATCH($B255,'Race 84'!$B$8:$B$200,0)),1))*100</f>
        <v>73.558229946257413</v>
      </c>
      <c r="CO255" s="70"/>
      <c r="CP255" s="74">
        <f>(INDEX('Race 86'!$E$8:$E$200,(MATCH($B255,'Race 86'!$B$8:$B$200,0)),1))*100</f>
        <v>76.732063610791172</v>
      </c>
      <c r="CQ255" s="7"/>
      <c r="CR255" s="74"/>
      <c r="CS255" s="74"/>
      <c r="CT255" s="74"/>
      <c r="CU255" s="74"/>
      <c r="CV255" s="7">
        <f>(INDEX('Race 92'!$E$8:$E$200,(MATCH($B255,'Race 92'!$B$8:$B$200,0)),1))*100</f>
        <v>70.264867059888331</v>
      </c>
      <c r="CW255" s="7"/>
      <c r="CX255" s="7"/>
      <c r="CY255" s="7"/>
      <c r="CZ255" s="7">
        <f>(INDEX('Race 96'!$E$8:$E$200,(MATCH($B255,'Race 96'!$B$8:$B$200,0)),1))*100</f>
        <v>69.915942007393028</v>
      </c>
      <c r="DA255" s="7"/>
      <c r="DB255" s="7"/>
      <c r="DC255" s="7"/>
      <c r="DD255" s="7"/>
      <c r="DE255" s="74"/>
      <c r="DF255" s="74"/>
      <c r="DG255" s="74"/>
      <c r="DH255" s="7"/>
      <c r="DI255" s="74"/>
      <c r="DJ255" s="7"/>
      <c r="DK255" s="7"/>
      <c r="DL255" s="7"/>
      <c r="DM255" s="74"/>
      <c r="DN255" s="7"/>
      <c r="DO255" s="74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8">
        <f t="shared" si="60"/>
        <v>73.560400441368728</v>
      </c>
      <c r="EA255" s="3" t="str">
        <f t="shared" si="61"/>
        <v>Lewandowski, Gregory</v>
      </c>
      <c r="EB255" s="2">
        <f t="shared" si="62"/>
        <v>1</v>
      </c>
      <c r="EC255" s="112">
        <f t="shared" si="59"/>
        <v>68.642687944653403</v>
      </c>
      <c r="ED255" s="29">
        <f t="shared" si="63"/>
        <v>75.007335116298805</v>
      </c>
      <c r="EE255" s="2">
        <f t="shared" si="64"/>
        <v>4</v>
      </c>
      <c r="EF255" s="46">
        <f t="shared" si="65"/>
        <v>6</v>
      </c>
      <c r="EG255" s="46">
        <f t="shared" si="66"/>
        <v>12</v>
      </c>
      <c r="EH255" s="2" t="str">
        <f t="shared" si="67"/>
        <v>WI</v>
      </c>
      <c r="EI255" s="29">
        <f>IF(COUNT(I255:Y255)&lt;5,DZ255,SUMPRODUCT(LARGE(I255:Y255,{1,2,3,4,5}))/5)</f>
        <v>73.560400441368728</v>
      </c>
      <c r="EJ255" s="29">
        <f>IF(COUNT(I255:AX255)&lt;5,DZ255,SUMPRODUCT(LARGE(I255:AX255,{1,2,3,4,5}))/5)</f>
        <v>74.818918747524734</v>
      </c>
      <c r="EK255" s="29">
        <f>IF(COUNT(I255:DY255)&lt;5,AVERAGE(I255:DY255),SUMPRODUCT(LARGE(I255:DY255,{1,2,3,4,5}))/5)</f>
        <v>76.237455412206103</v>
      </c>
      <c r="EL255" s="29">
        <f t="shared" si="68"/>
        <v>75.007335116298805</v>
      </c>
      <c r="EM255" s="116" t="str">
        <f t="shared" si="69"/>
        <v>Lewandowski, Gregory</v>
      </c>
      <c r="EQ255"/>
    </row>
    <row r="256" spans="1:147" x14ac:dyDescent="0.25">
      <c r="A256" s="59">
        <f t="shared" si="56"/>
        <v>253</v>
      </c>
      <c r="B256" s="32" t="s">
        <v>798</v>
      </c>
      <c r="C256" s="5" t="s">
        <v>6</v>
      </c>
      <c r="D256" s="6" t="s">
        <v>62</v>
      </c>
      <c r="E256" s="6">
        <v>57.599448090635022</v>
      </c>
      <c r="F256" s="6">
        <v>57.599448090635022</v>
      </c>
      <c r="G256" s="5">
        <f t="shared" si="58"/>
        <v>1</v>
      </c>
      <c r="H256" s="37">
        <v>57.599448090635022</v>
      </c>
      <c r="I256" s="36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227"/>
      <c r="Z256" s="228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4"/>
      <c r="AR256" s="70"/>
      <c r="AS256" s="7"/>
      <c r="AT256" s="70"/>
      <c r="AU256" s="7"/>
      <c r="AV256" s="70"/>
      <c r="AW256" s="7"/>
      <c r="AX256" s="8"/>
      <c r="AY256" s="36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4"/>
      <c r="BO256" s="7"/>
      <c r="BP256" s="7"/>
      <c r="BQ256" s="7"/>
      <c r="BR256" s="7"/>
      <c r="BS256" s="7"/>
      <c r="BT256" s="7">
        <f>(INDEX('Race 64'!$E$8:$E$200,(MATCH($B256,'Race 64'!$B$8:$B$200,0)),1))*100</f>
        <v>67.408374054250359</v>
      </c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14"/>
      <c r="CG256" s="7"/>
      <c r="CH256" s="7"/>
      <c r="CI256" s="7"/>
      <c r="CJ256" s="7"/>
      <c r="CK256" s="101"/>
      <c r="CL256" s="74"/>
      <c r="CM256" s="74"/>
      <c r="CN256" s="74"/>
      <c r="CO256" s="70"/>
      <c r="CP256" s="74"/>
      <c r="CQ256" s="7"/>
      <c r="CR256" s="74"/>
      <c r="CS256" s="74"/>
      <c r="CT256" s="74"/>
      <c r="CU256" s="74"/>
      <c r="CV256" s="7"/>
      <c r="CW256" s="7"/>
      <c r="CX256" s="7"/>
      <c r="CY256" s="7"/>
      <c r="CZ256" s="7"/>
      <c r="DA256" s="7"/>
      <c r="DB256" s="7"/>
      <c r="DC256" s="7"/>
      <c r="DD256" s="7"/>
      <c r="DE256" s="74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8">
        <f t="shared" si="60"/>
        <v>67.408374054250359</v>
      </c>
      <c r="EA256" s="3" t="str">
        <f t="shared" si="61"/>
        <v>Liberato, William</v>
      </c>
      <c r="EB256" s="2">
        <f t="shared" si="62"/>
        <v>1</v>
      </c>
      <c r="EC256" s="112">
        <f t="shared" si="59"/>
        <v>57.599448090635022</v>
      </c>
      <c r="ED256" s="29">
        <f t="shared" si="63"/>
        <v>66.320714339089292</v>
      </c>
      <c r="EE256" s="2">
        <f t="shared" si="64"/>
        <v>0</v>
      </c>
      <c r="EF256" s="46">
        <f t="shared" si="65"/>
        <v>0</v>
      </c>
      <c r="EG256" s="46">
        <f t="shared" si="66"/>
        <v>1</v>
      </c>
      <c r="EH256" s="29" t="str">
        <f t="shared" si="67"/>
        <v>CO</v>
      </c>
      <c r="EI256" s="29">
        <f>IF(COUNT(I256:Y256)&lt;5,DZ256,SUMPRODUCT(LARGE(I256:Y256,{1,2,3,4,5}))/5)</f>
        <v>67.408374054250359</v>
      </c>
      <c r="EJ256" s="29">
        <f>IF(COUNT(I256:AX256)&lt;5,DZ256,SUMPRODUCT(LARGE(I256:AX256,{1,2,3,4,5}))/5)</f>
        <v>67.408374054250359</v>
      </c>
      <c r="EK256" s="29">
        <f>IF(COUNT(I256:DY256)&lt;5,AVERAGE(I256:DY256),SUMPRODUCT(LARGE(I256:DY256,{1,2,3,4,5}))/5)</f>
        <v>67.408374054250359</v>
      </c>
      <c r="EL256" s="29">
        <f t="shared" si="68"/>
        <v>66.320714339089292</v>
      </c>
      <c r="EM256" s="116" t="str">
        <f t="shared" si="69"/>
        <v>Liberato, William</v>
      </c>
      <c r="EQ256"/>
    </row>
    <row r="257" spans="1:147" x14ac:dyDescent="0.25">
      <c r="A257" s="59">
        <f t="shared" si="56"/>
        <v>254</v>
      </c>
      <c r="B257" s="32" t="s">
        <v>1127</v>
      </c>
      <c r="C257" s="5" t="s">
        <v>6</v>
      </c>
      <c r="D257" s="6" t="s">
        <v>58</v>
      </c>
      <c r="E257" s="6">
        <v>0</v>
      </c>
      <c r="F257" s="6">
        <v>70.8506582328273</v>
      </c>
      <c r="G257" s="5">
        <f t="shared" si="58"/>
        <v>4</v>
      </c>
      <c r="H257" s="37">
        <v>0</v>
      </c>
      <c r="I257" s="36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227"/>
      <c r="Z257" s="228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4"/>
      <c r="AR257" s="7"/>
      <c r="AS257" s="7"/>
      <c r="AT257" s="70"/>
      <c r="AU257" s="7"/>
      <c r="AV257" s="70"/>
      <c r="AW257" s="7">
        <f>(INDEX('Race 41'!$E$8:$E$200,(MATCH($B257,'Race 41'!$B$8:$B$200,0)),1))*100</f>
        <v>71.266790491532845</v>
      </c>
      <c r="AX257" s="8">
        <f>(INDEX('Race 42'!$E$8:$E$200,(MATCH($B257,'Race 42'!$B$8:$B$200,0)),1))*100</f>
        <v>70.43452597412174</v>
      </c>
      <c r="AY257" s="36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4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>
        <f>(INDEX('Race 75'!$E$8:$E$200,(MATCH($B257,'Race 75'!$B$8:$B$200,0)),1))*100</f>
        <v>74.225315601480204</v>
      </c>
      <c r="CF257" s="7">
        <f>(INDEX('Race 76'!$E$8:$E$200,(MATCH($B257,'Race 76'!$B$8:$B$200,0)),1))*100</f>
        <v>76.924826043784194</v>
      </c>
      <c r="CG257" s="7"/>
      <c r="CH257" s="7"/>
      <c r="CI257" s="7"/>
      <c r="CJ257" s="7"/>
      <c r="CK257" s="101"/>
      <c r="CL257" s="74"/>
      <c r="CM257" s="74"/>
      <c r="CN257" s="74"/>
      <c r="CO257" s="70"/>
      <c r="CP257" s="74"/>
      <c r="CQ257" s="7"/>
      <c r="CR257" s="74"/>
      <c r="CS257" s="74"/>
      <c r="CT257" s="74"/>
      <c r="CU257" s="74"/>
      <c r="CV257" s="7"/>
      <c r="CW257" s="7"/>
      <c r="CX257" s="7"/>
      <c r="CY257" s="7"/>
      <c r="CZ257" s="7"/>
      <c r="DA257" s="7"/>
      <c r="DB257" s="7"/>
      <c r="DC257" s="7"/>
      <c r="DD257" s="7"/>
      <c r="DE257" s="74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8">
        <f t="shared" si="60"/>
        <v>73.212864527729749</v>
      </c>
      <c r="EA257" s="3" t="str">
        <f t="shared" si="61"/>
        <v>Lindberg, Derek</v>
      </c>
      <c r="EB257" s="2">
        <f t="shared" si="62"/>
        <v>1</v>
      </c>
      <c r="EC257" s="112">
        <f t="shared" si="59"/>
        <v>0</v>
      </c>
      <c r="ED257" s="29">
        <f t="shared" si="63"/>
        <v>0</v>
      </c>
      <c r="EE257" s="2">
        <f t="shared" si="64"/>
        <v>0</v>
      </c>
      <c r="EF257" s="46">
        <f t="shared" si="65"/>
        <v>2</v>
      </c>
      <c r="EG257" s="46">
        <f t="shared" si="66"/>
        <v>4</v>
      </c>
      <c r="EH257" s="29" t="str">
        <f t="shared" si="67"/>
        <v>MN</v>
      </c>
      <c r="EI257" s="29">
        <f>IF(COUNT(I257:AD257)&lt;5,DZ257,SUMPRODUCT(LARGE(I257:AD257,{1,2,3,4,5}))/5)</f>
        <v>73.212864527729749</v>
      </c>
      <c r="EJ257" s="29">
        <f>IF(COUNT(I257:AX257)&lt;5,DZ257,SUMPRODUCT(LARGE(I257:AX257,{1,2,3,4,5}))/5)</f>
        <v>73.212864527729749</v>
      </c>
      <c r="EK257" s="29">
        <f>IF(EG257&lt;0,AVERAGE(I257:DY257),0)</f>
        <v>0</v>
      </c>
      <c r="EL257" s="29">
        <f t="shared" si="68"/>
        <v>0</v>
      </c>
      <c r="EM257" s="116" t="str">
        <f t="shared" si="69"/>
        <v>Lindberg, Derek</v>
      </c>
      <c r="EQ257"/>
    </row>
    <row r="258" spans="1:147" x14ac:dyDescent="0.25">
      <c r="A258" s="59">
        <f t="shared" si="56"/>
        <v>255</v>
      </c>
      <c r="B258" s="32" t="s">
        <v>490</v>
      </c>
      <c r="C258" s="5" t="s">
        <v>6</v>
      </c>
      <c r="D258" s="6" t="s">
        <v>62</v>
      </c>
      <c r="E258" s="6">
        <v>51.408897759115767</v>
      </c>
      <c r="F258" s="6">
        <v>51.408897759115767</v>
      </c>
      <c r="G258" s="5">
        <f t="shared" si="58"/>
        <v>2</v>
      </c>
      <c r="H258" s="99">
        <v>51.408897759115767</v>
      </c>
      <c r="I258" s="36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227"/>
      <c r="Z258" s="228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4"/>
      <c r="AP258" s="7"/>
      <c r="AQ258" s="74"/>
      <c r="AR258" s="70"/>
      <c r="AS258" s="7"/>
      <c r="AT258" s="70"/>
      <c r="AU258" s="7"/>
      <c r="AV258" s="70"/>
      <c r="AW258" s="7"/>
      <c r="AX258" s="183"/>
      <c r="AY258" s="10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>
        <f>(INDEX('Race 63'!$E$8:$E$200,(MATCH($B258,'Race 63'!$B$8:$B$200,0)),1))*100</f>
        <v>55.433162247016732</v>
      </c>
      <c r="BT258" s="7">
        <f>(INDEX('Race 64'!$E$8:$E$200,(MATCH($B258,'Race 64'!$B$8:$B$200,0)),1))*100</f>
        <v>57.698445399313094</v>
      </c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4"/>
      <c r="CK258" s="101"/>
      <c r="CL258" s="74"/>
      <c r="CM258" s="74"/>
      <c r="CN258" s="74"/>
      <c r="CO258" s="70"/>
      <c r="CP258" s="74"/>
      <c r="CQ258" s="7"/>
      <c r="CR258" s="74"/>
      <c r="CS258" s="74"/>
      <c r="CT258" s="74"/>
      <c r="CU258" s="74"/>
      <c r="CV258" s="74"/>
      <c r="CW258" s="7"/>
      <c r="CX258" s="7"/>
      <c r="CY258" s="7"/>
      <c r="CZ258" s="7"/>
      <c r="DA258" s="7"/>
      <c r="DB258" s="7"/>
      <c r="DC258" s="7"/>
      <c r="DD258" s="7"/>
      <c r="DE258" s="74"/>
      <c r="DF258" s="74"/>
      <c r="DG258" s="74"/>
      <c r="DH258" s="74"/>
      <c r="DI258" s="74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8">
        <f t="shared" si="60"/>
        <v>56.565803823164913</v>
      </c>
      <c r="EA258" s="3" t="str">
        <f t="shared" si="61"/>
        <v>Lipsher, Etienne</v>
      </c>
      <c r="EB258" s="2">
        <f t="shared" si="62"/>
        <v>1</v>
      </c>
      <c r="EC258" s="112">
        <f t="shared" si="59"/>
        <v>51.408897759115767</v>
      </c>
      <c r="ED258" s="29">
        <f t="shared" si="63"/>
        <v>55.653093096384211</v>
      </c>
      <c r="EE258" s="2">
        <f t="shared" si="64"/>
        <v>0</v>
      </c>
      <c r="EF258" s="46">
        <f t="shared" si="65"/>
        <v>0</v>
      </c>
      <c r="EG258" s="46">
        <f t="shared" si="66"/>
        <v>2</v>
      </c>
      <c r="EH258" s="2" t="str">
        <f t="shared" si="67"/>
        <v>CO</v>
      </c>
      <c r="EI258" s="29">
        <f>IF(COUNT(I258:Y258)&lt;5,DZ258,SUMPRODUCT(LARGE(I258:Y258,{1,2,3,4,5}))/5)</f>
        <v>56.565803823164913</v>
      </c>
      <c r="EJ258" s="29">
        <f>IF(COUNT(I258:AX258)&lt;5,DZ258,SUMPRODUCT(LARGE(I258:AX258,{1,2,3,4,5}))/5)</f>
        <v>56.565803823164913</v>
      </c>
      <c r="EK258" s="29">
        <f>IF(COUNT(I258:DY258)&lt;5,AVERAGE(I258:DY258),SUMPRODUCT(LARGE(I258:DY258,{1,2,3,4,5}))/5)</f>
        <v>56.565803823164913</v>
      </c>
      <c r="EL258" s="29">
        <f t="shared" si="68"/>
        <v>55.653093096384211</v>
      </c>
      <c r="EM258" s="116" t="str">
        <f t="shared" si="69"/>
        <v>Lipsher, Etienne</v>
      </c>
      <c r="EQ258"/>
    </row>
    <row r="259" spans="1:147" x14ac:dyDescent="0.25">
      <c r="A259" s="59">
        <f t="shared" si="56"/>
        <v>256</v>
      </c>
      <c r="B259" s="32" t="s">
        <v>901</v>
      </c>
      <c r="C259" s="5" t="s">
        <v>6</v>
      </c>
      <c r="D259" s="6" t="s">
        <v>62</v>
      </c>
      <c r="E259" s="6">
        <v>0</v>
      </c>
      <c r="F259" s="6">
        <v>0</v>
      </c>
      <c r="G259" s="5">
        <f t="shared" si="58"/>
        <v>1</v>
      </c>
      <c r="H259" s="37">
        <v>0</v>
      </c>
      <c r="I259" s="36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227"/>
      <c r="Z259" s="228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4"/>
      <c r="AP259" s="7"/>
      <c r="AQ259" s="74"/>
      <c r="AR259" s="70"/>
      <c r="AS259" s="7"/>
      <c r="AT259" s="70"/>
      <c r="AU259" s="7"/>
      <c r="AV259" s="70"/>
      <c r="AW259" s="7"/>
      <c r="AX259" s="8"/>
      <c r="AY259" s="36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>
        <f>(INDEX('Race 64'!$E$8:$E$200,(MATCH($B259,'Race 64'!$B$8:$B$200,0)),1))*100</f>
        <v>63.111957497348406</v>
      </c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101"/>
      <c r="CL259" s="74"/>
      <c r="CM259" s="74"/>
      <c r="CN259" s="74"/>
      <c r="CO259" s="70"/>
      <c r="CP259" s="74"/>
      <c r="CQ259" s="7"/>
      <c r="CR259" s="74"/>
      <c r="CS259" s="74"/>
      <c r="CT259" s="74"/>
      <c r="CU259" s="74"/>
      <c r="CV259" s="74"/>
      <c r="CW259" s="7"/>
      <c r="CX259" s="7"/>
      <c r="CY259" s="7"/>
      <c r="CZ259" s="7"/>
      <c r="DA259" s="7"/>
      <c r="DB259" s="7"/>
      <c r="DC259" s="7"/>
      <c r="DD259" s="7"/>
      <c r="DE259" s="74"/>
      <c r="DF259" s="74"/>
      <c r="DG259" s="74"/>
      <c r="DH259" s="74"/>
      <c r="DI259" s="74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8">
        <f t="shared" si="60"/>
        <v>63.111957497348406</v>
      </c>
      <c r="EA259" s="3" t="str">
        <f t="shared" si="61"/>
        <v>Litt, Guy</v>
      </c>
      <c r="EB259" s="2">
        <f t="shared" si="62"/>
        <v>1</v>
      </c>
      <c r="EC259" s="112">
        <f t="shared" si="59"/>
        <v>0</v>
      </c>
      <c r="ED259" s="29">
        <f t="shared" si="63"/>
        <v>62.093622094990558</v>
      </c>
      <c r="EE259" s="2">
        <f t="shared" si="64"/>
        <v>0</v>
      </c>
      <c r="EF259" s="46">
        <f t="shared" si="65"/>
        <v>0</v>
      </c>
      <c r="EG259" s="46">
        <f t="shared" si="66"/>
        <v>1</v>
      </c>
      <c r="EH259" s="2" t="str">
        <f t="shared" si="67"/>
        <v>CO</v>
      </c>
      <c r="EI259" s="29">
        <f>IF(COUNT(I259:AD259)&lt;5,DZ259,SUMPRODUCT(LARGE(I259:AD259,{1,2,3,4,5}))/5)</f>
        <v>63.111957497348406</v>
      </c>
      <c r="EJ259" s="29">
        <f>IF(COUNT(I259:BE259)&lt;5,DZ259,SUMPRODUCT(LARGE(I259:BE259,{1,2,3,4,5}))/5)</f>
        <v>63.111957497348406</v>
      </c>
      <c r="EK259" s="29">
        <f>IF(COUNT(I259:DY259)&lt;5,AVERAGE(I259:DY259),SUMPRODUCT(LARGE(I259:DY259,{1,2,3,4,5}))/5)</f>
        <v>63.111957497348406</v>
      </c>
      <c r="EL259" s="29">
        <f t="shared" si="68"/>
        <v>62.093622094990558</v>
      </c>
      <c r="EM259" s="116" t="str">
        <f t="shared" si="69"/>
        <v>Litt, Guy</v>
      </c>
      <c r="EQ259"/>
    </row>
    <row r="260" spans="1:147" x14ac:dyDescent="0.25">
      <c r="A260" s="59">
        <f t="shared" si="56"/>
        <v>257</v>
      </c>
      <c r="B260" s="32" t="s">
        <v>225</v>
      </c>
      <c r="C260" s="5" t="s">
        <v>6</v>
      </c>
      <c r="D260" s="6" t="s">
        <v>87</v>
      </c>
      <c r="E260" s="6">
        <v>43.181857403404642</v>
      </c>
      <c r="F260" s="6">
        <v>43.181857403404642</v>
      </c>
      <c r="G260" s="5">
        <f t="shared" si="58"/>
        <v>2</v>
      </c>
      <c r="H260" s="37">
        <v>43.181857403404642</v>
      </c>
      <c r="I260" s="107"/>
      <c r="J260" s="7"/>
      <c r="K260" s="74"/>
      <c r="L260" s="7"/>
      <c r="M260" s="74"/>
      <c r="N260" s="74"/>
      <c r="O260" s="7"/>
      <c r="P260" s="74"/>
      <c r="Q260" s="7"/>
      <c r="R260" s="74"/>
      <c r="S260" s="74"/>
      <c r="T260" s="7"/>
      <c r="U260" s="7"/>
      <c r="V260" s="74"/>
      <c r="W260" s="74"/>
      <c r="X260" s="74"/>
      <c r="Y260" s="227"/>
      <c r="Z260" s="228"/>
      <c r="AA260" s="74"/>
      <c r="AB260" s="74"/>
      <c r="AC260" s="74"/>
      <c r="AD260" s="74"/>
      <c r="AE260" s="7"/>
      <c r="AF260" s="74"/>
      <c r="AG260" s="74"/>
      <c r="AH260" s="7"/>
      <c r="AI260" s="7"/>
      <c r="AJ260" s="7"/>
      <c r="AK260" s="7"/>
      <c r="AL260" s="7"/>
      <c r="AM260" s="7"/>
      <c r="AN260" s="7"/>
      <c r="AO260" s="74"/>
      <c r="AP260" s="7"/>
      <c r="AQ260" s="74"/>
      <c r="AR260" s="101"/>
      <c r="AS260" s="7"/>
      <c r="AT260" s="101"/>
      <c r="AU260" s="7"/>
      <c r="AV260" s="101"/>
      <c r="AW260" s="7"/>
      <c r="AX260" s="8"/>
      <c r="AY260" s="36"/>
      <c r="AZ260" s="74"/>
      <c r="BA260" s="74"/>
      <c r="BB260" s="74"/>
      <c r="BC260" s="74"/>
      <c r="BD260" s="7"/>
      <c r="BE260" s="7"/>
      <c r="BF260" s="74"/>
      <c r="BG260" s="74"/>
      <c r="BH260" s="74"/>
      <c r="BI260" s="74"/>
      <c r="BJ260" s="74"/>
      <c r="BK260" s="7"/>
      <c r="BL260" s="74"/>
      <c r="BM260" s="7"/>
      <c r="BN260" s="74"/>
      <c r="BO260" s="74"/>
      <c r="BP260" s="7"/>
      <c r="BQ260" s="7"/>
      <c r="BR260" s="74"/>
      <c r="BS260" s="7"/>
      <c r="BT260" s="7"/>
      <c r="BU260" s="74"/>
      <c r="BV260" s="74"/>
      <c r="BW260" s="74"/>
      <c r="BX260" s="74"/>
      <c r="BY260" s="74"/>
      <c r="BZ260" s="74"/>
      <c r="CA260" s="7"/>
      <c r="CB260" s="74"/>
      <c r="CC260" s="74"/>
      <c r="CD260" s="74"/>
      <c r="CE260" s="7">
        <f>(INDEX('Race 75'!$E$8:$E$200,(MATCH($B260,'Race 75'!$B$8:$B$200,0)),1))*100</f>
        <v>52.246555328971901</v>
      </c>
      <c r="CF260" s="74">
        <f>(INDEX('Race 76'!$E$8:$E$200,(MATCH($B260,'Race 76'!$B$8:$B$200,0)),1))*100</f>
        <v>48.713589200434001</v>
      </c>
      <c r="CG260" s="74"/>
      <c r="CH260" s="7"/>
      <c r="CI260" s="74"/>
      <c r="CJ260" s="74"/>
      <c r="CK260" s="101"/>
      <c r="CL260" s="74"/>
      <c r="CM260" s="74"/>
      <c r="CN260" s="74"/>
      <c r="CO260" s="101"/>
      <c r="CP260" s="74"/>
      <c r="CQ260" s="74"/>
      <c r="CR260" s="74"/>
      <c r="CS260" s="74"/>
      <c r="CT260" s="74"/>
      <c r="CU260" s="74"/>
      <c r="CV260" s="74"/>
      <c r="CW260" s="74"/>
      <c r="CX260" s="7"/>
      <c r="CY260" s="7"/>
      <c r="CZ260" s="74"/>
      <c r="DA260" s="74"/>
      <c r="DB260" s="74"/>
      <c r="DC260" s="74"/>
      <c r="DD260" s="74"/>
      <c r="DE260" s="74"/>
      <c r="DF260" s="74"/>
      <c r="DG260" s="74"/>
      <c r="DH260" s="74"/>
      <c r="DI260" s="74"/>
      <c r="DJ260" s="74"/>
      <c r="DK260" s="74"/>
      <c r="DL260" s="74"/>
      <c r="DM260" s="74"/>
      <c r="DN260" s="74"/>
      <c r="DO260" s="74"/>
      <c r="DP260" s="74"/>
      <c r="DQ260" s="74"/>
      <c r="DR260" s="7"/>
      <c r="DS260" s="7"/>
      <c r="DT260" s="74"/>
      <c r="DU260" s="74"/>
      <c r="DV260" s="74"/>
      <c r="DW260" s="74"/>
      <c r="DX260" s="74"/>
      <c r="DY260" s="74"/>
      <c r="DZ260" s="8">
        <f t="shared" si="60"/>
        <v>50.480072264702954</v>
      </c>
      <c r="EA260" s="3" t="str">
        <f t="shared" si="61"/>
        <v>Little Owl, Jason</v>
      </c>
      <c r="EB260" s="2">
        <f t="shared" si="62"/>
        <v>1</v>
      </c>
      <c r="EC260" s="112">
        <f t="shared" si="59"/>
        <v>43.181857403404642</v>
      </c>
      <c r="ED260" s="29">
        <f t="shared" si="63"/>
        <v>49.665557127806927</v>
      </c>
      <c r="EE260" s="2">
        <f t="shared" si="64"/>
        <v>0</v>
      </c>
      <c r="EF260" s="46">
        <f t="shared" si="65"/>
        <v>0</v>
      </c>
      <c r="EG260" s="46">
        <f t="shared" si="66"/>
        <v>2</v>
      </c>
      <c r="EH260" s="29" t="str">
        <f t="shared" si="67"/>
        <v>CA</v>
      </c>
      <c r="EI260" s="29">
        <f>IF(COUNT(I260:Y260)&lt;5,DZ260,SUMPRODUCT(LARGE(I260:Y260,{1,2,3,4,5}))/5)</f>
        <v>50.480072264702954</v>
      </c>
      <c r="EJ260" s="29">
        <f>IF(COUNT(I260:AX260)&lt;5,DZ260,SUMPRODUCT(LARGE(I260:AX260,{1,2,3,4,5}))/5)</f>
        <v>50.480072264702954</v>
      </c>
      <c r="EK260" s="29">
        <f>IF(COUNT(I260:DY260)&lt;5,AVERAGE(I260:DY260),SUMPRODUCT(LARGE(I260:DY260,{1,2,3,4,5}))/5)</f>
        <v>50.480072264702954</v>
      </c>
      <c r="EL260" s="29">
        <f t="shared" si="68"/>
        <v>49.665557127806927</v>
      </c>
      <c r="EM260" s="116" t="str">
        <f t="shared" si="69"/>
        <v>Little Owl, Jason</v>
      </c>
      <c r="EQ260"/>
    </row>
    <row r="261" spans="1:147" x14ac:dyDescent="0.25">
      <c r="A261" s="59">
        <f t="shared" si="56"/>
        <v>258</v>
      </c>
      <c r="B261" s="32" t="s">
        <v>774</v>
      </c>
      <c r="C261" s="5" t="s">
        <v>16</v>
      </c>
      <c r="D261" s="6" t="s">
        <v>63</v>
      </c>
      <c r="E261" s="6">
        <v>71.319535937863435</v>
      </c>
      <c r="F261" s="6">
        <v>71.319535937863435</v>
      </c>
      <c r="G261" s="5">
        <f t="shared" si="58"/>
        <v>7</v>
      </c>
      <c r="H261" s="37">
        <v>61.077198295781812</v>
      </c>
      <c r="I261" s="36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>
        <f>(INDEX('Race 16'!$E$8:$E$200,(MATCH($B261,'Race 16'!$B$8:$B$200,0)),1))*100</f>
        <v>73.646028362947177</v>
      </c>
      <c r="Y261" s="227">
        <f>(INDEX('Race 17'!$E$8:$E$200,(MATCH($B261,'Race 17'!$B$8:$B$200,0)),1))*100</f>
        <v>68.993043512779707</v>
      </c>
      <c r="Z261" s="228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4"/>
      <c r="AP261" s="7"/>
      <c r="AQ261" s="74"/>
      <c r="AR261" s="70"/>
      <c r="AS261" s="7"/>
      <c r="AT261" s="70"/>
      <c r="AU261" s="7"/>
      <c r="AV261" s="70"/>
      <c r="AW261" s="7"/>
      <c r="AX261" s="8"/>
      <c r="AY261" s="36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4">
        <f>(INDEX('Race 55'!$E$8:$E$200,(MATCH($B261,'Race 55'!$B$8:$B$200,0)),1))*100</f>
        <v>69.181311047720797</v>
      </c>
      <c r="BL261" s="7"/>
      <c r="BM261" s="7"/>
      <c r="BN261" s="74">
        <f>(INDEX('Race 58'!$E$8:$E$200,(MATCH($B261,'Race 58'!$B$8:$B$200,0)),1))*100</f>
        <v>73.301457063899463</v>
      </c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101"/>
      <c r="CL261" s="74"/>
      <c r="CM261" s="74"/>
      <c r="CN261" s="74"/>
      <c r="CO261" s="70">
        <f>(INDEX('Race 85'!$E$8:$E$200,(MATCH($B261,'Race 85'!$B$8:$B$200,0)),1))*100</f>
        <v>72.943686971757046</v>
      </c>
      <c r="CP261" s="74"/>
      <c r="CQ261" s="7">
        <f>(INDEX('Race 87'!$E$8:$E$200,(MATCH($B261,'Race 87'!$B$8:$B$200,0)),1))*100</f>
        <v>76.933522855027917</v>
      </c>
      <c r="CR261" s="74"/>
      <c r="CS261" s="74"/>
      <c r="CT261" s="74"/>
      <c r="CU261" s="74"/>
      <c r="CV261" s="7"/>
      <c r="CW261" s="7">
        <f>(INDEX('Race 93'!$E$8:$E$200,(MATCH($B261,'Race 93'!$B$8:$B$200,0)),1))*100</f>
        <v>76.95406611042138</v>
      </c>
      <c r="CX261" s="7"/>
      <c r="CY261" s="7"/>
      <c r="CZ261" s="7"/>
      <c r="DA261" s="7"/>
      <c r="DB261" s="7"/>
      <c r="DC261" s="7"/>
      <c r="DD261" s="7"/>
      <c r="DE261" s="74"/>
      <c r="DF261" s="74"/>
      <c r="DG261" s="74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8">
        <f t="shared" si="60"/>
        <v>73.136159417793365</v>
      </c>
      <c r="EA261" s="3" t="str">
        <f t="shared" si="61"/>
        <v>Livingood, Ethan</v>
      </c>
      <c r="EB261" s="2">
        <f t="shared" si="62"/>
        <v>1</v>
      </c>
      <c r="EC261" s="112">
        <f t="shared" si="59"/>
        <v>61.077198295781812</v>
      </c>
      <c r="ED261" s="29">
        <f t="shared" si="63"/>
        <v>73.549539819766437</v>
      </c>
      <c r="EE261" s="2">
        <f t="shared" si="64"/>
        <v>2</v>
      </c>
      <c r="EF261" s="46">
        <f t="shared" si="65"/>
        <v>4</v>
      </c>
      <c r="EG261" s="46">
        <f t="shared" si="66"/>
        <v>7</v>
      </c>
      <c r="EH261" s="2" t="str">
        <f t="shared" si="67"/>
        <v>VT</v>
      </c>
      <c r="EI261" s="29">
        <f>IF(COUNT(I261:Y261)&lt;5,DZ261,SUMPRODUCT(LARGE(I261:Y261,{1,2,3,4,5}))/5)</f>
        <v>73.136159417793365</v>
      </c>
      <c r="EJ261" s="29">
        <f>IF(COUNT(I261:AX261)&lt;5,DZ261,SUMPRODUCT(LARGE(I261:AX261,{1,2,3,4,5}))/5)</f>
        <v>73.136159417793365</v>
      </c>
      <c r="EK261" s="29">
        <f>IF(COUNT(I261:DY261)&lt;5,AVERAGE(I261:DY261),SUMPRODUCT(LARGE(I261:DY261,{1,2,3,4,5}))/5)</f>
        <v>74.755752272810611</v>
      </c>
      <c r="EL261" s="29">
        <f t="shared" si="68"/>
        <v>73.549539819766437</v>
      </c>
      <c r="EM261" s="116" t="str">
        <f t="shared" si="69"/>
        <v>Livingood, Ethan</v>
      </c>
      <c r="EQ261"/>
    </row>
    <row r="262" spans="1:147" x14ac:dyDescent="0.25">
      <c r="A262" s="59">
        <f t="shared" ref="A262:A325" si="70">A261+1</f>
        <v>259</v>
      </c>
      <c r="B262" s="32" t="s">
        <v>680</v>
      </c>
      <c r="C262" s="5" t="s">
        <v>6</v>
      </c>
      <c r="D262" s="6" t="s">
        <v>77</v>
      </c>
      <c r="E262" s="6">
        <v>44.469678092686884</v>
      </c>
      <c r="F262" s="6">
        <v>44.469678092686884</v>
      </c>
      <c r="G262" s="5">
        <f t="shared" si="58"/>
        <v>1</v>
      </c>
      <c r="H262" s="99">
        <v>44.469678092686884</v>
      </c>
      <c r="I262" s="36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227"/>
      <c r="Z262" s="228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4"/>
      <c r="AP262" s="7"/>
      <c r="AQ262" s="74"/>
      <c r="AR262" s="70"/>
      <c r="AS262" s="7"/>
      <c r="AT262" s="70"/>
      <c r="AU262" s="7"/>
      <c r="AV262" s="70"/>
      <c r="AW262" s="7"/>
      <c r="AX262" s="8"/>
      <c r="AY262" s="36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4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>
        <f>(INDEX('Race 76'!$E$8:$E$200,(MATCH($B262,'Race 76'!$B$8:$B$200,0)),1))*100</f>
        <v>38.704432077690321</v>
      </c>
      <c r="CG262" s="7"/>
      <c r="CH262" s="7"/>
      <c r="CI262" s="7"/>
      <c r="CJ262" s="7"/>
      <c r="CK262" s="74"/>
      <c r="CL262" s="74"/>
      <c r="CM262" s="74"/>
      <c r="CN262" s="74"/>
      <c r="CO262" s="70"/>
      <c r="CP262" s="74"/>
      <c r="CQ262" s="7"/>
      <c r="CR262" s="74"/>
      <c r="CS262" s="74"/>
      <c r="CT262" s="74"/>
      <c r="CU262" s="74"/>
      <c r="CV262" s="7"/>
      <c r="CW262" s="7"/>
      <c r="CX262" s="7"/>
      <c r="CY262" s="7"/>
      <c r="CZ262" s="7"/>
      <c r="DA262" s="7"/>
      <c r="DB262" s="7"/>
      <c r="DC262" s="7"/>
      <c r="DD262" s="7"/>
      <c r="DE262" s="74"/>
      <c r="DF262" s="74"/>
      <c r="DG262" s="74"/>
      <c r="DH262" s="7"/>
      <c r="DI262" s="74"/>
      <c r="DJ262" s="7"/>
      <c r="DK262" s="7"/>
      <c r="DL262" s="74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8">
        <f t="shared" si="60"/>
        <v>38.704432077690321</v>
      </c>
      <c r="EA262" s="3" t="str">
        <f t="shared" si="61"/>
        <v>Long, Dan</v>
      </c>
      <c r="EB262" s="2">
        <f t="shared" si="62"/>
        <v>1</v>
      </c>
      <c r="EC262" s="112">
        <f t="shared" si="59"/>
        <v>44.469678092686884</v>
      </c>
      <c r="ED262" s="29">
        <f t="shared" si="63"/>
        <v>38.07992136726714</v>
      </c>
      <c r="EE262" s="2">
        <f t="shared" si="64"/>
        <v>0</v>
      </c>
      <c r="EF262" s="46">
        <f t="shared" si="65"/>
        <v>0</v>
      </c>
      <c r="EG262" s="46">
        <f t="shared" si="66"/>
        <v>1</v>
      </c>
      <c r="EH262" s="2" t="str">
        <f t="shared" si="67"/>
        <v>OH</v>
      </c>
      <c r="EI262" s="29">
        <f>IF(COUNT(I262:Y262)&lt;5,DZ262,SUMPRODUCT(LARGE(I262:Y262,{1,2,3,4,5}))/5)</f>
        <v>38.704432077690321</v>
      </c>
      <c r="EJ262" s="29">
        <f>IF(COUNT(I262:AX262)&lt;5,DZ262,SUMPRODUCT(LARGE(I262:AX262,{1,2,3,4,5}))/5)</f>
        <v>38.704432077690321</v>
      </c>
      <c r="EK262" s="29">
        <f>IF(COUNT(I262:DY262)&lt;5,AVERAGE(I262:DY262),SUMPRODUCT(LARGE(I262:DY262,{1,2,3,4,5}))/5)</f>
        <v>38.704432077690321</v>
      </c>
      <c r="EL262" s="29">
        <f t="shared" si="68"/>
        <v>38.07992136726714</v>
      </c>
      <c r="EM262" s="116" t="str">
        <f t="shared" si="69"/>
        <v>Long, Dan</v>
      </c>
      <c r="EQ262"/>
    </row>
    <row r="263" spans="1:147" x14ac:dyDescent="0.25">
      <c r="A263" s="59">
        <f t="shared" si="70"/>
        <v>260</v>
      </c>
      <c r="B263" s="32" t="s">
        <v>413</v>
      </c>
      <c r="C263" s="5" t="s">
        <v>6</v>
      </c>
      <c r="D263" s="6" t="s">
        <v>76</v>
      </c>
      <c r="E263" s="6">
        <v>45.966335435575111</v>
      </c>
      <c r="F263" s="6">
        <v>45.966335435575111</v>
      </c>
      <c r="G263" s="5">
        <f t="shared" si="58"/>
        <v>0</v>
      </c>
      <c r="H263" s="37">
        <v>45.966335435575111</v>
      </c>
      <c r="I263" s="107"/>
      <c r="J263" s="7"/>
      <c r="K263" s="74"/>
      <c r="L263" s="7"/>
      <c r="M263" s="74"/>
      <c r="N263" s="74"/>
      <c r="O263" s="7"/>
      <c r="P263" s="7"/>
      <c r="Q263" s="74"/>
      <c r="R263" s="74"/>
      <c r="S263" s="74"/>
      <c r="T263" s="7"/>
      <c r="U263" s="7"/>
      <c r="V263" s="74"/>
      <c r="W263" s="7"/>
      <c r="X263" s="74"/>
      <c r="Y263" s="227"/>
      <c r="Z263" s="228"/>
      <c r="AA263" s="74"/>
      <c r="AB263" s="74"/>
      <c r="AC263" s="74"/>
      <c r="AD263" s="74"/>
      <c r="AE263" s="7"/>
      <c r="AF263" s="74"/>
      <c r="AG263" s="74"/>
      <c r="AH263" s="7"/>
      <c r="AI263" s="7"/>
      <c r="AJ263" s="7"/>
      <c r="AK263" s="7"/>
      <c r="AL263" s="7"/>
      <c r="AM263" s="7"/>
      <c r="AN263" s="7"/>
      <c r="AO263" s="74"/>
      <c r="AP263" s="7"/>
      <c r="AQ263" s="74"/>
      <c r="AR263" s="101"/>
      <c r="AS263" s="7"/>
      <c r="AT263" s="101"/>
      <c r="AU263" s="7"/>
      <c r="AV263" s="101"/>
      <c r="AW263" s="7"/>
      <c r="AX263" s="183"/>
      <c r="AY263" s="107"/>
      <c r="AZ263" s="74"/>
      <c r="BA263" s="74"/>
      <c r="BB263" s="74"/>
      <c r="BC263" s="74"/>
      <c r="BD263" s="7"/>
      <c r="BE263" s="7"/>
      <c r="BF263" s="74"/>
      <c r="BG263" s="74"/>
      <c r="BH263" s="74"/>
      <c r="BI263" s="74"/>
      <c r="BJ263" s="74"/>
      <c r="BK263" s="7"/>
      <c r="BL263" s="74"/>
      <c r="BM263" s="7"/>
      <c r="BN263" s="74"/>
      <c r="BO263" s="74"/>
      <c r="BP263" s="7"/>
      <c r="BQ263" s="7"/>
      <c r="BR263" s="74"/>
      <c r="BS263" s="7"/>
      <c r="BT263" s="7"/>
      <c r="BU263" s="74"/>
      <c r="BV263" s="74"/>
      <c r="BW263" s="74"/>
      <c r="BX263" s="74"/>
      <c r="BY263" s="74"/>
      <c r="BZ263" s="74"/>
      <c r="CA263" s="7"/>
      <c r="CB263" s="74"/>
      <c r="CC263" s="74"/>
      <c r="CD263" s="74"/>
      <c r="CE263" s="7"/>
      <c r="CF263" s="74"/>
      <c r="CG263" s="74"/>
      <c r="CH263" s="7"/>
      <c r="CI263" s="74"/>
      <c r="CJ263" s="74"/>
      <c r="CK263" s="101"/>
      <c r="CL263" s="74"/>
      <c r="CM263" s="74"/>
      <c r="CN263" s="74"/>
      <c r="CO263" s="101"/>
      <c r="CP263" s="74"/>
      <c r="CQ263" s="74"/>
      <c r="CR263" s="74"/>
      <c r="CS263" s="74"/>
      <c r="CT263" s="74"/>
      <c r="CU263" s="74"/>
      <c r="CV263" s="74"/>
      <c r="CW263" s="74"/>
      <c r="CX263" s="7"/>
      <c r="CY263" s="7"/>
      <c r="CZ263" s="74"/>
      <c r="DA263" s="74"/>
      <c r="DB263" s="74"/>
      <c r="DC263" s="74"/>
      <c r="DD263" s="74"/>
      <c r="DE263" s="74"/>
      <c r="DF263" s="74"/>
      <c r="DG263" s="74"/>
      <c r="DH263" s="74"/>
      <c r="DI263" s="74"/>
      <c r="DJ263" s="7"/>
      <c r="DK263" s="74"/>
      <c r="DL263" s="7"/>
      <c r="DM263" s="74"/>
      <c r="DN263" s="74"/>
      <c r="DO263" s="74"/>
      <c r="DP263" s="74"/>
      <c r="DQ263" s="74"/>
      <c r="DR263" s="7"/>
      <c r="DS263" s="7"/>
      <c r="DT263" s="74"/>
      <c r="DU263" s="74"/>
      <c r="DV263" s="74"/>
      <c r="DW263" s="74"/>
      <c r="DX263" s="74"/>
      <c r="DY263" s="74"/>
      <c r="DZ263" s="8">
        <f t="shared" si="60"/>
        <v>45.966335435575111</v>
      </c>
      <c r="EA263" s="3" t="str">
        <f t="shared" si="61"/>
        <v>Luke, Jeffrey</v>
      </c>
      <c r="EB263" s="2">
        <f t="shared" si="62"/>
        <v>0</v>
      </c>
      <c r="EC263" s="112">
        <f t="shared" si="59"/>
        <v>45.966335435575111</v>
      </c>
      <c r="ED263" s="29">
        <f t="shared" si="63"/>
        <v>0</v>
      </c>
      <c r="EE263" s="2">
        <f t="shared" si="64"/>
        <v>0</v>
      </c>
      <c r="EF263" s="46">
        <f t="shared" si="65"/>
        <v>0</v>
      </c>
      <c r="EG263" s="46">
        <f t="shared" si="66"/>
        <v>0</v>
      </c>
      <c r="EH263" s="29" t="str">
        <f t="shared" si="67"/>
        <v>MA</v>
      </c>
      <c r="EI263" s="29">
        <f>IF(COUNT(I263:Y263)&lt;5,DZ263,SUMPRODUCT(LARGE(I263:Y263,{1,2,3,4,5}))/5)</f>
        <v>45.966335435575111</v>
      </c>
      <c r="EJ263" s="29">
        <f>IF(COUNT(I263:AX263)&lt;5,DZ263,SUMPRODUCT(LARGE(I263:AX263,{1,2,3,4,5}))/5)</f>
        <v>45.966335435575111</v>
      </c>
      <c r="EK263" s="112">
        <f>IF(EG263&lt;0,AVERAGE(I263:DY263),0)</f>
        <v>0</v>
      </c>
      <c r="EL263" s="29">
        <f t="shared" si="68"/>
        <v>0</v>
      </c>
      <c r="EM263" s="116" t="str">
        <f t="shared" si="69"/>
        <v>Luke, Jeffrey</v>
      </c>
      <c r="EQ263"/>
    </row>
    <row r="264" spans="1:147" x14ac:dyDescent="0.25">
      <c r="A264" s="59">
        <f t="shared" si="70"/>
        <v>261</v>
      </c>
      <c r="B264" s="186" t="s">
        <v>1018</v>
      </c>
      <c r="C264" s="106" t="s">
        <v>6</v>
      </c>
      <c r="D264" s="187" t="s">
        <v>62</v>
      </c>
      <c r="E264" s="6">
        <v>55.192586848526851</v>
      </c>
      <c r="F264" s="6">
        <v>55.246668569910909</v>
      </c>
      <c r="G264" s="5">
        <f t="shared" si="58"/>
        <v>2</v>
      </c>
      <c r="H264" s="37">
        <v>0</v>
      </c>
      <c r="I264" s="107"/>
      <c r="J264" s="74"/>
      <c r="K264" s="74"/>
      <c r="L264" s="74"/>
      <c r="M264" s="74"/>
      <c r="N264" s="74"/>
      <c r="O264" s="7">
        <f>(INDEX('Race 7'!$E$8:$E$200,(MATCH($B264,'Race 7'!$B$8:$B$200,0)),1))*100</f>
        <v>55.192586848526851</v>
      </c>
      <c r="P264" s="74"/>
      <c r="Q264" s="74"/>
      <c r="R264" s="74"/>
      <c r="S264" s="74"/>
      <c r="T264" s="74"/>
      <c r="U264" s="74"/>
      <c r="V264" s="74"/>
      <c r="W264" s="74"/>
      <c r="X264" s="74"/>
      <c r="Y264" s="229"/>
      <c r="Z264" s="230"/>
      <c r="AA264" s="74"/>
      <c r="AB264" s="74"/>
      <c r="AC264" s="74"/>
      <c r="AD264" s="74">
        <f>(INDEX('Race 22'!$E$8:$E$200,(MATCH($B264,'Race 22'!$B$8:$B$200,0)),1))*100</f>
        <v>55.300750291294975</v>
      </c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101"/>
      <c r="AU264" s="74"/>
      <c r="AV264" s="101"/>
      <c r="AW264" s="74"/>
      <c r="AX264" s="8"/>
      <c r="AY264" s="36"/>
      <c r="AZ264" s="74"/>
      <c r="BA264" s="74"/>
      <c r="BB264" s="74"/>
      <c r="BC264" s="74"/>
      <c r="BD264" s="7"/>
      <c r="BE264" s="7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"/>
      <c r="BQ264" s="7"/>
      <c r="BR264" s="74"/>
      <c r="BS264" s="7"/>
      <c r="BT264" s="7"/>
      <c r="BU264" s="74"/>
      <c r="BV264" s="74"/>
      <c r="BW264" s="74"/>
      <c r="BX264" s="74"/>
      <c r="BY264" s="74"/>
      <c r="BZ264" s="74"/>
      <c r="CA264" s="7"/>
      <c r="CB264" s="74"/>
      <c r="CC264" s="74"/>
      <c r="CD264" s="74"/>
      <c r="CE264" s="74"/>
      <c r="CF264" s="74"/>
      <c r="CG264" s="74"/>
      <c r="CH264" s="74"/>
      <c r="CI264" s="74"/>
      <c r="CJ264" s="74"/>
      <c r="CK264" s="101"/>
      <c r="CL264" s="74"/>
      <c r="CM264" s="74"/>
      <c r="CN264" s="74"/>
      <c r="CO264" s="101"/>
      <c r="CP264" s="74"/>
      <c r="CQ264" s="74"/>
      <c r="CR264" s="74"/>
      <c r="CS264" s="74"/>
      <c r="CT264" s="74"/>
      <c r="CU264" s="74"/>
      <c r="CV264" s="74"/>
      <c r="CW264" s="74"/>
      <c r="CX264" s="7"/>
      <c r="CY264" s="7"/>
      <c r="CZ264" s="74"/>
      <c r="DA264" s="74"/>
      <c r="DB264" s="74"/>
      <c r="DC264" s="74"/>
      <c r="DD264" s="74"/>
      <c r="DE264" s="74"/>
      <c r="DF264" s="74"/>
      <c r="DG264" s="74"/>
      <c r="DH264" s="74"/>
      <c r="DI264" s="74"/>
      <c r="DJ264" s="74"/>
      <c r="DK264" s="74"/>
      <c r="DL264" s="74"/>
      <c r="DM264" s="74"/>
      <c r="DN264" s="74"/>
      <c r="DO264" s="74"/>
      <c r="DP264" s="74"/>
      <c r="DQ264" s="74"/>
      <c r="DR264" s="74"/>
      <c r="DS264" s="74"/>
      <c r="DT264" s="74"/>
      <c r="DU264" s="74"/>
      <c r="DV264" s="74"/>
      <c r="DW264" s="74"/>
      <c r="DX264" s="74"/>
      <c r="DY264" s="74"/>
      <c r="DZ264" s="8">
        <f t="shared" si="60"/>
        <v>55.246668569910909</v>
      </c>
      <c r="EA264" s="3" t="str">
        <f t="shared" si="61"/>
        <v>LUPO, Curtis</v>
      </c>
      <c r="EB264" s="2">
        <f t="shared" si="62"/>
        <v>1</v>
      </c>
      <c r="EC264" s="112">
        <f t="shared" si="59"/>
        <v>0</v>
      </c>
      <c r="ED264" s="29">
        <f t="shared" si="63"/>
        <v>54.355242591411752</v>
      </c>
      <c r="EE264" s="2">
        <f t="shared" si="64"/>
        <v>2</v>
      </c>
      <c r="EF264" s="46">
        <f t="shared" si="65"/>
        <v>2</v>
      </c>
      <c r="EG264" s="46">
        <f t="shared" si="66"/>
        <v>2</v>
      </c>
      <c r="EH264" s="29" t="str">
        <f t="shared" si="67"/>
        <v>CO</v>
      </c>
      <c r="EI264" s="29">
        <f>IF(COUNT(I264:Y264)&lt;5,DZ264,SUMPRODUCT(LARGE(I264:Y264,{1,2,3,4,5}))/5)</f>
        <v>55.246668569910909</v>
      </c>
      <c r="EJ264" s="29">
        <f>IF(COUNT(I264:AX264)&lt;5,DZ264,SUMPRODUCT(LARGE(I264:AX264,{1,2,3,4,5}))/5)</f>
        <v>55.246668569910909</v>
      </c>
      <c r="EK264" s="29">
        <f>IF(COUNT(I264:DY264)&lt;5,AVERAGE(I264:DY264),SUMPRODUCT(LARGE(I264:DY264,{1,2,3,4,5}))/5)</f>
        <v>55.246668569910909</v>
      </c>
      <c r="EL264" s="29">
        <f t="shared" si="68"/>
        <v>54.355242591411752</v>
      </c>
      <c r="EM264" s="116" t="str">
        <f t="shared" si="69"/>
        <v>LUPO, Curtis</v>
      </c>
      <c r="EQ264"/>
    </row>
    <row r="265" spans="1:147" x14ac:dyDescent="0.25">
      <c r="A265" s="59">
        <f t="shared" si="70"/>
        <v>262</v>
      </c>
      <c r="B265" s="32" t="s">
        <v>1165</v>
      </c>
      <c r="C265" s="5" t="s">
        <v>6</v>
      </c>
      <c r="D265" s="6" t="s">
        <v>63</v>
      </c>
      <c r="E265" s="6">
        <v>0</v>
      </c>
      <c r="F265" s="6">
        <v>0</v>
      </c>
      <c r="G265" s="5">
        <f t="shared" si="58"/>
        <v>1</v>
      </c>
      <c r="H265" s="37">
        <v>0</v>
      </c>
      <c r="I265" s="36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227"/>
      <c r="Z265" s="228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4"/>
      <c r="AP265" s="7"/>
      <c r="AQ265" s="74"/>
      <c r="AR265" s="70"/>
      <c r="AS265" s="7"/>
      <c r="AT265" s="70"/>
      <c r="AU265" s="7"/>
      <c r="AV265" s="70"/>
      <c r="AW265" s="7"/>
      <c r="AX265" s="8"/>
      <c r="AY265" s="36"/>
      <c r="AZ265" s="7"/>
      <c r="BA265" s="7">
        <f>(INDEX('Race 45'!$E$8:$E$200,(MATCH($B265,'Race 45'!$B$8:$B$200,0)),1))*100</f>
        <v>78.214374340192137</v>
      </c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4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101"/>
      <c r="CL265" s="74"/>
      <c r="CM265" s="74"/>
      <c r="CN265" s="74"/>
      <c r="CO265" s="70"/>
      <c r="CP265" s="74"/>
      <c r="CQ265" s="7"/>
      <c r="CR265" s="74"/>
      <c r="CS265" s="74"/>
      <c r="CT265" s="74"/>
      <c r="CU265" s="74"/>
      <c r="CV265" s="7"/>
      <c r="CW265" s="7"/>
      <c r="CX265" s="7"/>
      <c r="CY265" s="7"/>
      <c r="CZ265" s="7"/>
      <c r="DA265" s="7"/>
      <c r="DB265" s="7"/>
      <c r="DC265" s="7"/>
      <c r="DD265" s="7"/>
      <c r="DE265" s="74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8">
        <f t="shared" si="60"/>
        <v>78.214374340192137</v>
      </c>
      <c r="EA265" s="3" t="str">
        <f t="shared" si="61"/>
        <v>Lustgarten, Benjamin</v>
      </c>
      <c r="EB265" s="2">
        <f t="shared" si="62"/>
        <v>1</v>
      </c>
      <c r="EC265" s="112">
        <f t="shared" si="59"/>
        <v>0</v>
      </c>
      <c r="ED265" s="29">
        <f t="shared" si="63"/>
        <v>0</v>
      </c>
      <c r="EE265" s="2">
        <f t="shared" si="64"/>
        <v>0</v>
      </c>
      <c r="EF265" s="46">
        <f t="shared" si="65"/>
        <v>1</v>
      </c>
      <c r="EG265" s="46">
        <f t="shared" si="66"/>
        <v>1</v>
      </c>
      <c r="EH265" s="29" t="str">
        <f t="shared" si="67"/>
        <v>VT</v>
      </c>
      <c r="EI265" s="29">
        <f>IF(COUNT(I265:AD265)&lt;5,DZ265,SUMPRODUCT(LARGE(I265:AD265,{1,2,3,4,5}))/5)</f>
        <v>78.214374340192137</v>
      </c>
      <c r="EJ265" s="29">
        <f>IF(COUNT(I265:AX265)&lt;5,DZ265,SUMPRODUCT(LARGE(I265:AX265,{1,2,3,4,5}))/5)</f>
        <v>78.214374340192137</v>
      </c>
      <c r="EK265" s="29">
        <f>IF(EG265&lt;0,AVERAGE(I265:DY265),0)</f>
        <v>0</v>
      </c>
      <c r="EL265" s="29">
        <f t="shared" si="68"/>
        <v>0</v>
      </c>
      <c r="EM265" s="116" t="str">
        <f t="shared" si="69"/>
        <v>Lustgarten, Benjamin</v>
      </c>
      <c r="EQ265"/>
    </row>
    <row r="266" spans="1:147" x14ac:dyDescent="0.25">
      <c r="A266" s="59">
        <f t="shared" si="70"/>
        <v>263</v>
      </c>
      <c r="B266" s="32" t="s">
        <v>881</v>
      </c>
      <c r="C266" s="5" t="s">
        <v>6</v>
      </c>
      <c r="D266" s="6" t="s">
        <v>88</v>
      </c>
      <c r="E266" s="6">
        <v>44.278313510549403</v>
      </c>
      <c r="F266" s="6">
        <v>48.533282593654661</v>
      </c>
      <c r="G266" s="5">
        <f t="shared" si="58"/>
        <v>4</v>
      </c>
      <c r="H266" s="37">
        <v>44.278313510549403</v>
      </c>
      <c r="I266" s="36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227"/>
      <c r="Z266" s="228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4">
        <f>(INDEX('Race 33'!$E$8:$E$200,(MATCH($B266,'Race 33'!$B$8:$B$200,0)),1))*100</f>
        <v>48.533282593654661</v>
      </c>
      <c r="AP266" s="7"/>
      <c r="AQ266" s="74"/>
      <c r="AR266" s="70"/>
      <c r="AS266" s="7"/>
      <c r="AT266" s="70"/>
      <c r="AU266" s="7"/>
      <c r="AV266" s="70"/>
      <c r="AW266" s="7"/>
      <c r="AX266" s="8"/>
      <c r="AY266" s="36"/>
      <c r="AZ266" s="7"/>
      <c r="BA266" s="7"/>
      <c r="BB266" s="7"/>
      <c r="BC266" s="7"/>
      <c r="BD266" s="7"/>
      <c r="BE266" s="7"/>
      <c r="BF266" s="7"/>
      <c r="BG266" s="7">
        <f>(INDEX('Race 51'!$E$8:$E$200,(MATCH($B266,'Race 51'!$B$8:$B$200,0)),1))*100</f>
        <v>46.522629232321329</v>
      </c>
      <c r="BH266" s="7">
        <f>(INDEX('Race 52'!$E$8:$E$200,(MATCH($B266,'Race 52'!$B$8:$B$200,0)),1))*100</f>
        <v>48.240589124338804</v>
      </c>
      <c r="BI266" s="7"/>
      <c r="BJ266" s="7"/>
      <c r="BK266" s="7"/>
      <c r="BL266" s="7"/>
      <c r="BM266" s="7"/>
      <c r="BN266" s="74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>
        <f>(INDEX('Race 74'!$E$8:$E$200,(MATCH($B266,'Race 74'!$B$8:$B$200,0)),1))*100</f>
        <v>50.039507508805094</v>
      </c>
      <c r="CE266" s="7"/>
      <c r="CF266" s="7"/>
      <c r="CG266" s="74"/>
      <c r="CH266" s="7"/>
      <c r="CI266" s="7"/>
      <c r="CJ266" s="7"/>
      <c r="CK266" s="101"/>
      <c r="CL266" s="74"/>
      <c r="CM266" s="74"/>
      <c r="CN266" s="74"/>
      <c r="CO266" s="70"/>
      <c r="CP266" s="74"/>
      <c r="CQ266" s="7"/>
      <c r="CR266" s="74"/>
      <c r="CS266" s="74"/>
      <c r="CT266" s="74"/>
      <c r="CU266" s="74"/>
      <c r="CV266" s="7"/>
      <c r="CW266" s="7"/>
      <c r="CX266" s="7"/>
      <c r="CY266" s="7"/>
      <c r="CZ266" s="7"/>
      <c r="DA266" s="7"/>
      <c r="DB266" s="7"/>
      <c r="DC266" s="7"/>
      <c r="DD266" s="7"/>
      <c r="DE266" s="74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8">
        <f t="shared" si="60"/>
        <v>48.33400211477997</v>
      </c>
      <c r="EA266" s="3" t="str">
        <f t="shared" si="61"/>
        <v>Lutchansky, Adam</v>
      </c>
      <c r="EB266" s="2">
        <f t="shared" si="62"/>
        <v>1</v>
      </c>
      <c r="EC266" s="112">
        <f t="shared" si="59"/>
        <v>44.278313510549403</v>
      </c>
      <c r="ED266" s="29">
        <f t="shared" si="63"/>
        <v>47.554114634769746</v>
      </c>
      <c r="EE266" s="2">
        <f t="shared" si="64"/>
        <v>0</v>
      </c>
      <c r="EF266" s="46">
        <f t="shared" si="65"/>
        <v>3</v>
      </c>
      <c r="EG266" s="46">
        <f t="shared" si="66"/>
        <v>4</v>
      </c>
      <c r="EH266" s="29" t="str">
        <f t="shared" si="67"/>
        <v>WI</v>
      </c>
      <c r="EI266" s="29">
        <f>IF(COUNT(I266:Y266)&lt;5,DZ266,SUMPRODUCT(LARGE(I266:Y266,{1,2,3,4,5}))/5)</f>
        <v>48.33400211477997</v>
      </c>
      <c r="EJ266" s="29">
        <f>IF(COUNT(I266:AX266)&lt;5,DZ266,SUMPRODUCT(LARGE(I266:AX266,{1,2,3,4,5}))/5)</f>
        <v>48.33400211477997</v>
      </c>
      <c r="EK266" s="29">
        <f>IF(COUNT(I266:DY266)&lt;5,AVERAGE(I266:DY266),SUMPRODUCT(LARGE(I266:DY266,{1,2,3,4,5}))/5)</f>
        <v>48.33400211477997</v>
      </c>
      <c r="EL266" s="29">
        <f t="shared" si="68"/>
        <v>47.554114634769746</v>
      </c>
      <c r="EM266" s="116" t="str">
        <f t="shared" si="69"/>
        <v>Lutchansky, Adam</v>
      </c>
      <c r="EQ266"/>
    </row>
    <row r="267" spans="1:147" x14ac:dyDescent="0.25">
      <c r="A267" s="59">
        <f t="shared" si="70"/>
        <v>264</v>
      </c>
      <c r="B267" s="32" t="s">
        <v>664</v>
      </c>
      <c r="C267" s="5" t="s">
        <v>6</v>
      </c>
      <c r="D267" s="6" t="s">
        <v>62</v>
      </c>
      <c r="E267" s="6">
        <v>60.9207907589808</v>
      </c>
      <c r="F267" s="6">
        <v>62.249107445641606</v>
      </c>
      <c r="G267" s="5">
        <f t="shared" si="58"/>
        <v>4</v>
      </c>
      <c r="H267" s="99">
        <v>60.9207907589808</v>
      </c>
      <c r="I267" s="36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227"/>
      <c r="Z267" s="228"/>
      <c r="AA267" s="7"/>
      <c r="AB267" s="7"/>
      <c r="AC267" s="7"/>
      <c r="AD267" s="7"/>
      <c r="AE267" s="7"/>
      <c r="AF267" s="7"/>
      <c r="AG267" s="74">
        <f>(INDEX('Race 25'!$E$8:$E$200,(MATCH($B267,'Race 25'!$B$8:$B$200,0)),1))*100</f>
        <v>62.331020633644599</v>
      </c>
      <c r="AH267" s="7"/>
      <c r="AI267" s="7"/>
      <c r="AJ267" s="7"/>
      <c r="AK267" s="7"/>
      <c r="AL267" s="74">
        <f>(INDEX('Race 30'!$E$8:$E$200,(MATCH($B267,'Race 30'!$B$8:$B$200,0)),1))*100</f>
        <v>62.167194257638613</v>
      </c>
      <c r="AM267" s="7"/>
      <c r="AN267" s="7"/>
      <c r="AO267" s="7"/>
      <c r="AP267" s="7"/>
      <c r="AQ267" s="74"/>
      <c r="AR267" s="70"/>
      <c r="AS267" s="7"/>
      <c r="AT267" s="70"/>
      <c r="AU267" s="7"/>
      <c r="AV267" s="70"/>
      <c r="AW267" s="7"/>
      <c r="AX267" s="183"/>
      <c r="AY267" s="10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4"/>
      <c r="BO267" s="7"/>
      <c r="BP267" s="7"/>
      <c r="BQ267" s="7"/>
      <c r="BR267" s="7"/>
      <c r="BS267" s="7">
        <f>(INDEX('Race 63'!$E$8:$E$200,(MATCH($B267,'Race 63'!$B$8:$B$200,0)),1))*100</f>
        <v>65.056223066900756</v>
      </c>
      <c r="BT267" s="7">
        <f>(INDEX('Race 64'!$E$8:$E$200,(MATCH($B267,'Race 64'!$B$8:$B$200,0)),1))*100</f>
        <v>65.958131832148155</v>
      </c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101"/>
      <c r="CL267" s="74"/>
      <c r="CM267" s="74"/>
      <c r="CN267" s="74"/>
      <c r="CO267" s="70"/>
      <c r="CP267" s="74"/>
      <c r="CQ267" s="7"/>
      <c r="CR267" s="74"/>
      <c r="CS267" s="74"/>
      <c r="CT267" s="74"/>
      <c r="CU267" s="74"/>
      <c r="CV267" s="7"/>
      <c r="CW267" s="7"/>
      <c r="CX267" s="7"/>
      <c r="CY267" s="7"/>
      <c r="CZ267" s="7"/>
      <c r="DA267" s="7"/>
      <c r="DB267" s="7"/>
      <c r="DC267" s="7"/>
      <c r="DD267" s="7"/>
      <c r="DE267" s="74"/>
      <c r="DF267" s="74"/>
      <c r="DG267" s="74"/>
      <c r="DH267" s="7"/>
      <c r="DI267" s="74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8">
        <f t="shared" si="60"/>
        <v>63.878142447583031</v>
      </c>
      <c r="EA267" s="3" t="str">
        <f t="shared" si="61"/>
        <v>Lyapunov, Vladimir</v>
      </c>
      <c r="EB267" s="2">
        <f t="shared" si="62"/>
        <v>1</v>
      </c>
      <c r="EC267" s="112">
        <f t="shared" si="59"/>
        <v>60.9207907589808</v>
      </c>
      <c r="ED267" s="29">
        <f t="shared" si="63"/>
        <v>62.847444360077759</v>
      </c>
      <c r="EE267" s="2">
        <f t="shared" si="64"/>
        <v>1</v>
      </c>
      <c r="EF267" s="46">
        <f t="shared" si="65"/>
        <v>2</v>
      </c>
      <c r="EG267" s="46">
        <f t="shared" si="66"/>
        <v>4</v>
      </c>
      <c r="EH267" s="2" t="str">
        <f t="shared" si="67"/>
        <v>CO</v>
      </c>
      <c r="EI267" s="29">
        <f>IF(COUNT(I267:Y267)&lt;5,DZ267,SUMPRODUCT(LARGE(I267:Y267,{1,2,3,4,5}))/5)</f>
        <v>63.878142447583031</v>
      </c>
      <c r="EJ267" s="29">
        <f>IF(COUNT(I267:AX267)&lt;5,DZ267,SUMPRODUCT(LARGE(I267:AX267,{1,2,3,4,5}))/5)</f>
        <v>63.878142447583031</v>
      </c>
      <c r="EK267" s="29">
        <f>IF(COUNT(I267:DY267)&lt;5,AVERAGE(I267:DY267),SUMPRODUCT(LARGE(I267:DY267,{1,2,3,4,5}))/5)</f>
        <v>63.878142447583031</v>
      </c>
      <c r="EL267" s="29">
        <f t="shared" si="68"/>
        <v>62.847444360077759</v>
      </c>
      <c r="EM267" s="116" t="str">
        <f t="shared" si="69"/>
        <v>Lyapunov, Vladimir</v>
      </c>
      <c r="EQ267"/>
    </row>
    <row r="268" spans="1:147" x14ac:dyDescent="0.25">
      <c r="A268" s="59">
        <f t="shared" si="70"/>
        <v>265</v>
      </c>
      <c r="B268" s="32" t="s">
        <v>1311</v>
      </c>
      <c r="C268" s="5" t="s">
        <v>6</v>
      </c>
      <c r="D268" s="6" t="s">
        <v>69</v>
      </c>
      <c r="E268" s="6">
        <v>0</v>
      </c>
      <c r="F268" s="6">
        <v>0</v>
      </c>
      <c r="G268" s="5">
        <f t="shared" si="58"/>
        <v>1</v>
      </c>
      <c r="H268" s="37">
        <v>0</v>
      </c>
      <c r="I268" s="36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227"/>
      <c r="Z268" s="228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4"/>
      <c r="AP268" s="7"/>
      <c r="AQ268" s="74"/>
      <c r="AR268" s="7"/>
      <c r="AS268" s="7"/>
      <c r="AT268" s="70"/>
      <c r="AU268" s="7"/>
      <c r="AV268" s="70"/>
      <c r="AW268" s="7"/>
      <c r="AX268" s="8"/>
      <c r="AY268" s="36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4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101">
        <f>(INDEX('Race 81'!$E$8:$E$200,(MATCH($B268,'Race 81'!$B$8:$B$200,0)),1))*100</f>
        <v>37.518968025504186</v>
      </c>
      <c r="CL268" s="74"/>
      <c r="CM268" s="74"/>
      <c r="CN268" s="74"/>
      <c r="CO268" s="70"/>
      <c r="CP268" s="74"/>
      <c r="CQ268" s="7"/>
      <c r="CR268" s="74"/>
      <c r="CS268" s="74"/>
      <c r="CT268" s="74"/>
      <c r="CU268" s="74"/>
      <c r="CV268" s="7"/>
      <c r="CW268" s="7"/>
      <c r="CX268" s="7"/>
      <c r="CY268" s="7"/>
      <c r="CZ268" s="7"/>
      <c r="DA268" s="7"/>
      <c r="DB268" s="7"/>
      <c r="DC268" s="7"/>
      <c r="DD268" s="7"/>
      <c r="DE268" s="74"/>
      <c r="DF268" s="74"/>
      <c r="DG268" s="74"/>
      <c r="DH268" s="74"/>
      <c r="DI268" s="74"/>
      <c r="DJ268" s="7"/>
      <c r="DK268" s="7"/>
      <c r="DL268" s="7"/>
      <c r="DM268" s="7"/>
      <c r="DN268" s="7"/>
      <c r="DO268" s="7"/>
      <c r="DP268" s="7"/>
      <c r="DQ268" s="74"/>
      <c r="DR268" s="74"/>
      <c r="DS268" s="7"/>
      <c r="DT268" s="7"/>
      <c r="DU268" s="7"/>
      <c r="DV268" s="74"/>
      <c r="DW268" s="7"/>
      <c r="DX268" s="7"/>
      <c r="DY268" s="7"/>
      <c r="DZ268" s="8">
        <f t="shared" si="60"/>
        <v>37.518968025504186</v>
      </c>
      <c r="EA268" s="3" t="str">
        <f t="shared" si="61"/>
        <v>MACDONALD, Larry</v>
      </c>
      <c r="EB268" s="2">
        <f t="shared" si="62"/>
        <v>1</v>
      </c>
      <c r="EC268" s="112">
        <f t="shared" si="59"/>
        <v>0</v>
      </c>
      <c r="ED268" s="29">
        <f t="shared" si="63"/>
        <v>36.913585227768777</v>
      </c>
      <c r="EE268" s="2">
        <f t="shared" si="64"/>
        <v>0</v>
      </c>
      <c r="EF268" s="46">
        <f t="shared" si="65"/>
        <v>0</v>
      </c>
      <c r="EG268" s="46">
        <f t="shared" si="66"/>
        <v>1</v>
      </c>
      <c r="EH268" s="2" t="str">
        <f t="shared" si="67"/>
        <v>WA</v>
      </c>
      <c r="EI268" s="29">
        <f>IF(COUNT(I268:AD268)&lt;5,DZ268,SUMPRODUCT(LARGE(I268:AD268,{1,2,3,4,5}))/5)</f>
        <v>37.518968025504186</v>
      </c>
      <c r="EJ268" s="29">
        <f>IF(COUNT(I268:BE268)&lt;5,DZ268,SUMPRODUCT(LARGE(I268:BE268,{1,2,3,4,5}))/5)</f>
        <v>37.518968025504186</v>
      </c>
      <c r="EK268" s="29">
        <f>IF(COUNT(I268:DY268)&lt;5,AVERAGE(I268:DY268),SUMPRODUCT(LARGE(I268:DY268,{1,2,3,4,5}))/5)</f>
        <v>37.518968025504186</v>
      </c>
      <c r="EL268" s="29">
        <f t="shared" si="68"/>
        <v>36.913585227768777</v>
      </c>
      <c r="EM268" s="116" t="str">
        <f t="shared" si="69"/>
        <v>MACDONALD, Larry</v>
      </c>
      <c r="EQ268"/>
    </row>
    <row r="269" spans="1:147" x14ac:dyDescent="0.25">
      <c r="A269" s="59">
        <f t="shared" si="70"/>
        <v>266</v>
      </c>
      <c r="B269" s="32" t="s">
        <v>803</v>
      </c>
      <c r="C269" s="5" t="s">
        <v>6</v>
      </c>
      <c r="D269" s="6" t="s">
        <v>62</v>
      </c>
      <c r="E269" s="6">
        <v>55.267797279066791</v>
      </c>
      <c r="F269" s="6">
        <v>58.88165568946232</v>
      </c>
      <c r="G269" s="5">
        <f t="shared" si="58"/>
        <v>5</v>
      </c>
      <c r="H269" s="37">
        <v>55.267797279066791</v>
      </c>
      <c r="I269" s="36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227"/>
      <c r="Z269" s="228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4"/>
      <c r="AP269" s="7"/>
      <c r="AQ269" s="74"/>
      <c r="AR269" s="70"/>
      <c r="AS269" s="7"/>
      <c r="AT269" s="70"/>
      <c r="AU269" s="7"/>
      <c r="AV269" s="70"/>
      <c r="AW269" s="7">
        <f>(INDEX('Race 41'!$E$8:$E$200,(MATCH($B269,'Race 41'!$B$8:$B$200,0)),1))*100</f>
        <v>55.138284264396589</v>
      </c>
      <c r="AX269" s="183">
        <f>(INDEX('Race 42'!$E$8:$E$200,(MATCH($B269,'Race 42'!$B$8:$B$200,0)),1))*100</f>
        <v>62.625027114528045</v>
      </c>
      <c r="AY269" s="10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4"/>
      <c r="BO269" s="7"/>
      <c r="BP269" s="7"/>
      <c r="BQ269" s="7"/>
      <c r="BR269" s="7"/>
      <c r="BS269" s="7">
        <f>(INDEX('Race 63'!$E$8:$E$200,(MATCH($B269,'Race 63'!$B$8:$B$200,0)),1))*100</f>
        <v>58.803341889178959</v>
      </c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>
        <f>(INDEX('Race 75'!$E$8:$E$200,(MATCH($B269,'Race 75'!$B$8:$B$200,0)),1))*100</f>
        <v>63.470430711531463</v>
      </c>
      <c r="CF269" s="74">
        <f>(INDEX('Race 76'!$E$8:$E$200,(MATCH($B269,'Race 76'!$B$8:$B$200,0)),1))*100</f>
        <v>61.652549477653231</v>
      </c>
      <c r="CG269" s="7"/>
      <c r="CH269" s="7"/>
      <c r="CI269" s="7"/>
      <c r="CJ269" s="7"/>
      <c r="CK269" s="101"/>
      <c r="CL269" s="74"/>
      <c r="CM269" s="74"/>
      <c r="CN269" s="74"/>
      <c r="CO269" s="70"/>
      <c r="CP269" s="74"/>
      <c r="CQ269" s="7"/>
      <c r="CR269" s="74"/>
      <c r="CS269" s="74"/>
      <c r="CT269" s="74"/>
      <c r="CU269" s="74"/>
      <c r="CV269" s="7"/>
      <c r="CW269" s="7"/>
      <c r="CX269" s="7"/>
      <c r="CY269" s="7"/>
      <c r="CZ269" s="7"/>
      <c r="DA269" s="7"/>
      <c r="DB269" s="7"/>
      <c r="DC269" s="7"/>
      <c r="DD269" s="7"/>
      <c r="DE269" s="74"/>
      <c r="DF269" s="7"/>
      <c r="DG269" s="7"/>
      <c r="DH269" s="74"/>
      <c r="DI269" s="74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8">
        <f t="shared" si="60"/>
        <v>60.337926691457668</v>
      </c>
      <c r="EA269" s="3" t="str">
        <f t="shared" si="61"/>
        <v>MACGREGOR, Niall</v>
      </c>
      <c r="EB269" s="2">
        <f t="shared" si="62"/>
        <v>1</v>
      </c>
      <c r="EC269" s="112">
        <f t="shared" si="59"/>
        <v>55.267797279066791</v>
      </c>
      <c r="ED269" s="29">
        <f t="shared" si="63"/>
        <v>59.364351329651385</v>
      </c>
      <c r="EE269" s="2">
        <f t="shared" si="64"/>
        <v>0</v>
      </c>
      <c r="EF269" s="46">
        <f t="shared" si="65"/>
        <v>2</v>
      </c>
      <c r="EG269" s="46">
        <f t="shared" si="66"/>
        <v>5</v>
      </c>
      <c r="EH269" s="29" t="str">
        <f t="shared" si="67"/>
        <v>CO</v>
      </c>
      <c r="EI269" s="29">
        <f>IF(COUNT(I269:Y269)&lt;5,DZ269,SUMPRODUCT(LARGE(I269:Y269,{1,2,3,4,5}))/5)</f>
        <v>60.337926691457668</v>
      </c>
      <c r="EJ269" s="29">
        <f>IF(COUNT(I269:AX269)&lt;5,DZ269,SUMPRODUCT(LARGE(I269:AX269,{1,2,3,4,5}))/5)</f>
        <v>60.337926691457668</v>
      </c>
      <c r="EK269" s="29">
        <f>IF(COUNT(I269:DY269)&lt;5,AVERAGE(I269:DY269),SUMPRODUCT(LARGE(I269:DY269,{1,2,3,4,5}))/5)</f>
        <v>60.337926691457668</v>
      </c>
      <c r="EL269" s="29">
        <f t="shared" si="68"/>
        <v>59.364351329651385</v>
      </c>
      <c r="EM269" s="116" t="str">
        <f t="shared" si="69"/>
        <v>MACGREGOR, Niall</v>
      </c>
      <c r="EQ269"/>
    </row>
    <row r="270" spans="1:147" x14ac:dyDescent="0.25">
      <c r="A270" s="59">
        <f t="shared" si="70"/>
        <v>267</v>
      </c>
      <c r="B270" s="32" t="s">
        <v>1292</v>
      </c>
      <c r="C270" s="5" t="s">
        <v>6</v>
      </c>
      <c r="D270" s="6" t="s">
        <v>62</v>
      </c>
      <c r="E270" s="6">
        <v>0</v>
      </c>
      <c r="F270" s="6">
        <v>0</v>
      </c>
      <c r="G270" s="5">
        <f t="shared" si="58"/>
        <v>2</v>
      </c>
      <c r="H270" s="99">
        <v>0</v>
      </c>
      <c r="I270" s="36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227"/>
      <c r="Z270" s="228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4"/>
      <c r="AP270" s="7"/>
      <c r="AQ270" s="74"/>
      <c r="AR270" s="70"/>
      <c r="AS270" s="7"/>
      <c r="AT270" s="70"/>
      <c r="AU270" s="7"/>
      <c r="AV270" s="70"/>
      <c r="AW270" s="7"/>
      <c r="AX270" s="183"/>
      <c r="AY270" s="10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4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>
        <f>(INDEX('Race 75'!$E$8:$E$200,(MATCH($B270,'Race 75'!$B$8:$B$200,0)),1))*100</f>
        <v>63.470430711531463</v>
      </c>
      <c r="CF270" s="74">
        <f>(INDEX('Race 76'!$E$8:$E$200,(MATCH($B270,'Race 76'!$B$8:$B$200,0)),1))*100</f>
        <v>61.652549477653231</v>
      </c>
      <c r="CG270" s="7"/>
      <c r="CH270" s="7"/>
      <c r="CI270" s="7"/>
      <c r="CJ270" s="7"/>
      <c r="CK270" s="101"/>
      <c r="CL270" s="74"/>
      <c r="CM270" s="74"/>
      <c r="CN270" s="74"/>
      <c r="CO270" s="70"/>
      <c r="CP270" s="74"/>
      <c r="CQ270" s="7"/>
      <c r="CR270" s="74"/>
      <c r="CS270" s="74"/>
      <c r="CT270" s="74"/>
      <c r="CU270" s="74"/>
      <c r="CV270" s="7"/>
      <c r="CW270" s="7"/>
      <c r="CX270" s="7"/>
      <c r="CY270" s="7"/>
      <c r="CZ270" s="7"/>
      <c r="DA270" s="7"/>
      <c r="DB270" s="7"/>
      <c r="DC270" s="7"/>
      <c r="DD270" s="7"/>
      <c r="DE270" s="74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8">
        <f t="shared" si="60"/>
        <v>62.561490094592344</v>
      </c>
      <c r="EA270" s="3" t="str">
        <f t="shared" si="61"/>
        <v>MACGREGOR, NIALL</v>
      </c>
      <c r="EB270" s="2">
        <f t="shared" si="62"/>
        <v>1</v>
      </c>
      <c r="EC270" s="112">
        <f t="shared" si="59"/>
        <v>0</v>
      </c>
      <c r="ED270" s="29">
        <f t="shared" si="63"/>
        <v>61.552036692829937</v>
      </c>
      <c r="EE270" s="2">
        <f t="shared" si="64"/>
        <v>0</v>
      </c>
      <c r="EF270" s="46">
        <f t="shared" si="65"/>
        <v>0</v>
      </c>
      <c r="EG270" s="46">
        <f t="shared" si="66"/>
        <v>2</v>
      </c>
      <c r="EH270" s="29" t="str">
        <f t="shared" si="67"/>
        <v>CO</v>
      </c>
      <c r="EI270" s="29">
        <f>IF(COUNT(I270:AD270)&lt;5,DZ270,SUMPRODUCT(LARGE(I270:AD270,{1,2,3,4,5}))/5)</f>
        <v>62.561490094592344</v>
      </c>
      <c r="EJ270" s="29">
        <f>IF(COUNT(I270:BE270)&lt;5,DZ270,SUMPRODUCT(LARGE(I270:BE270,{1,2,3,4,5}))/5)</f>
        <v>62.561490094592344</v>
      </c>
      <c r="EK270" s="29">
        <f>IF(COUNT(I270:DY270)&lt;5,AVERAGE(I270:DY270),SUMPRODUCT(LARGE(I270:DY270,{1,2,3,4,5}))/5)</f>
        <v>62.561490094592344</v>
      </c>
      <c r="EL270" s="29">
        <f t="shared" si="68"/>
        <v>61.552036692829937</v>
      </c>
      <c r="EM270" s="116" t="str">
        <f t="shared" si="69"/>
        <v>MACGREGOR, NIALL</v>
      </c>
      <c r="EQ270"/>
    </row>
    <row r="271" spans="1:147" x14ac:dyDescent="0.25">
      <c r="A271" s="59">
        <f t="shared" si="70"/>
        <v>268</v>
      </c>
      <c r="B271" s="4" t="s">
        <v>517</v>
      </c>
      <c r="C271" s="5" t="s">
        <v>6</v>
      </c>
      <c r="D271" s="5" t="s">
        <v>96</v>
      </c>
      <c r="E271" s="6">
        <v>49.545191421478684</v>
      </c>
      <c r="F271" s="6">
        <v>49.545191421478684</v>
      </c>
      <c r="G271" s="5">
        <f t="shared" si="58"/>
        <v>0</v>
      </c>
      <c r="H271" s="99">
        <v>49.545191421478684</v>
      </c>
      <c r="I271" s="107"/>
      <c r="J271" s="7"/>
      <c r="K271" s="74"/>
      <c r="L271" s="7"/>
      <c r="M271" s="74"/>
      <c r="N271" s="74"/>
      <c r="O271" s="7"/>
      <c r="P271" s="74"/>
      <c r="Q271" s="74"/>
      <c r="R271" s="74"/>
      <c r="S271" s="74"/>
      <c r="T271" s="7"/>
      <c r="U271" s="7"/>
      <c r="V271" s="74"/>
      <c r="W271" s="7"/>
      <c r="X271" s="74"/>
      <c r="Y271" s="227"/>
      <c r="Z271" s="228"/>
      <c r="AA271" s="74"/>
      <c r="AB271" s="74"/>
      <c r="AC271" s="74"/>
      <c r="AD271" s="74"/>
      <c r="AE271" s="7"/>
      <c r="AF271" s="74"/>
      <c r="AG271" s="74"/>
      <c r="AH271" s="7"/>
      <c r="AI271" s="7"/>
      <c r="AJ271" s="7"/>
      <c r="AK271" s="7"/>
      <c r="AL271" s="7"/>
      <c r="AM271" s="7"/>
      <c r="AN271" s="7"/>
      <c r="AO271" s="74"/>
      <c r="AP271" s="7"/>
      <c r="AQ271" s="74"/>
      <c r="AR271" s="101"/>
      <c r="AS271" s="7"/>
      <c r="AT271" s="101"/>
      <c r="AU271" s="7"/>
      <c r="AV271" s="101"/>
      <c r="AW271" s="7"/>
      <c r="AX271" s="8"/>
      <c r="AY271" s="36"/>
      <c r="AZ271" s="74"/>
      <c r="BA271" s="74"/>
      <c r="BB271" s="74"/>
      <c r="BC271" s="74"/>
      <c r="BD271" s="7"/>
      <c r="BE271" s="7"/>
      <c r="BF271" s="74"/>
      <c r="BG271" s="74"/>
      <c r="BH271" s="74"/>
      <c r="BI271" s="74"/>
      <c r="BJ271" s="74"/>
      <c r="BK271" s="7"/>
      <c r="BL271" s="74"/>
      <c r="BM271" s="7"/>
      <c r="BN271" s="74"/>
      <c r="BO271" s="74"/>
      <c r="BP271" s="7"/>
      <c r="BQ271" s="7"/>
      <c r="BR271" s="74"/>
      <c r="BS271" s="7"/>
      <c r="BT271" s="7"/>
      <c r="BU271" s="74"/>
      <c r="BV271" s="74"/>
      <c r="BW271" s="74"/>
      <c r="BX271" s="74"/>
      <c r="BY271" s="74"/>
      <c r="BZ271" s="74"/>
      <c r="CA271" s="7"/>
      <c r="CB271" s="74"/>
      <c r="CC271" s="74"/>
      <c r="CD271" s="74"/>
      <c r="CE271" s="7"/>
      <c r="CF271" s="103"/>
      <c r="CG271" s="74"/>
      <c r="CH271" s="7"/>
      <c r="CI271" s="74"/>
      <c r="CJ271" s="74"/>
      <c r="CK271" s="101"/>
      <c r="CL271" s="74"/>
      <c r="CM271" s="74"/>
      <c r="CN271" s="74"/>
      <c r="CO271" s="101"/>
      <c r="CP271" s="74"/>
      <c r="CQ271" s="74"/>
      <c r="CR271" s="74"/>
      <c r="CS271" s="74"/>
      <c r="CT271" s="74"/>
      <c r="CU271" s="74"/>
      <c r="CV271" s="74"/>
      <c r="CW271" s="74"/>
      <c r="CX271" s="7"/>
      <c r="CY271" s="7"/>
      <c r="CZ271" s="74"/>
      <c r="DA271" s="74"/>
      <c r="DB271" s="74"/>
      <c r="DC271" s="74"/>
      <c r="DD271" s="74"/>
      <c r="DE271" s="74"/>
      <c r="DF271" s="74"/>
      <c r="DG271" s="74"/>
      <c r="DH271" s="74"/>
      <c r="DI271" s="74"/>
      <c r="DJ271" s="74"/>
      <c r="DK271" s="74"/>
      <c r="DL271" s="74"/>
      <c r="DM271" s="74"/>
      <c r="DN271" s="74"/>
      <c r="DO271" s="74"/>
      <c r="DP271" s="74"/>
      <c r="DQ271" s="74"/>
      <c r="DR271" s="7"/>
      <c r="DS271" s="7"/>
      <c r="DT271" s="74"/>
      <c r="DU271" s="74"/>
      <c r="DV271" s="74"/>
      <c r="DW271" s="74"/>
      <c r="DX271" s="74"/>
      <c r="DY271" s="74"/>
      <c r="DZ271" s="8">
        <f t="shared" si="60"/>
        <v>49.545191421478684</v>
      </c>
      <c r="EA271" s="3" t="str">
        <f t="shared" si="61"/>
        <v>MACK, David</v>
      </c>
      <c r="EB271" s="2">
        <f t="shared" si="62"/>
        <v>0</v>
      </c>
      <c r="EC271" s="112">
        <f t="shared" si="59"/>
        <v>49.545191421478684</v>
      </c>
      <c r="ED271" s="29">
        <f t="shared" si="63"/>
        <v>0</v>
      </c>
      <c r="EE271" s="2">
        <f t="shared" si="64"/>
        <v>0</v>
      </c>
      <c r="EF271" s="46">
        <f t="shared" si="65"/>
        <v>0</v>
      </c>
      <c r="EG271" s="46">
        <f t="shared" si="66"/>
        <v>0</v>
      </c>
      <c r="EH271" s="2" t="str">
        <f t="shared" si="67"/>
        <v>SD</v>
      </c>
      <c r="EI271" s="29">
        <f>IF(COUNT(I271:Y271)&lt;5,DZ271,SUMPRODUCT(LARGE(I271:Y271,{1,2,3,4,5}))/5)</f>
        <v>49.545191421478684</v>
      </c>
      <c r="EJ271" s="29">
        <f>IF(COUNT(I271:AX271)&lt;5,DZ271,SUMPRODUCT(LARGE(I271:AX271,{1,2,3,4,5}))/5)</f>
        <v>49.545191421478684</v>
      </c>
      <c r="EK271" s="112">
        <f>IF(EG271&lt;0,AVERAGE(I271:DY271),0)</f>
        <v>0</v>
      </c>
      <c r="EL271" s="29">
        <f t="shared" si="68"/>
        <v>0</v>
      </c>
      <c r="EM271" s="116" t="str">
        <f t="shared" si="69"/>
        <v>MACK, David</v>
      </c>
      <c r="EQ271"/>
    </row>
    <row r="272" spans="1:147" x14ac:dyDescent="0.25">
      <c r="A272" s="59">
        <f t="shared" si="70"/>
        <v>269</v>
      </c>
      <c r="B272" s="32" t="s">
        <v>217</v>
      </c>
      <c r="C272" s="5" t="s">
        <v>6</v>
      </c>
      <c r="D272" s="6" t="s">
        <v>62</v>
      </c>
      <c r="E272" s="6">
        <v>57.614561830609397</v>
      </c>
      <c r="F272" s="6">
        <v>57.614561830609397</v>
      </c>
      <c r="G272" s="5">
        <f t="shared" si="58"/>
        <v>0</v>
      </c>
      <c r="H272" s="37">
        <v>57.614561830609397</v>
      </c>
      <c r="I272" s="36"/>
      <c r="J272" s="7"/>
      <c r="K272" s="7"/>
      <c r="L272" s="7"/>
      <c r="M272" s="74"/>
      <c r="N272" s="74"/>
      <c r="O272" s="7"/>
      <c r="P272" s="74"/>
      <c r="Q272" s="74"/>
      <c r="R272" s="74"/>
      <c r="S272" s="74"/>
      <c r="T272" s="7"/>
      <c r="U272" s="7"/>
      <c r="V272" s="74"/>
      <c r="W272" s="74"/>
      <c r="X272" s="74"/>
      <c r="Y272" s="229"/>
      <c r="Z272" s="230"/>
      <c r="AA272" s="74"/>
      <c r="AB272" s="74"/>
      <c r="AC272" s="74"/>
      <c r="AD272" s="74"/>
      <c r="AE272" s="7"/>
      <c r="AF272" s="74"/>
      <c r="AG272" s="74"/>
      <c r="AH272" s="7"/>
      <c r="AI272" s="7"/>
      <c r="AJ272" s="7"/>
      <c r="AK272" s="7"/>
      <c r="AL272" s="7"/>
      <c r="AM272" s="7"/>
      <c r="AN272" s="7"/>
      <c r="AO272" s="74"/>
      <c r="AP272" s="7"/>
      <c r="AQ272" s="74"/>
      <c r="AR272" s="101"/>
      <c r="AS272" s="7"/>
      <c r="AT272" s="101"/>
      <c r="AU272" s="7"/>
      <c r="AV272" s="101"/>
      <c r="AW272" s="7"/>
      <c r="AX272" s="8"/>
      <c r="AY272" s="36"/>
      <c r="AZ272" s="74"/>
      <c r="BA272" s="74"/>
      <c r="BB272" s="74"/>
      <c r="BC272" s="74"/>
      <c r="BD272" s="7"/>
      <c r="BE272" s="7"/>
      <c r="BF272" s="74"/>
      <c r="BG272" s="74"/>
      <c r="BH272" s="74"/>
      <c r="BI272" s="74"/>
      <c r="BJ272" s="74"/>
      <c r="BK272" s="7"/>
      <c r="BL272" s="74"/>
      <c r="BM272" s="7"/>
      <c r="BN272" s="74"/>
      <c r="BO272" s="74"/>
      <c r="BP272" s="7"/>
      <c r="BQ272" s="7"/>
      <c r="BR272" s="74"/>
      <c r="BS272" s="7"/>
      <c r="BT272" s="7"/>
      <c r="BU272" s="74"/>
      <c r="BV272" s="74"/>
      <c r="BW272" s="74"/>
      <c r="BX272" s="74"/>
      <c r="BY272" s="74"/>
      <c r="BZ272" s="74"/>
      <c r="CA272" s="7"/>
      <c r="CB272" s="74"/>
      <c r="CC272" s="74"/>
      <c r="CD272" s="74"/>
      <c r="CE272" s="7"/>
      <c r="CF272" s="74"/>
      <c r="CG272" s="74"/>
      <c r="CH272" s="7"/>
      <c r="CI272" s="74"/>
      <c r="CJ272" s="74"/>
      <c r="CK272" s="101"/>
      <c r="CL272" s="74"/>
      <c r="CM272" s="74"/>
      <c r="CN272" s="74"/>
      <c r="CO272" s="101"/>
      <c r="CP272" s="74"/>
      <c r="CQ272" s="74"/>
      <c r="CR272" s="74"/>
      <c r="CS272" s="74"/>
      <c r="CT272" s="74"/>
      <c r="CU272" s="74"/>
      <c r="CV272" s="74"/>
      <c r="CW272" s="74"/>
      <c r="CX272" s="7"/>
      <c r="CY272" s="7"/>
      <c r="CZ272" s="74"/>
      <c r="DA272" s="74"/>
      <c r="DB272" s="74"/>
      <c r="DC272" s="74"/>
      <c r="DD272" s="74"/>
      <c r="DE272" s="74"/>
      <c r="DF272" s="74"/>
      <c r="DG272" s="74"/>
      <c r="DH272" s="74"/>
      <c r="DI272" s="74"/>
      <c r="DJ272" s="74"/>
      <c r="DK272" s="74"/>
      <c r="DL272" s="74"/>
      <c r="DM272" s="74"/>
      <c r="DN272" s="74"/>
      <c r="DO272" s="74"/>
      <c r="DP272" s="74"/>
      <c r="DQ272" s="74"/>
      <c r="DR272" s="7"/>
      <c r="DS272" s="7"/>
      <c r="DT272" s="74"/>
      <c r="DU272" s="74"/>
      <c r="DV272" s="74"/>
      <c r="DW272" s="74"/>
      <c r="DX272" s="74"/>
      <c r="DY272" s="74"/>
      <c r="DZ272" s="8">
        <f t="shared" si="60"/>
        <v>57.614561830609397</v>
      </c>
      <c r="EA272" s="3" t="str">
        <f t="shared" si="61"/>
        <v>Majors, Paul</v>
      </c>
      <c r="EB272" s="2">
        <f t="shared" si="62"/>
        <v>0</v>
      </c>
      <c r="EC272" s="112">
        <f t="shared" si="59"/>
        <v>57.614561830609397</v>
      </c>
      <c r="ED272" s="29">
        <f t="shared" si="63"/>
        <v>0</v>
      </c>
      <c r="EE272" s="2">
        <f t="shared" si="64"/>
        <v>0</v>
      </c>
      <c r="EF272" s="46">
        <f t="shared" si="65"/>
        <v>0</v>
      </c>
      <c r="EG272" s="46">
        <f t="shared" si="66"/>
        <v>0</v>
      </c>
      <c r="EH272" s="29" t="str">
        <f t="shared" si="67"/>
        <v>CO</v>
      </c>
      <c r="EI272" s="29">
        <f>IF(COUNT(I272:Y272)&lt;5,DZ272,SUMPRODUCT(LARGE(I272:Y272,{1,2,3,4,5}))/5)</f>
        <v>57.614561830609397</v>
      </c>
      <c r="EJ272" s="29">
        <f>IF(COUNT(I272:AX272)&lt;5,DZ272,SUMPRODUCT(LARGE(I272:AX272,{1,2,3,4,5}))/5)</f>
        <v>57.614561830609397</v>
      </c>
      <c r="EK272" s="112">
        <f>IF(EG272&lt;0,AVERAGE(I272:DY272),0)</f>
        <v>0</v>
      </c>
      <c r="EL272" s="29">
        <f t="shared" si="68"/>
        <v>0</v>
      </c>
      <c r="EM272" s="116" t="str">
        <f t="shared" si="69"/>
        <v>Majors, Paul</v>
      </c>
      <c r="EQ272"/>
    </row>
    <row r="273" spans="1:147" x14ac:dyDescent="0.25">
      <c r="A273" s="59">
        <f t="shared" si="70"/>
        <v>270</v>
      </c>
      <c r="B273" s="32" t="s">
        <v>725</v>
      </c>
      <c r="C273" s="5" t="s">
        <v>6</v>
      </c>
      <c r="D273" s="6" t="s">
        <v>87</v>
      </c>
      <c r="E273" s="6">
        <v>36.910937332193264</v>
      </c>
      <c r="F273" s="6">
        <v>36.910937332193264</v>
      </c>
      <c r="G273" s="5">
        <f t="shared" si="58"/>
        <v>0</v>
      </c>
      <c r="H273" s="37">
        <v>36.910937332193264</v>
      </c>
      <c r="I273" s="36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227"/>
      <c r="Z273" s="228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4"/>
      <c r="AP273" s="7"/>
      <c r="AQ273" s="74"/>
      <c r="AR273" s="70"/>
      <c r="AS273" s="7"/>
      <c r="AT273" s="70"/>
      <c r="AU273" s="7"/>
      <c r="AV273" s="70"/>
      <c r="AW273" s="7"/>
      <c r="AX273" s="8"/>
      <c r="AY273" s="36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4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0"/>
      <c r="CJ273" s="7"/>
      <c r="CK273" s="101"/>
      <c r="CL273" s="74"/>
      <c r="CM273" s="74"/>
      <c r="CN273" s="74"/>
      <c r="CO273" s="70"/>
      <c r="CP273" s="74"/>
      <c r="CQ273" s="7"/>
      <c r="CR273" s="74"/>
      <c r="CS273" s="74"/>
      <c r="CT273" s="74"/>
      <c r="CU273" s="74"/>
      <c r="CV273" s="7"/>
      <c r="CW273" s="7"/>
      <c r="CX273" s="7"/>
      <c r="CY273" s="7"/>
      <c r="CZ273" s="7"/>
      <c r="DA273" s="7"/>
      <c r="DB273" s="7"/>
      <c r="DC273" s="7"/>
      <c r="DD273" s="7"/>
      <c r="DE273" s="74"/>
      <c r="DF273" s="74"/>
      <c r="DG273" s="74"/>
      <c r="DH273" s="7"/>
      <c r="DI273" s="74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8">
        <f t="shared" si="60"/>
        <v>36.910937332193264</v>
      </c>
      <c r="EA273" s="3" t="str">
        <f t="shared" si="61"/>
        <v>Markert, Daniel</v>
      </c>
      <c r="EB273" s="2">
        <f t="shared" si="62"/>
        <v>0</v>
      </c>
      <c r="EC273" s="112">
        <f t="shared" si="59"/>
        <v>36.910937332193264</v>
      </c>
      <c r="ED273" s="29">
        <f t="shared" si="63"/>
        <v>0</v>
      </c>
      <c r="EE273" s="2">
        <f t="shared" si="64"/>
        <v>0</v>
      </c>
      <c r="EF273" s="46">
        <f t="shared" si="65"/>
        <v>0</v>
      </c>
      <c r="EG273" s="46">
        <f t="shared" si="66"/>
        <v>0</v>
      </c>
      <c r="EH273" s="2" t="str">
        <f t="shared" si="67"/>
        <v>CA</v>
      </c>
      <c r="EI273" s="29">
        <f>IF(COUNT(I273:Y273)&lt;5,DZ273,SUMPRODUCT(LARGE(I273:Y273,{1,2,3,4,5}))/5)</f>
        <v>36.910937332193264</v>
      </c>
      <c r="EJ273" s="29">
        <f>IF(COUNT(I273:AX273)&lt;5,DZ273,SUMPRODUCT(LARGE(I273:AX273,{1,2,3,4,5}))/5)</f>
        <v>36.910937332193264</v>
      </c>
      <c r="EK273" s="112">
        <f>IF(EG273&lt;0,AVERAGE(I273:DY273),0)</f>
        <v>0</v>
      </c>
      <c r="EL273" s="29">
        <f t="shared" si="68"/>
        <v>0</v>
      </c>
      <c r="EM273" s="116" t="str">
        <f t="shared" si="69"/>
        <v>Markert, Daniel</v>
      </c>
      <c r="EQ273"/>
    </row>
    <row r="274" spans="1:147" x14ac:dyDescent="0.25">
      <c r="A274" s="59">
        <f t="shared" si="70"/>
        <v>271</v>
      </c>
      <c r="B274" s="4" t="s">
        <v>1106</v>
      </c>
      <c r="C274" s="5" t="s">
        <v>16</v>
      </c>
      <c r="D274" s="6" t="s">
        <v>63</v>
      </c>
      <c r="E274" s="6">
        <v>0</v>
      </c>
      <c r="F274" s="6">
        <v>49.16342616001247</v>
      </c>
      <c r="G274" s="5">
        <f t="shared" si="58"/>
        <v>1</v>
      </c>
      <c r="H274" s="99">
        <v>0</v>
      </c>
      <c r="I274" s="36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227"/>
      <c r="Z274" s="228"/>
      <c r="AA274" s="7"/>
      <c r="AB274" s="7"/>
      <c r="AC274" s="7"/>
      <c r="AD274" s="7"/>
      <c r="AE274" s="74"/>
      <c r="AF274" s="7"/>
      <c r="AG274" s="7"/>
      <c r="AH274" s="7"/>
      <c r="AI274" s="7"/>
      <c r="AJ274" s="7"/>
      <c r="AK274" s="7"/>
      <c r="AL274" s="7"/>
      <c r="AM274" s="7"/>
      <c r="AN274" s="7"/>
      <c r="AO274" s="74"/>
      <c r="AP274" s="7"/>
      <c r="AQ274" s="74"/>
      <c r="AR274" s="70"/>
      <c r="AS274" s="74">
        <f>(INDEX('Race 37'!$E$8:$E$200,(MATCH($B274,'Race 37'!$B$8:$B$200,0)),1))*100</f>
        <v>49.16342616001247</v>
      </c>
      <c r="AT274" s="70"/>
      <c r="AU274" s="7"/>
      <c r="AV274" s="70"/>
      <c r="AW274" s="7"/>
      <c r="AX274" s="183"/>
      <c r="AY274" s="10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101"/>
      <c r="CL274" s="74"/>
      <c r="CM274" s="74"/>
      <c r="CN274" s="74"/>
      <c r="CO274" s="70"/>
      <c r="CP274" s="74"/>
      <c r="CQ274" s="7"/>
      <c r="CR274" s="74"/>
      <c r="CS274" s="74"/>
      <c r="CT274" s="74"/>
      <c r="CU274" s="74"/>
      <c r="CV274" s="74"/>
      <c r="CW274" s="7"/>
      <c r="CX274" s="7"/>
      <c r="CY274" s="7"/>
      <c r="CZ274" s="7"/>
      <c r="DA274" s="7"/>
      <c r="DB274" s="74"/>
      <c r="DC274" s="7"/>
      <c r="DD274" s="7"/>
      <c r="DE274" s="74"/>
      <c r="DF274" s="74"/>
      <c r="DG274" s="74"/>
      <c r="DH274" s="74"/>
      <c r="DI274" s="74"/>
      <c r="DJ274" s="74"/>
      <c r="DK274" s="7"/>
      <c r="DL274" s="74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8">
        <f t="shared" si="60"/>
        <v>49.16342616001247</v>
      </c>
      <c r="EA274" s="3" t="str">
        <f t="shared" si="61"/>
        <v>Martell, Charles</v>
      </c>
      <c r="EB274" s="2">
        <f t="shared" si="62"/>
        <v>1</v>
      </c>
      <c r="EC274" s="112">
        <f t="shared" si="59"/>
        <v>0</v>
      </c>
      <c r="ED274" s="29">
        <f t="shared" si="63"/>
        <v>48.370155608040605</v>
      </c>
      <c r="EE274" s="2">
        <f t="shared" si="64"/>
        <v>0</v>
      </c>
      <c r="EF274" s="46">
        <f t="shared" si="65"/>
        <v>1</v>
      </c>
      <c r="EG274" s="46">
        <f t="shared" si="66"/>
        <v>1</v>
      </c>
      <c r="EH274" s="2" t="str">
        <f t="shared" si="67"/>
        <v>VT</v>
      </c>
      <c r="EI274" s="29">
        <f>IF(COUNT(I274:AD274)&lt;5,DZ274,SUMPRODUCT(LARGE(I274:AD274,{1,2,3,4,5}))/5)</f>
        <v>49.16342616001247</v>
      </c>
      <c r="EJ274" s="29">
        <f>IF(COUNT(I274:AX274)&lt;5,DZ274,SUMPRODUCT(LARGE(I274:AX274,{1,2,3,4,5}))/5)</f>
        <v>49.16342616001247</v>
      </c>
      <c r="EK274" s="29">
        <f>IF(COUNT(I274:DY274)&lt;5,AVERAGE(I274:DY274),SUMPRODUCT(LARGE(I274:DY274,{1,2,3,4,5}))/5)</f>
        <v>49.16342616001247</v>
      </c>
      <c r="EL274" s="29">
        <f t="shared" si="68"/>
        <v>48.370155608040605</v>
      </c>
      <c r="EM274" s="116" t="str">
        <f t="shared" si="69"/>
        <v>Martell, Charles</v>
      </c>
      <c r="EQ274"/>
    </row>
    <row r="275" spans="1:147" x14ac:dyDescent="0.25">
      <c r="A275" s="59">
        <f t="shared" si="70"/>
        <v>272</v>
      </c>
      <c r="B275" s="32" t="s">
        <v>837</v>
      </c>
      <c r="C275" s="5" t="s">
        <v>6</v>
      </c>
      <c r="D275" s="6" t="s">
        <v>62</v>
      </c>
      <c r="E275" s="6">
        <v>34.2148751045547</v>
      </c>
      <c r="F275" s="6">
        <v>34.2148751045547</v>
      </c>
      <c r="G275" s="5">
        <f t="shared" si="58"/>
        <v>0</v>
      </c>
      <c r="H275" s="37">
        <v>34.2148751045547</v>
      </c>
      <c r="I275" s="36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227"/>
      <c r="Z275" s="228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4"/>
      <c r="AP275" s="7"/>
      <c r="AQ275" s="74"/>
      <c r="AR275" s="70"/>
      <c r="AS275" s="7"/>
      <c r="AT275" s="70"/>
      <c r="AU275" s="7"/>
      <c r="AV275" s="70"/>
      <c r="AW275" s="7"/>
      <c r="AX275" s="183"/>
      <c r="AY275" s="10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4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4"/>
      <c r="CF275" s="103"/>
      <c r="CG275" s="7"/>
      <c r="CH275" s="7"/>
      <c r="CI275" s="7"/>
      <c r="CJ275" s="7"/>
      <c r="CK275" s="101"/>
      <c r="CL275" s="74"/>
      <c r="CM275" s="74"/>
      <c r="CN275" s="74"/>
      <c r="CO275" s="70"/>
      <c r="CP275" s="74"/>
      <c r="CQ275" s="7"/>
      <c r="CR275" s="74"/>
      <c r="CS275" s="74"/>
      <c r="CT275" s="74"/>
      <c r="CU275" s="74"/>
      <c r="CV275" s="7"/>
      <c r="CW275" s="7"/>
      <c r="CX275" s="7"/>
      <c r="CY275" s="7"/>
      <c r="CZ275" s="7"/>
      <c r="DA275" s="7"/>
      <c r="DB275" s="7"/>
      <c r="DC275" s="7"/>
      <c r="DD275" s="7"/>
      <c r="DE275" s="74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8">
        <f t="shared" si="60"/>
        <v>34.2148751045547</v>
      </c>
      <c r="EA275" s="3" t="str">
        <f t="shared" si="61"/>
        <v>Martin, Brett</v>
      </c>
      <c r="EB275" s="2">
        <f t="shared" si="62"/>
        <v>0</v>
      </c>
      <c r="EC275" s="112">
        <f t="shared" si="59"/>
        <v>34.2148751045547</v>
      </c>
      <c r="ED275" s="29">
        <f t="shared" si="63"/>
        <v>0</v>
      </c>
      <c r="EE275" s="2">
        <f t="shared" si="64"/>
        <v>0</v>
      </c>
      <c r="EF275" s="46">
        <f t="shared" si="65"/>
        <v>0</v>
      </c>
      <c r="EG275" s="46">
        <f t="shared" si="66"/>
        <v>0</v>
      </c>
      <c r="EH275" s="29" t="str">
        <f t="shared" si="67"/>
        <v>CO</v>
      </c>
      <c r="EI275" s="29">
        <f>IF(COUNT(I275:Y275)&lt;5,DZ275,SUMPRODUCT(LARGE(I275:Y275,{1,2,3,4,5}))/5)</f>
        <v>34.2148751045547</v>
      </c>
      <c r="EJ275" s="29">
        <f>IF(COUNT(I275:AX275)&lt;5,DZ275,SUMPRODUCT(LARGE(I275:AX275,{1,2,3,4,5}))/5)</f>
        <v>34.2148751045547</v>
      </c>
      <c r="EK275" s="112">
        <f>IF(EG275&lt;0,AVERAGE(I275:DY275),0)</f>
        <v>0</v>
      </c>
      <c r="EL275" s="29">
        <f t="shared" si="68"/>
        <v>0</v>
      </c>
      <c r="EM275" s="116" t="str">
        <f t="shared" si="69"/>
        <v>Martin, Brett</v>
      </c>
      <c r="EQ275"/>
    </row>
    <row r="276" spans="1:147" x14ac:dyDescent="0.25">
      <c r="A276" s="59">
        <f t="shared" si="70"/>
        <v>273</v>
      </c>
      <c r="B276" s="32" t="s">
        <v>731</v>
      </c>
      <c r="C276" s="5" t="s">
        <v>6</v>
      </c>
      <c r="D276" s="6" t="s">
        <v>57</v>
      </c>
      <c r="E276" s="6">
        <v>45.896656893682632</v>
      </c>
      <c r="F276" s="6">
        <v>46.883048266286252</v>
      </c>
      <c r="G276" s="5">
        <f t="shared" si="58"/>
        <v>5</v>
      </c>
      <c r="H276" s="37">
        <v>45.896656893682632</v>
      </c>
      <c r="I276" s="36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227"/>
      <c r="Z276" s="228"/>
      <c r="AA276" s="7"/>
      <c r="AB276" s="7"/>
      <c r="AC276" s="7"/>
      <c r="AD276" s="7"/>
      <c r="AE276" s="7"/>
      <c r="AF276" s="7"/>
      <c r="AG276" s="7"/>
      <c r="AH276" s="7"/>
      <c r="AI276" s="7"/>
      <c r="AJ276" s="74">
        <f>(INDEX('Race 28'!$E$8:$E$200,(MATCH($B276,'Race 28'!$B$8:$B$200,0)),1))*100</f>
        <v>46.089867961234312</v>
      </c>
      <c r="AK276" s="74">
        <f>(INDEX('Race 29'!$E$8:$E$200,(MATCH($B276,'Race 29'!$B$8:$B$200,0)),1))*100</f>
        <v>48.627906220868923</v>
      </c>
      <c r="AL276" s="7"/>
      <c r="AM276" s="7"/>
      <c r="AN276" s="7"/>
      <c r="AO276" s="74"/>
      <c r="AP276" s="7"/>
      <c r="AQ276" s="74"/>
      <c r="AR276" s="101">
        <f>(INDEX('Race 36'!$E$8:$E$200,(MATCH($B276,'Race 36'!$B$8:$B$200,0)),1))*100</f>
        <v>46.531684643811502</v>
      </c>
      <c r="AS276" s="70"/>
      <c r="AT276" s="70"/>
      <c r="AU276" s="7"/>
      <c r="AV276" s="70">
        <f>(INDEX('Race 40'!$E$8:$E$200,(MATCH($B276,'Race 40'!$B$8:$B$200,0)),1))*100</f>
        <v>47.246109260091615</v>
      </c>
      <c r="AW276" s="7"/>
      <c r="AX276" s="8"/>
      <c r="AY276" s="36">
        <f>(INDEX('Race 43'!$E$8:$E$200,(MATCH($B276,'Race 43'!$B$8:$B$200,0)),1))*100</f>
        <v>46.507756016165779</v>
      </c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4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101"/>
      <c r="CL276" s="74"/>
      <c r="CM276" s="74"/>
      <c r="CN276" s="74"/>
      <c r="CO276" s="70"/>
      <c r="CP276" s="101"/>
      <c r="CQ276" s="7"/>
      <c r="CR276" s="74"/>
      <c r="CS276" s="74"/>
      <c r="CT276" s="74"/>
      <c r="CU276" s="74"/>
      <c r="CV276" s="7"/>
      <c r="CW276" s="7"/>
      <c r="CX276" s="7"/>
      <c r="CY276" s="7"/>
      <c r="CZ276" s="7"/>
      <c r="DA276" s="7"/>
      <c r="DB276" s="7"/>
      <c r="DC276" s="7"/>
      <c r="DD276" s="7"/>
      <c r="DE276" s="74"/>
      <c r="DF276" s="74"/>
      <c r="DG276" s="74"/>
      <c r="DH276" s="7"/>
      <c r="DI276" s="74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8">
        <f t="shared" si="60"/>
        <v>47.00066482043443</v>
      </c>
      <c r="EA276" s="3" t="str">
        <f t="shared" si="61"/>
        <v>Maslanka, Gary</v>
      </c>
      <c r="EB276" s="2">
        <f t="shared" si="62"/>
        <v>1</v>
      </c>
      <c r="EC276" s="112">
        <f t="shared" si="59"/>
        <v>45.896656893682632</v>
      </c>
      <c r="ED276" s="29">
        <f t="shared" si="63"/>
        <v>46.242291244032302</v>
      </c>
      <c r="EE276" s="2">
        <f t="shared" si="64"/>
        <v>0</v>
      </c>
      <c r="EF276" s="46">
        <f t="shared" si="65"/>
        <v>5</v>
      </c>
      <c r="EG276" s="46">
        <f t="shared" si="66"/>
        <v>5</v>
      </c>
      <c r="EH276" s="29" t="str">
        <f t="shared" si="67"/>
        <v>NY</v>
      </c>
      <c r="EI276" s="29">
        <f>IF(COUNT(I276:Y276)&lt;5,DZ276,SUMPRODUCT(LARGE(I276:Y276,{1,2,3,4,5}))/5)</f>
        <v>47.00066482043443</v>
      </c>
      <c r="EJ276" s="29">
        <f>IF(COUNT(I276:AX276)&lt;5,DZ276,SUMPRODUCT(LARGE(I276:AX276,{1,2,3,4,5}))/5)</f>
        <v>47.00066482043443</v>
      </c>
      <c r="EK276" s="29">
        <f>IF(COUNT(I276:DY276)&lt;5,AVERAGE(I276:DY276),SUMPRODUCT(LARGE(I276:DY276,{1,2,3,4,5}))/5)</f>
        <v>47.00066482043443</v>
      </c>
      <c r="EL276" s="29">
        <f t="shared" si="68"/>
        <v>46.242291244032302</v>
      </c>
      <c r="EM276" s="116" t="str">
        <f t="shared" si="69"/>
        <v>Maslanka, Gary</v>
      </c>
      <c r="EQ276"/>
    </row>
    <row r="277" spans="1:147" x14ac:dyDescent="0.25">
      <c r="A277" s="59">
        <f t="shared" si="70"/>
        <v>274</v>
      </c>
      <c r="B277" s="32" t="s">
        <v>1136</v>
      </c>
      <c r="C277" s="5" t="s">
        <v>6</v>
      </c>
      <c r="D277" s="6" t="s">
        <v>143</v>
      </c>
      <c r="E277" s="6">
        <v>0</v>
      </c>
      <c r="F277" s="6">
        <v>47.321564108669563</v>
      </c>
      <c r="G277" s="5">
        <f t="shared" si="58"/>
        <v>2</v>
      </c>
      <c r="H277" s="37">
        <v>0</v>
      </c>
      <c r="I277" s="36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227"/>
      <c r="Z277" s="228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4"/>
      <c r="AP277" s="7"/>
      <c r="AQ277" s="74"/>
      <c r="AR277" s="70"/>
      <c r="AS277" s="70"/>
      <c r="AT277" s="70"/>
      <c r="AU277" s="7"/>
      <c r="AV277" s="70"/>
      <c r="AW277" s="7">
        <f>(INDEX('Race 41'!$E$8:$E$200,(MATCH($B277,'Race 41'!$B$8:$B$200,0)),1))*100</f>
        <v>45.706971116932458</v>
      </c>
      <c r="AX277" s="8">
        <f>(INDEX('Race 42'!$E$8:$E$200,(MATCH($B277,'Race 42'!$B$8:$B$200,0)),1))*100</f>
        <v>48.936157100406675</v>
      </c>
      <c r="AY277" s="36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4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4"/>
      <c r="CF277" s="74"/>
      <c r="CG277" s="7"/>
      <c r="CH277" s="7"/>
      <c r="CI277" s="7"/>
      <c r="CJ277" s="7"/>
      <c r="CK277" s="101"/>
      <c r="CL277" s="74"/>
      <c r="CM277" s="74"/>
      <c r="CN277" s="74"/>
      <c r="CO277" s="70"/>
      <c r="CP277" s="101"/>
      <c r="CQ277" s="7"/>
      <c r="CR277" s="74"/>
      <c r="CS277" s="74"/>
      <c r="CT277" s="74"/>
      <c r="CU277" s="74"/>
      <c r="CV277" s="7"/>
      <c r="CW277" s="7"/>
      <c r="CX277" s="7"/>
      <c r="CY277" s="7"/>
      <c r="CZ277" s="7"/>
      <c r="DA277" s="7"/>
      <c r="DB277" s="7"/>
      <c r="DC277" s="7"/>
      <c r="DD277" s="7"/>
      <c r="DE277" s="74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8">
        <f t="shared" si="60"/>
        <v>47.321564108669563</v>
      </c>
      <c r="EA277" s="3" t="str">
        <f t="shared" si="61"/>
        <v>Mauger, Josh</v>
      </c>
      <c r="EB277" s="2">
        <f t="shared" si="62"/>
        <v>1</v>
      </c>
      <c r="EC277" s="29">
        <v>0</v>
      </c>
      <c r="ED277" s="29">
        <f t="shared" si="63"/>
        <v>46.55801270038328</v>
      </c>
      <c r="EE277" s="2">
        <f t="shared" si="64"/>
        <v>0</v>
      </c>
      <c r="EF277" s="46">
        <f t="shared" si="65"/>
        <v>2</v>
      </c>
      <c r="EG277" s="46">
        <f t="shared" si="66"/>
        <v>2</v>
      </c>
      <c r="EH277" s="29" t="str">
        <f t="shared" si="67"/>
        <v>PA</v>
      </c>
      <c r="EI277" s="29">
        <f>IF(COUNT(I277:AD277)&lt;5,DZ277,SUMPRODUCT(LARGE(I277:AD277,{1,2,3,4,5}))/5)</f>
        <v>47.321564108669563</v>
      </c>
      <c r="EJ277" s="29">
        <f>IF(COUNT(I277:AX277)&lt;5,DZ277,SUMPRODUCT(LARGE(I277:AX277,{1,2,3,4,5}))/5)</f>
        <v>47.321564108669563</v>
      </c>
      <c r="EK277" s="29">
        <f>IF(COUNT(I277:DY277)&lt;5,AVERAGE(I277:DY277),SUMPRODUCT(LARGE(I277:DY277,{1,2,3,4,5}))/5)</f>
        <v>47.321564108669563</v>
      </c>
      <c r="EL277" s="29">
        <f t="shared" si="68"/>
        <v>46.55801270038328</v>
      </c>
      <c r="EM277" s="116" t="str">
        <f t="shared" si="69"/>
        <v>Mauger, Josh</v>
      </c>
      <c r="EQ277"/>
    </row>
    <row r="278" spans="1:147" x14ac:dyDescent="0.25">
      <c r="A278" s="59">
        <f t="shared" si="70"/>
        <v>275</v>
      </c>
      <c r="B278" s="32" t="s">
        <v>1148</v>
      </c>
      <c r="C278" s="5" t="s">
        <v>6</v>
      </c>
      <c r="D278" s="6" t="s">
        <v>61</v>
      </c>
      <c r="E278" s="6">
        <v>0</v>
      </c>
      <c r="F278" s="6">
        <v>51.111342061151888</v>
      </c>
      <c r="G278" s="5">
        <f t="shared" si="58"/>
        <v>2</v>
      </c>
      <c r="H278" s="37">
        <v>0</v>
      </c>
      <c r="I278" s="10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227"/>
      <c r="Z278" s="228"/>
      <c r="AA278" s="7"/>
      <c r="AB278" s="7"/>
      <c r="AC278" s="7"/>
      <c r="AD278" s="7"/>
      <c r="AE278" s="74"/>
      <c r="AF278" s="7"/>
      <c r="AG278" s="7"/>
      <c r="AH278" s="7"/>
      <c r="AI278" s="7"/>
      <c r="AJ278" s="7"/>
      <c r="AK278" s="7"/>
      <c r="AL278" s="7"/>
      <c r="AM278" s="7"/>
      <c r="AN278" s="7"/>
      <c r="AO278" s="74"/>
      <c r="AP278" s="7"/>
      <c r="AQ278" s="74"/>
      <c r="AR278" s="70"/>
      <c r="AS278" s="7"/>
      <c r="AT278" s="70"/>
      <c r="AU278" s="7"/>
      <c r="AV278" s="70"/>
      <c r="AW278" s="7">
        <f>(INDEX('Race 41'!$E$8:$E$200,(MATCH($B278,'Race 41'!$B$8:$B$200,0)),1))*100</f>
        <v>46.232166123200564</v>
      </c>
      <c r="AX278" s="183">
        <f>(INDEX('Race 42'!$E$8:$E$200,(MATCH($B278,'Race 42'!$B$8:$B$200,0)),1))*100</f>
        <v>55.990517999103204</v>
      </c>
      <c r="AY278" s="107"/>
      <c r="AZ278" s="70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4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4"/>
      <c r="CG278" s="7"/>
      <c r="CH278" s="7"/>
      <c r="CI278" s="7"/>
      <c r="CJ278" s="7"/>
      <c r="CK278" s="101"/>
      <c r="CL278" s="74"/>
      <c r="CM278" s="74"/>
      <c r="CN278" s="74"/>
      <c r="CO278" s="70"/>
      <c r="CP278" s="74"/>
      <c r="CQ278" s="7"/>
      <c r="CR278" s="74"/>
      <c r="CS278" s="74"/>
      <c r="CT278" s="74"/>
      <c r="CU278" s="74"/>
      <c r="CV278" s="7"/>
      <c r="CW278" s="7"/>
      <c r="CX278" s="7"/>
      <c r="CY278" s="7"/>
      <c r="CZ278" s="7"/>
      <c r="DA278" s="7"/>
      <c r="DB278" s="7"/>
      <c r="DC278" s="7"/>
      <c r="DD278" s="7"/>
      <c r="DE278" s="74"/>
      <c r="DF278" s="74"/>
      <c r="DG278" s="74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8">
        <f t="shared" si="60"/>
        <v>51.111342061151888</v>
      </c>
      <c r="EA278" s="3" t="str">
        <f t="shared" si="61"/>
        <v>Maxey, Mathew</v>
      </c>
      <c r="EB278" s="2">
        <f t="shared" si="62"/>
        <v>1</v>
      </c>
      <c r="EC278" s="112">
        <f t="shared" ref="EC278:EC284" si="71">H278</f>
        <v>0</v>
      </c>
      <c r="ED278" s="29">
        <f t="shared" si="63"/>
        <v>50.28664114635172</v>
      </c>
      <c r="EE278" s="2">
        <f t="shared" si="64"/>
        <v>0</v>
      </c>
      <c r="EF278" s="46">
        <f t="shared" si="65"/>
        <v>2</v>
      </c>
      <c r="EG278" s="46">
        <f t="shared" si="66"/>
        <v>2</v>
      </c>
      <c r="EH278" s="2" t="str">
        <f t="shared" si="67"/>
        <v>AK</v>
      </c>
      <c r="EI278" s="29">
        <f>IF(COUNT(I278:AD278)&lt;5,DZ278,SUMPRODUCT(LARGE(I278:AD278,{1,2,3,4,5}))/5)</f>
        <v>51.111342061151888</v>
      </c>
      <c r="EJ278" s="29">
        <f>IF(COUNT(I278:AX278)&lt;5,DZ278,SUMPRODUCT(LARGE(I278:AX278,{1,2,3,4,5}))/5)</f>
        <v>51.111342061151888</v>
      </c>
      <c r="EK278" s="29">
        <f>IF(COUNT(I278:DY278)&lt;5,AVERAGE(I278:DY278),SUMPRODUCT(LARGE(I278:DY278,{1,2,3,4,5}))/5)</f>
        <v>51.111342061151888</v>
      </c>
      <c r="EL278" s="29">
        <f t="shared" si="68"/>
        <v>50.28664114635172</v>
      </c>
      <c r="EM278" s="116" t="str">
        <f t="shared" si="69"/>
        <v>Maxey, Mathew</v>
      </c>
      <c r="EQ278"/>
    </row>
    <row r="279" spans="1:147" x14ac:dyDescent="0.25">
      <c r="A279" s="59">
        <f t="shared" si="70"/>
        <v>276</v>
      </c>
      <c r="B279" s="32" t="s">
        <v>1008</v>
      </c>
      <c r="C279" s="106" t="s">
        <v>6</v>
      </c>
      <c r="D279" s="187" t="s">
        <v>67</v>
      </c>
      <c r="E279" s="6">
        <v>60.999032801433962</v>
      </c>
      <c r="F279" s="6">
        <v>60.999032801433962</v>
      </c>
      <c r="G279" s="5">
        <f t="shared" si="58"/>
        <v>1</v>
      </c>
      <c r="H279" s="37">
        <v>0</v>
      </c>
      <c r="I279" s="107">
        <f>(INDEX('Race 1'!$E$8:$E$200,(MATCH($B279,'Race 1'!$B$8:$B$200,0)),1))*100</f>
        <v>60.999032801433962</v>
      </c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229"/>
      <c r="Z279" s="230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101"/>
      <c r="AS279" s="74"/>
      <c r="AT279" s="101"/>
      <c r="AU279" s="74"/>
      <c r="AV279" s="101"/>
      <c r="AW279" s="74"/>
      <c r="AX279" s="8"/>
      <c r="AY279" s="36"/>
      <c r="AZ279" s="74"/>
      <c r="BA279" s="74"/>
      <c r="BB279" s="74"/>
      <c r="BC279" s="74"/>
      <c r="BD279" s="7"/>
      <c r="BE279" s="7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"/>
      <c r="BQ279" s="7"/>
      <c r="BR279" s="74"/>
      <c r="BS279" s="7"/>
      <c r="BT279" s="7"/>
      <c r="BU279" s="74"/>
      <c r="BV279" s="74"/>
      <c r="BW279" s="74"/>
      <c r="BX279" s="74"/>
      <c r="BY279" s="74"/>
      <c r="BZ279" s="74"/>
      <c r="CA279" s="7"/>
      <c r="CB279" s="74"/>
      <c r="CC279" s="101"/>
      <c r="CD279" s="74"/>
      <c r="CE279" s="74"/>
      <c r="CF279" s="74"/>
      <c r="CG279" s="74"/>
      <c r="CH279" s="74"/>
      <c r="CI279" s="74"/>
      <c r="CJ279" s="74"/>
      <c r="CK279" s="101"/>
      <c r="CL279" s="74"/>
      <c r="CM279" s="74"/>
      <c r="CN279" s="74"/>
      <c r="CO279" s="101"/>
      <c r="CP279" s="74"/>
      <c r="CQ279" s="74"/>
      <c r="CR279" s="74"/>
      <c r="CS279" s="74"/>
      <c r="CT279" s="74"/>
      <c r="CU279" s="74"/>
      <c r="CV279" s="74"/>
      <c r="CW279" s="74"/>
      <c r="CX279" s="7"/>
      <c r="CY279" s="7"/>
      <c r="CZ279" s="74"/>
      <c r="DA279" s="74"/>
      <c r="DB279" s="74"/>
      <c r="DC279" s="74"/>
      <c r="DD279" s="74"/>
      <c r="DE279" s="74"/>
      <c r="DF279" s="74"/>
      <c r="DG279" s="74"/>
      <c r="DH279" s="74"/>
      <c r="DI279" s="74"/>
      <c r="DJ279" s="74"/>
      <c r="DK279" s="74"/>
      <c r="DL279" s="74"/>
      <c r="DM279" s="74"/>
      <c r="DN279" s="74"/>
      <c r="DO279" s="74"/>
      <c r="DP279" s="74"/>
      <c r="DQ279" s="74"/>
      <c r="DR279" s="74"/>
      <c r="DS279" s="74"/>
      <c r="DT279" s="74"/>
      <c r="DU279" s="74"/>
      <c r="DV279" s="74"/>
      <c r="DW279" s="74"/>
      <c r="DX279" s="74"/>
      <c r="DY279" s="74"/>
      <c r="DZ279" s="8">
        <f t="shared" si="60"/>
        <v>60.999032801433962</v>
      </c>
      <c r="EA279" s="3" t="str">
        <f t="shared" si="61"/>
        <v xml:space="preserve">MCBRIDE, Russell </v>
      </c>
      <c r="EB279" s="2">
        <f t="shared" si="62"/>
        <v>1</v>
      </c>
      <c r="EC279" s="112">
        <f t="shared" si="71"/>
        <v>0</v>
      </c>
      <c r="ED279" s="29">
        <f t="shared" si="63"/>
        <v>60.01479024147379</v>
      </c>
      <c r="EE279" s="2">
        <f t="shared" si="64"/>
        <v>1</v>
      </c>
      <c r="EF279" s="46">
        <f t="shared" si="65"/>
        <v>1</v>
      </c>
      <c r="EG279" s="46">
        <f t="shared" si="66"/>
        <v>1</v>
      </c>
      <c r="EH279" s="29" t="str">
        <f t="shared" si="67"/>
        <v>UT</v>
      </c>
      <c r="EI279" s="29">
        <f>IF(COUNT(I279:Y279)&lt;5,DZ279,SUMPRODUCT(LARGE(I279:Y279,{1,2,3,4,5}))/5)</f>
        <v>60.999032801433962</v>
      </c>
      <c r="EJ279" s="29">
        <f>IF(COUNT(I279:AX279)&lt;5,DZ279,SUMPRODUCT(LARGE(I279:AX279,{1,2,3,4,5}))/5)</f>
        <v>60.999032801433962</v>
      </c>
      <c r="EK279" s="29">
        <f>IF(COUNT(I279:DY279)&lt;5,AVERAGE(I279:DY279),SUMPRODUCT(LARGE(I279:DY279,{1,2,3,4,5}))/5)</f>
        <v>60.999032801433962</v>
      </c>
      <c r="EL279" s="29">
        <f t="shared" si="68"/>
        <v>60.01479024147379</v>
      </c>
      <c r="EM279" s="116" t="str">
        <f t="shared" si="69"/>
        <v xml:space="preserve">MCBRIDE, Russell </v>
      </c>
      <c r="EQ279"/>
    </row>
    <row r="280" spans="1:147" x14ac:dyDescent="0.25">
      <c r="A280" s="59">
        <f t="shared" si="70"/>
        <v>277</v>
      </c>
      <c r="B280" s="32" t="s">
        <v>821</v>
      </c>
      <c r="C280" s="5" t="s">
        <v>6</v>
      </c>
      <c r="D280" s="5" t="s">
        <v>87</v>
      </c>
      <c r="E280" s="6">
        <v>0</v>
      </c>
      <c r="F280" s="6">
        <v>0</v>
      </c>
      <c r="G280" s="5">
        <f t="shared" si="58"/>
        <v>2</v>
      </c>
      <c r="H280" s="37">
        <v>0</v>
      </c>
      <c r="I280" s="107"/>
      <c r="J280" s="7"/>
      <c r="K280" s="74"/>
      <c r="L280" s="7"/>
      <c r="M280" s="74"/>
      <c r="N280" s="74"/>
      <c r="O280" s="7"/>
      <c r="P280" s="74"/>
      <c r="Q280" s="7"/>
      <c r="R280" s="74"/>
      <c r="S280" s="74"/>
      <c r="T280" s="7"/>
      <c r="U280" s="7"/>
      <c r="V280" s="74"/>
      <c r="W280" s="7"/>
      <c r="X280" s="74"/>
      <c r="Y280" s="227"/>
      <c r="Z280" s="228"/>
      <c r="AA280" s="74"/>
      <c r="AB280" s="74"/>
      <c r="AC280" s="74"/>
      <c r="AD280" s="74"/>
      <c r="AE280" s="7"/>
      <c r="AF280" s="74"/>
      <c r="AG280" s="74"/>
      <c r="AH280" s="7"/>
      <c r="AI280" s="7"/>
      <c r="AJ280" s="7"/>
      <c r="AK280" s="7"/>
      <c r="AL280" s="7"/>
      <c r="AM280" s="7"/>
      <c r="AN280" s="7"/>
      <c r="AO280" s="74"/>
      <c r="AP280" s="7"/>
      <c r="AQ280" s="74"/>
      <c r="AR280" s="101"/>
      <c r="AS280" s="7"/>
      <c r="AT280" s="101"/>
      <c r="AU280" s="7"/>
      <c r="AV280" s="101"/>
      <c r="AW280" s="7"/>
      <c r="AX280" s="8"/>
      <c r="AY280" s="36"/>
      <c r="AZ280" s="74"/>
      <c r="BA280" s="74"/>
      <c r="BB280" s="74"/>
      <c r="BC280" s="74"/>
      <c r="BD280" s="7"/>
      <c r="BE280" s="7"/>
      <c r="BF280" s="74"/>
      <c r="BG280" s="74"/>
      <c r="BH280" s="74"/>
      <c r="BI280" s="74"/>
      <c r="BJ280" s="74"/>
      <c r="BK280" s="7"/>
      <c r="BL280" s="74"/>
      <c r="BM280" s="7"/>
      <c r="BN280" s="74"/>
      <c r="BO280" s="74"/>
      <c r="BP280" s="7"/>
      <c r="BQ280" s="7"/>
      <c r="BR280" s="74"/>
      <c r="BS280" s="7"/>
      <c r="BT280" s="7"/>
      <c r="BU280" s="74"/>
      <c r="BV280" s="74"/>
      <c r="BW280" s="74"/>
      <c r="BX280" s="74"/>
      <c r="BY280" s="74"/>
      <c r="BZ280" s="74"/>
      <c r="CA280" s="7"/>
      <c r="CB280" s="74"/>
      <c r="CC280" s="74"/>
      <c r="CD280" s="74"/>
      <c r="CE280" s="74"/>
      <c r="CF280" s="74"/>
      <c r="CG280" s="74"/>
      <c r="CH280" s="74"/>
      <c r="CI280" s="74"/>
      <c r="CJ280" s="74"/>
      <c r="CK280" s="101"/>
      <c r="CL280" s="74"/>
      <c r="CM280" s="74"/>
      <c r="CN280" s="74"/>
      <c r="CO280" s="101"/>
      <c r="CP280" s="74"/>
      <c r="CQ280" s="74"/>
      <c r="CR280" s="74">
        <f>(INDEX('Race 88'!$E$8:$E$200,(MATCH($B280,'Race 88'!$B$8:$B$200,0)),1))*100</f>
        <v>52.030880773488185</v>
      </c>
      <c r="CS280" s="74">
        <f>(INDEX('Race 89'!$E$8:$E$200,(MATCH($B280,'Race 89'!$B$8:$B$200,0)),1))*100</f>
        <v>58.535955784976622</v>
      </c>
      <c r="CT280" s="74"/>
      <c r="CU280" s="74"/>
      <c r="CV280" s="74"/>
      <c r="CW280" s="74"/>
      <c r="CX280" s="7"/>
      <c r="CY280" s="7"/>
      <c r="CZ280" s="74"/>
      <c r="DA280" s="74"/>
      <c r="DB280" s="74"/>
      <c r="DC280" s="74"/>
      <c r="DD280" s="74"/>
      <c r="DE280" s="74"/>
      <c r="DF280" s="74"/>
      <c r="DG280" s="74"/>
      <c r="DH280" s="74"/>
      <c r="DI280" s="74"/>
      <c r="DJ280" s="74"/>
      <c r="DK280" s="74"/>
      <c r="DL280" s="74"/>
      <c r="DM280" s="74"/>
      <c r="DN280" s="74"/>
      <c r="DO280" s="74"/>
      <c r="DP280" s="74"/>
      <c r="DQ280" s="74"/>
      <c r="DR280" s="74"/>
      <c r="DS280" s="74"/>
      <c r="DT280" s="74"/>
      <c r="DU280" s="74"/>
      <c r="DV280" s="74"/>
      <c r="DW280" s="74"/>
      <c r="DX280" s="74"/>
      <c r="DY280" s="74"/>
      <c r="DZ280" s="8">
        <f t="shared" si="60"/>
        <v>55.283418279232407</v>
      </c>
      <c r="EA280" s="3" t="str">
        <f t="shared" si="61"/>
        <v>McCandless, Paul</v>
      </c>
      <c r="EB280" s="2">
        <f t="shared" si="62"/>
        <v>1</v>
      </c>
      <c r="EC280" s="112">
        <f t="shared" si="71"/>
        <v>0</v>
      </c>
      <c r="ED280" s="29">
        <f t="shared" si="63"/>
        <v>54.391399330216856</v>
      </c>
      <c r="EE280" s="2">
        <f t="shared" si="64"/>
        <v>0</v>
      </c>
      <c r="EF280" s="46">
        <f t="shared" si="65"/>
        <v>0</v>
      </c>
      <c r="EG280" s="46">
        <f t="shared" si="66"/>
        <v>2</v>
      </c>
      <c r="EH280" s="2" t="str">
        <f t="shared" si="67"/>
        <v>CA</v>
      </c>
      <c r="EI280" s="29">
        <f>IF(COUNT(I280:AD280)&lt;5,DZ280,SUMPRODUCT(LARGE(I280:AD280,{1,2,3,4,5}))/5)</f>
        <v>55.283418279232407</v>
      </c>
      <c r="EJ280" s="29">
        <f>IF(COUNT(I280:BE280)&lt;5,DZ280,SUMPRODUCT(LARGE(I280:BE280,{1,2,3,4,5}))/5)</f>
        <v>55.283418279232407</v>
      </c>
      <c r="EK280" s="29">
        <f>IF(COUNT(I280:DY280)&lt;5,AVERAGE(I280:DY280),SUMPRODUCT(LARGE(I280:DY280,{1,2,3,4,5}))/5)</f>
        <v>55.283418279232407</v>
      </c>
      <c r="EL280" s="29">
        <f t="shared" si="68"/>
        <v>54.391399330216856</v>
      </c>
      <c r="EM280" s="116" t="str">
        <f t="shared" si="69"/>
        <v>McCandless, Paul</v>
      </c>
      <c r="EQ280"/>
    </row>
    <row r="281" spans="1:147" x14ac:dyDescent="0.25">
      <c r="A281" s="59">
        <f t="shared" si="70"/>
        <v>278</v>
      </c>
      <c r="B281" s="32" t="s">
        <v>286</v>
      </c>
      <c r="C281" s="5" t="s">
        <v>6</v>
      </c>
      <c r="D281" s="6" t="s">
        <v>69</v>
      </c>
      <c r="E281" s="6">
        <v>65.022067464120298</v>
      </c>
      <c r="F281" s="6">
        <v>65.022067464120298</v>
      </c>
      <c r="G281" s="5">
        <f t="shared" si="58"/>
        <v>1</v>
      </c>
      <c r="H281" s="37">
        <v>65.022067464120298</v>
      </c>
      <c r="I281" s="36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227"/>
      <c r="Z281" s="228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4"/>
      <c r="AP281" s="7"/>
      <c r="AQ281" s="74"/>
      <c r="AR281" s="70"/>
      <c r="AS281" s="7"/>
      <c r="AT281" s="70"/>
      <c r="AU281" s="7"/>
      <c r="AV281" s="70"/>
      <c r="AW281" s="7"/>
      <c r="AX281" s="8"/>
      <c r="AY281" s="36"/>
      <c r="AZ281" s="70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4"/>
      <c r="CF281" s="74"/>
      <c r="CG281" s="7"/>
      <c r="CH281" s="7"/>
      <c r="CI281" s="7"/>
      <c r="CJ281" s="7"/>
      <c r="CK281" s="101">
        <f>(INDEX('Race 81'!$E$8:$E$200,(MATCH($B281,'Race 81'!$B$8:$B$200,0)),1))*100</f>
        <v>61.819871434977102</v>
      </c>
      <c r="CL281" s="74"/>
      <c r="CM281" s="74"/>
      <c r="CN281" s="74"/>
      <c r="CO281" s="70"/>
      <c r="CP281" s="74"/>
      <c r="CQ281" s="7"/>
      <c r="CR281" s="74"/>
      <c r="CS281" s="74"/>
      <c r="CT281" s="74"/>
      <c r="CU281" s="74"/>
      <c r="CV281" s="74"/>
      <c r="CW281" s="7"/>
      <c r="CX281" s="7"/>
      <c r="CY281" s="7"/>
      <c r="CZ281" s="74"/>
      <c r="DA281" s="7"/>
      <c r="DB281" s="7"/>
      <c r="DC281" s="7"/>
      <c r="DD281" s="7"/>
      <c r="DE281" s="74"/>
      <c r="DF281" s="74"/>
      <c r="DG281" s="74"/>
      <c r="DH281" s="74"/>
      <c r="DI281" s="74"/>
      <c r="DJ281" s="7"/>
      <c r="DK281" s="7"/>
      <c r="DL281" s="7"/>
      <c r="DM281" s="7"/>
      <c r="DN281" s="7"/>
      <c r="DO281" s="7"/>
      <c r="DP281" s="7"/>
      <c r="DQ281" s="74"/>
      <c r="DR281" s="7"/>
      <c r="DS281" s="7"/>
      <c r="DT281" s="7"/>
      <c r="DU281" s="7"/>
      <c r="DV281" s="74"/>
      <c r="DW281" s="7"/>
      <c r="DX281" s="7"/>
      <c r="DY281" s="7"/>
      <c r="DZ281" s="8">
        <f t="shared" si="60"/>
        <v>61.819871434977102</v>
      </c>
      <c r="EA281" s="3" t="str">
        <f t="shared" si="61"/>
        <v>McClung, Richard</v>
      </c>
      <c r="EB281" s="2">
        <f t="shared" si="62"/>
        <v>1</v>
      </c>
      <c r="EC281" s="112">
        <f t="shared" si="71"/>
        <v>65.022067464120298</v>
      </c>
      <c r="ED281" s="29">
        <f t="shared" si="63"/>
        <v>60.822384331933392</v>
      </c>
      <c r="EE281" s="2">
        <f t="shared" si="64"/>
        <v>0</v>
      </c>
      <c r="EF281" s="46">
        <f t="shared" si="65"/>
        <v>0</v>
      </c>
      <c r="EG281" s="46">
        <f t="shared" si="66"/>
        <v>1</v>
      </c>
      <c r="EH281" s="2" t="str">
        <f t="shared" si="67"/>
        <v>WA</v>
      </c>
      <c r="EI281" s="29">
        <f>IF(COUNT(I281:Y281)&lt;5,DZ281,SUMPRODUCT(LARGE(I281:Y281,{1,2,3,4,5}))/5)</f>
        <v>61.819871434977102</v>
      </c>
      <c r="EJ281" s="29">
        <f>IF(COUNT(I281:AX281)&lt;5,DZ281,SUMPRODUCT(LARGE(I281:AX281,{1,2,3,4,5}))/5)</f>
        <v>61.819871434977102</v>
      </c>
      <c r="EK281" s="29">
        <f>IF(COUNT(I281:DY281)&lt;5,AVERAGE(I281:DY281),SUMPRODUCT(LARGE(I281:DY281,{1,2,3,4,5}))/5)</f>
        <v>61.819871434977102</v>
      </c>
      <c r="EL281" s="29">
        <f t="shared" si="68"/>
        <v>60.822384331933392</v>
      </c>
      <c r="EM281" s="116" t="str">
        <f t="shared" si="69"/>
        <v>McClung, Richard</v>
      </c>
      <c r="EQ281"/>
    </row>
    <row r="282" spans="1:147" x14ac:dyDescent="0.25">
      <c r="A282" s="59">
        <f t="shared" si="70"/>
        <v>279</v>
      </c>
      <c r="B282" s="32" t="s">
        <v>825</v>
      </c>
      <c r="C282" s="5" t="s">
        <v>6</v>
      </c>
      <c r="D282" s="6" t="s">
        <v>88</v>
      </c>
      <c r="E282" s="6">
        <v>47.857249998406772</v>
      </c>
      <c r="F282" s="6">
        <v>47.857249998406772</v>
      </c>
      <c r="G282" s="5">
        <f t="shared" si="58"/>
        <v>1</v>
      </c>
      <c r="H282" s="99">
        <v>47.857249998406772</v>
      </c>
      <c r="I282" s="36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227"/>
      <c r="Z282" s="228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4"/>
      <c r="AP282" s="7"/>
      <c r="AQ282" s="74"/>
      <c r="AR282" s="70"/>
      <c r="AS282" s="7"/>
      <c r="AT282" s="70"/>
      <c r="AU282" s="7"/>
      <c r="AV282" s="70"/>
      <c r="AW282" s="7"/>
      <c r="AX282" s="8"/>
      <c r="AY282" s="36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207"/>
      <c r="BK282" s="7"/>
      <c r="BL282" s="7"/>
      <c r="BM282" s="7"/>
      <c r="BN282" s="74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4"/>
      <c r="BZ282" s="7"/>
      <c r="CA282" s="7"/>
      <c r="CB282" s="7"/>
      <c r="CC282" s="7"/>
      <c r="CD282" s="7">
        <f>(INDEX('Race 74'!$E$8:$E$200,(MATCH($B282,'Race 74'!$B$8:$B$200,0)),1))*100</f>
        <v>51.730162713956965</v>
      </c>
      <c r="CE282" s="7"/>
      <c r="CF282" s="7"/>
      <c r="CG282" s="7"/>
      <c r="CH282" s="7"/>
      <c r="CI282" s="7"/>
      <c r="CJ282" s="7"/>
      <c r="CK282" s="101"/>
      <c r="CL282" s="74"/>
      <c r="CM282" s="74"/>
      <c r="CN282" s="74"/>
      <c r="CO282" s="70"/>
      <c r="CP282" s="74"/>
      <c r="CQ282" s="7"/>
      <c r="CR282" s="74"/>
      <c r="CS282" s="74"/>
      <c r="CT282" s="74"/>
      <c r="CU282" s="74"/>
      <c r="CV282" s="7"/>
      <c r="CW282" s="7"/>
      <c r="CX282" s="7"/>
      <c r="CY282" s="7"/>
      <c r="CZ282" s="7"/>
      <c r="DA282" s="7"/>
      <c r="DB282" s="7"/>
      <c r="DC282" s="7"/>
      <c r="DD282" s="7"/>
      <c r="DE282" s="74"/>
      <c r="DF282" s="74"/>
      <c r="DG282" s="74"/>
      <c r="DH282" s="74"/>
      <c r="DI282" s="74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8">
        <f t="shared" si="60"/>
        <v>51.730162713956965</v>
      </c>
      <c r="EA282" s="3" t="str">
        <f t="shared" si="61"/>
        <v>McConaughy, Michael</v>
      </c>
      <c r="EB282" s="2">
        <f t="shared" si="62"/>
        <v>1</v>
      </c>
      <c r="EC282" s="112">
        <f t="shared" si="71"/>
        <v>47.857249998406772</v>
      </c>
      <c r="ED282" s="29">
        <f t="shared" si="63"/>
        <v>50.098904314315561</v>
      </c>
      <c r="EE282" s="2">
        <f t="shared" si="64"/>
        <v>0</v>
      </c>
      <c r="EF282" s="46">
        <f t="shared" si="65"/>
        <v>0</v>
      </c>
      <c r="EG282" s="46">
        <f t="shared" si="66"/>
        <v>1</v>
      </c>
      <c r="EH282" s="29" t="str">
        <f t="shared" si="67"/>
        <v>WI</v>
      </c>
      <c r="EI282" s="29">
        <f>IF(COUNT(I282:Y282)&lt;5,DZ282,SUMPRODUCT(LARGE(I282:Y282,{1,2,3,4,5}))/5)</f>
        <v>51.730162713956965</v>
      </c>
      <c r="EJ282" s="29">
        <f>IF(COUNT(I282:AX282)&lt;5,DZ282,SUMPRODUCT(LARGE(I282:AX282,{1,2,3,4,5}))/5)</f>
        <v>51.730162713956965</v>
      </c>
      <c r="EK282" s="29">
        <f>(EJ282*100)/101.59</f>
        <v>50.920526345070343</v>
      </c>
      <c r="EL282" s="29">
        <f t="shared" si="68"/>
        <v>50.098904314315561</v>
      </c>
      <c r="EM282" s="116" t="str">
        <f t="shared" si="69"/>
        <v>McConaughy, Michael</v>
      </c>
      <c r="EQ282"/>
    </row>
    <row r="283" spans="1:147" x14ac:dyDescent="0.25">
      <c r="A283" s="59">
        <f t="shared" si="70"/>
        <v>280</v>
      </c>
      <c r="B283" s="32" t="s">
        <v>299</v>
      </c>
      <c r="C283" s="5" t="s">
        <v>6</v>
      </c>
      <c r="D283" s="6" t="s">
        <v>96</v>
      </c>
      <c r="E283" s="6">
        <v>48.774033778538787</v>
      </c>
      <c r="F283" s="6">
        <v>54.030246930624543</v>
      </c>
      <c r="G283" s="5">
        <f t="shared" si="58"/>
        <v>2</v>
      </c>
      <c r="H283" s="37">
        <v>48.774033778538787</v>
      </c>
      <c r="I283" s="36"/>
      <c r="J283" s="7"/>
      <c r="K283" s="7"/>
      <c r="L283" s="7"/>
      <c r="M283" s="74"/>
      <c r="N283" s="74"/>
      <c r="O283" s="7"/>
      <c r="P283" s="74"/>
      <c r="Q283" s="74"/>
      <c r="R283" s="74"/>
      <c r="S283" s="74"/>
      <c r="T283" s="7"/>
      <c r="U283" s="7"/>
      <c r="V283" s="74"/>
      <c r="W283" s="7"/>
      <c r="X283" s="74"/>
      <c r="Y283" s="227"/>
      <c r="Z283" s="228"/>
      <c r="AA283" s="74"/>
      <c r="AB283" s="74"/>
      <c r="AC283" s="74"/>
      <c r="AD283" s="74"/>
      <c r="AE283" s="7"/>
      <c r="AF283" s="74"/>
      <c r="AG283" s="74"/>
      <c r="AH283" s="7"/>
      <c r="AI283" s="7"/>
      <c r="AJ283" s="7"/>
      <c r="AK283" s="7"/>
      <c r="AL283" s="7"/>
      <c r="AM283" s="7"/>
      <c r="AN283" s="7"/>
      <c r="AO283" s="74"/>
      <c r="AP283" s="7"/>
      <c r="AQ283" s="74"/>
      <c r="AR283" s="74"/>
      <c r="AS283" s="7"/>
      <c r="AT283" s="101"/>
      <c r="AU283" s="7"/>
      <c r="AV283" s="101"/>
      <c r="AW283" s="7">
        <f>(INDEX('Race 41'!$E$8:$E$200,(MATCH($B283,'Race 41'!$B$8:$B$200,0)),1))*100</f>
        <v>51.470459799440391</v>
      </c>
      <c r="AX283" s="183">
        <f>(INDEX('Race 42'!$E$8:$E$200,(MATCH($B283,'Race 42'!$B$8:$B$200,0)),1))*100</f>
        <v>56.590034061808701</v>
      </c>
      <c r="AY283" s="107"/>
      <c r="AZ283" s="74"/>
      <c r="BA283" s="74"/>
      <c r="BB283" s="74"/>
      <c r="BC283" s="74"/>
      <c r="BD283" s="7"/>
      <c r="BE283" s="7"/>
      <c r="BF283" s="74"/>
      <c r="BG283" s="74"/>
      <c r="BH283" s="74"/>
      <c r="BI283" s="74"/>
      <c r="BJ283" s="74"/>
      <c r="BK283" s="7"/>
      <c r="BL283" s="74"/>
      <c r="BM283" s="7"/>
      <c r="BN283" s="74"/>
      <c r="BO283" s="74"/>
      <c r="BP283" s="7"/>
      <c r="BQ283" s="7"/>
      <c r="BR283" s="74"/>
      <c r="BS283" s="7"/>
      <c r="BT283" s="7"/>
      <c r="BU283" s="74"/>
      <c r="BV283" s="74"/>
      <c r="BW283" s="74"/>
      <c r="BX283" s="74"/>
      <c r="BY283" s="74"/>
      <c r="BZ283" s="74"/>
      <c r="CA283" s="7"/>
      <c r="CB283" s="74"/>
      <c r="CC283" s="74"/>
      <c r="CD283" s="74"/>
      <c r="CE283" s="7"/>
      <c r="CF283" s="74"/>
      <c r="CG283" s="74"/>
      <c r="CH283" s="7"/>
      <c r="CI283" s="74"/>
      <c r="CJ283" s="74"/>
      <c r="CK283" s="101"/>
      <c r="CL283" s="74"/>
      <c r="CM283" s="74"/>
      <c r="CN283" s="74"/>
      <c r="CO283" s="101"/>
      <c r="CP283" s="74"/>
      <c r="CQ283" s="74"/>
      <c r="CR283" s="74"/>
      <c r="CS283" s="74"/>
      <c r="CT283" s="74"/>
      <c r="CU283" s="74"/>
      <c r="CV283" s="74"/>
      <c r="CW283" s="74"/>
      <c r="CX283" s="7"/>
      <c r="CY283" s="7"/>
      <c r="CZ283" s="74"/>
      <c r="DA283" s="74"/>
      <c r="DB283" s="74"/>
      <c r="DC283" s="74"/>
      <c r="DD283" s="74"/>
      <c r="DE283" s="74"/>
      <c r="DF283" s="74"/>
      <c r="DG283" s="74"/>
      <c r="DH283" s="74"/>
      <c r="DI283" s="74"/>
      <c r="DJ283" s="7"/>
      <c r="DK283" s="74"/>
      <c r="DL283" s="74"/>
      <c r="DM283" s="74"/>
      <c r="DN283" s="74"/>
      <c r="DO283" s="74"/>
      <c r="DP283" s="74"/>
      <c r="DQ283" s="74"/>
      <c r="DR283" s="7"/>
      <c r="DS283" s="7"/>
      <c r="DT283" s="74"/>
      <c r="DU283" s="74"/>
      <c r="DV283" s="74"/>
      <c r="DW283" s="74"/>
      <c r="DX283" s="74"/>
      <c r="DY283" s="74"/>
      <c r="DZ283" s="8">
        <f t="shared" si="60"/>
        <v>54.030246930624543</v>
      </c>
      <c r="EA283" s="3" t="str">
        <f t="shared" si="61"/>
        <v>McDaniel, Michael</v>
      </c>
      <c r="EB283" s="2">
        <f t="shared" si="62"/>
        <v>1</v>
      </c>
      <c r="EC283" s="112">
        <f t="shared" si="71"/>
        <v>48.774033778538787</v>
      </c>
      <c r="ED283" s="29">
        <f t="shared" si="63"/>
        <v>53.158448377237846</v>
      </c>
      <c r="EE283" s="2">
        <f t="shared" si="64"/>
        <v>0</v>
      </c>
      <c r="EF283" s="46">
        <f t="shared" si="65"/>
        <v>2</v>
      </c>
      <c r="EG283" s="46">
        <f t="shared" si="66"/>
        <v>2</v>
      </c>
      <c r="EH283" s="2" t="str">
        <f t="shared" si="67"/>
        <v>SD</v>
      </c>
      <c r="EI283" s="29">
        <f>IF(COUNT(I283:Y283)&lt;5,DZ283,SUMPRODUCT(LARGE(I283:Y283,{1,2,3,4,5}))/5)</f>
        <v>54.030246930624543</v>
      </c>
      <c r="EJ283" s="29">
        <f>IF(COUNT(I283:AX283)&lt;5,DZ283,SUMPRODUCT(LARGE(I283:AX283,{1,2,3,4,5}))/5)</f>
        <v>54.030246930624543</v>
      </c>
      <c r="EK283" s="112">
        <f>IF(COUNT(I283:DY283)&lt;5,AVERAGE(I283:DY283),SUMPRODUCT(LARGE(I283:DY283,{1,2,3,4,5}))/5)</f>
        <v>54.030246930624543</v>
      </c>
      <c r="EL283" s="29">
        <f t="shared" si="68"/>
        <v>53.158448377237846</v>
      </c>
      <c r="EM283" s="116" t="str">
        <f t="shared" si="69"/>
        <v>McDaniel, Michael</v>
      </c>
      <c r="EQ283"/>
    </row>
    <row r="284" spans="1:147" x14ac:dyDescent="0.25">
      <c r="A284" s="59">
        <f t="shared" si="70"/>
        <v>281</v>
      </c>
      <c r="B284" s="32" t="s">
        <v>889</v>
      </c>
      <c r="C284" s="5" t="s">
        <v>6</v>
      </c>
      <c r="D284" s="6" t="s">
        <v>63</v>
      </c>
      <c r="E284" s="6">
        <v>52.977265574777022</v>
      </c>
      <c r="F284" s="6">
        <v>58.723388520488008</v>
      </c>
      <c r="G284" s="5">
        <f t="shared" si="58"/>
        <v>3</v>
      </c>
      <c r="H284" s="37">
        <v>52.977265574777022</v>
      </c>
      <c r="I284" s="36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227"/>
      <c r="Z284" s="228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4"/>
      <c r="AP284" s="7"/>
      <c r="AQ284" s="74"/>
      <c r="AR284" s="70"/>
      <c r="AS284" s="7"/>
      <c r="AT284" s="70"/>
      <c r="AU284" s="7"/>
      <c r="AV284" s="70"/>
      <c r="AW284" s="7"/>
      <c r="AX284" s="8">
        <f>(INDEX('Race 42'!$E$8:$E$200,(MATCH($B284,'Race 42'!$B$8:$B$200,0)),1))*100</f>
        <v>58.723388520488008</v>
      </c>
      <c r="AY284" s="36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4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4">
        <f>(INDEX('Race 75'!$E$8:$E$200,(MATCH($B284,'Race 75'!$B$8:$B$200,0)),1))*100</f>
        <v>59.822512468685737</v>
      </c>
      <c r="CF284" s="74">
        <f>(INDEX('Race 76'!$E$8:$E$200,(MATCH($B284,'Race 76'!$B$8:$B$200,0)),1))*100</f>
        <v>56.691497109186443</v>
      </c>
      <c r="CG284" s="7"/>
      <c r="CH284" s="7"/>
      <c r="CI284" s="7"/>
      <c r="CJ284" s="7"/>
      <c r="CK284" s="101"/>
      <c r="CL284" s="74"/>
      <c r="CM284" s="74"/>
      <c r="CN284" s="74"/>
      <c r="CO284" s="70"/>
      <c r="CP284" s="74"/>
      <c r="CQ284" s="7"/>
      <c r="CR284" s="74"/>
      <c r="CS284" s="74"/>
      <c r="CT284" s="74"/>
      <c r="CU284" s="74"/>
      <c r="CV284" s="7"/>
      <c r="CW284" s="7"/>
      <c r="CX284" s="7"/>
      <c r="CY284" s="7"/>
      <c r="CZ284" s="7"/>
      <c r="DA284" s="7"/>
      <c r="DB284" s="7"/>
      <c r="DC284" s="7"/>
      <c r="DD284" s="7"/>
      <c r="DE284" s="74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8">
        <f t="shared" si="60"/>
        <v>58.412466032786732</v>
      </c>
      <c r="EA284" s="3" t="str">
        <f t="shared" si="61"/>
        <v>Mcdougal, Josh</v>
      </c>
      <c r="EB284" s="2">
        <f t="shared" si="62"/>
        <v>1</v>
      </c>
      <c r="EC284" s="112">
        <f t="shared" si="71"/>
        <v>52.977265574777022</v>
      </c>
      <c r="ED284" s="29">
        <f t="shared" si="63"/>
        <v>57.469958709943654</v>
      </c>
      <c r="EE284" s="2">
        <f t="shared" si="64"/>
        <v>0</v>
      </c>
      <c r="EF284" s="46">
        <f t="shared" si="65"/>
        <v>1</v>
      </c>
      <c r="EG284" s="46">
        <f t="shared" si="66"/>
        <v>3</v>
      </c>
      <c r="EH284" s="29" t="str">
        <f t="shared" si="67"/>
        <v>VT</v>
      </c>
      <c r="EI284" s="29">
        <f>IF(COUNT(I284:Y284)&lt;5,DZ284,SUMPRODUCT(LARGE(I284:Y284,{1,2,3,4,5}))/5)</f>
        <v>58.412466032786732</v>
      </c>
      <c r="EJ284" s="29">
        <f>IF(COUNT(I284:AX284)&lt;5,DZ284,SUMPRODUCT(LARGE(I284:AX284,{1,2,3,4,5}))/5)</f>
        <v>58.412466032786732</v>
      </c>
      <c r="EK284" s="29">
        <f>IF(COUNT(I284:DY284)&lt;5,AVERAGE(I284:DY284),SUMPRODUCT(LARGE(I284:DY284,{1,2,3,4,5}))/5)</f>
        <v>58.412466032786732</v>
      </c>
      <c r="EL284" s="29">
        <f t="shared" si="68"/>
        <v>57.469958709943654</v>
      </c>
      <c r="EM284" s="116" t="str">
        <f t="shared" si="69"/>
        <v>Mcdougal, Josh</v>
      </c>
      <c r="EQ284"/>
    </row>
    <row r="285" spans="1:147" x14ac:dyDescent="0.25">
      <c r="A285" s="59">
        <f t="shared" si="70"/>
        <v>282</v>
      </c>
      <c r="B285" s="4" t="s">
        <v>1341</v>
      </c>
      <c r="C285" s="5" t="s">
        <v>6</v>
      </c>
      <c r="D285" s="5" t="s">
        <v>87</v>
      </c>
      <c r="E285" s="6">
        <v>0</v>
      </c>
      <c r="F285" s="6">
        <v>0</v>
      </c>
      <c r="G285" s="5">
        <f t="shared" si="58"/>
        <v>2</v>
      </c>
      <c r="H285" s="37">
        <v>0</v>
      </c>
      <c r="I285" s="36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227"/>
      <c r="Z285" s="228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4"/>
      <c r="AP285" s="7"/>
      <c r="AQ285" s="74"/>
      <c r="AR285" s="70"/>
      <c r="AS285" s="7"/>
      <c r="AT285" s="70"/>
      <c r="AU285" s="7"/>
      <c r="AV285" s="70"/>
      <c r="AW285" s="7"/>
      <c r="AX285" s="8"/>
      <c r="AY285" s="36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4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4"/>
      <c r="CF285" s="74"/>
      <c r="CG285" s="7"/>
      <c r="CH285" s="7"/>
      <c r="CI285" s="7"/>
      <c r="CJ285" s="7"/>
      <c r="CK285" s="101"/>
      <c r="CL285" s="74"/>
      <c r="CM285" s="74"/>
      <c r="CN285" s="74"/>
      <c r="CO285" s="70"/>
      <c r="CP285" s="74"/>
      <c r="CQ285" s="7"/>
      <c r="CR285" s="74">
        <f>(INDEX('Race 88'!$E$8:$E$200,(MATCH($B285,'Race 88'!$B$8:$B$200,0)),1))*100</f>
        <v>79.336769592114436</v>
      </c>
      <c r="CS285" s="74">
        <f>(INDEX('Race 89'!$E$8:$E$200,(MATCH($B285,'Race 89'!$B$8:$B$200,0)),1))*100</f>
        <v>80.723800175311069</v>
      </c>
      <c r="CT285" s="74"/>
      <c r="CU285" s="74"/>
      <c r="CV285" s="7"/>
      <c r="CW285" s="7"/>
      <c r="CX285" s="7"/>
      <c r="CY285" s="7"/>
      <c r="CZ285" s="7"/>
      <c r="DA285" s="7"/>
      <c r="DB285" s="7"/>
      <c r="DC285" s="7"/>
      <c r="DD285" s="7"/>
      <c r="DE285" s="74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8">
        <f t="shared" si="60"/>
        <v>80.030284883712753</v>
      </c>
      <c r="EA285" s="3" t="str">
        <f t="shared" si="61"/>
        <v>McElroy, Jordan</v>
      </c>
      <c r="EB285" s="2">
        <f t="shared" si="62"/>
        <v>1</v>
      </c>
      <c r="EC285" s="29">
        <v>0</v>
      </c>
      <c r="ED285" s="29">
        <f t="shared" si="63"/>
        <v>78.738965843873231</v>
      </c>
      <c r="EE285" s="2">
        <f t="shared" si="64"/>
        <v>0</v>
      </c>
      <c r="EF285" s="46">
        <f t="shared" si="65"/>
        <v>0</v>
      </c>
      <c r="EG285" s="46">
        <f t="shared" si="66"/>
        <v>2</v>
      </c>
      <c r="EH285" s="29" t="str">
        <f t="shared" si="67"/>
        <v>CA</v>
      </c>
      <c r="EI285" s="29">
        <f>IF(COUNT(I285:AD285)&lt;5,DZ285,SUMPRODUCT(LARGE(I285:AD285,{1,2,3,4,5}))/5)</f>
        <v>80.030284883712753</v>
      </c>
      <c r="EJ285" s="29">
        <f>IF(COUNT(I285:BE285)&lt;5,DZ285,SUMPRODUCT(LARGE(I285:BE285,{1,2,3,4,5}))/5)</f>
        <v>80.030284883712753</v>
      </c>
      <c r="EK285" s="112">
        <f>IF(COUNT(I285:DY285)&lt;5,AVERAGE(I285:DY285),SUMPRODUCT(LARGE(I285:DY285,{1,2,3,4,5}))/5)</f>
        <v>80.030284883712753</v>
      </c>
      <c r="EL285" s="29">
        <f t="shared" si="68"/>
        <v>78.738965843873231</v>
      </c>
      <c r="EM285" s="116" t="str">
        <f t="shared" si="69"/>
        <v>McElroy, Jordan</v>
      </c>
      <c r="EQ285"/>
    </row>
    <row r="286" spans="1:147" x14ac:dyDescent="0.25">
      <c r="A286" s="59">
        <f t="shared" si="70"/>
        <v>283</v>
      </c>
      <c r="B286" s="32" t="s">
        <v>1139</v>
      </c>
      <c r="C286" s="5" t="s">
        <v>6</v>
      </c>
      <c r="D286" s="5" t="s">
        <v>159</v>
      </c>
      <c r="E286" s="6">
        <v>0</v>
      </c>
      <c r="F286" s="6">
        <v>39.77877333376739</v>
      </c>
      <c r="G286" s="5">
        <f t="shared" si="58"/>
        <v>4</v>
      </c>
      <c r="H286" s="37">
        <v>0</v>
      </c>
      <c r="I286" s="107"/>
      <c r="J286" s="7"/>
      <c r="K286" s="7"/>
      <c r="L286" s="7"/>
      <c r="M286" s="7"/>
      <c r="N286" s="74"/>
      <c r="O286" s="7"/>
      <c r="P286" s="7"/>
      <c r="Q286" s="7"/>
      <c r="R286" s="74"/>
      <c r="S286" s="7"/>
      <c r="T286" s="7"/>
      <c r="U286" s="7"/>
      <c r="V286" s="74"/>
      <c r="W286" s="7"/>
      <c r="X286" s="74"/>
      <c r="Y286" s="227"/>
      <c r="Z286" s="228"/>
      <c r="AA286" s="7"/>
      <c r="AB286" s="7"/>
      <c r="AC286" s="74"/>
      <c r="AD286" s="74"/>
      <c r="AE286" s="74"/>
      <c r="AF286" s="7"/>
      <c r="AG286" s="7"/>
      <c r="AH286" s="7"/>
      <c r="AI286" s="7"/>
      <c r="AJ286" s="7"/>
      <c r="AK286" s="7"/>
      <c r="AL286" s="7"/>
      <c r="AM286" s="7"/>
      <c r="AN286" s="7"/>
      <c r="AO286" s="74"/>
      <c r="AP286" s="7"/>
      <c r="AQ286" s="74"/>
      <c r="AR286" s="101"/>
      <c r="AS286" s="7"/>
      <c r="AT286" s="101"/>
      <c r="AU286" s="7"/>
      <c r="AV286" s="101"/>
      <c r="AW286" s="7">
        <f>(INDEX('Race 41'!$E$8:$E$200,(MATCH($B286,'Race 41'!$B$8:$B$200,0)),1))*100</f>
        <v>37.683483545964386</v>
      </c>
      <c r="AX286" s="8">
        <f>(INDEX('Race 42'!$E$8:$E$200,(MATCH($B286,'Race 42'!$B$8:$B$200,0)),1))*100</f>
        <v>41.874063121570394</v>
      </c>
      <c r="AY286" s="36"/>
      <c r="AZ286" s="74"/>
      <c r="BA286" s="74"/>
      <c r="BB286" s="74"/>
      <c r="BC286" s="7"/>
      <c r="BD286" s="7"/>
      <c r="BE286" s="7"/>
      <c r="BF286" s="74"/>
      <c r="BG286" s="74"/>
      <c r="BH286" s="74"/>
      <c r="BI286" s="74"/>
      <c r="BJ286" s="74"/>
      <c r="BK286" s="7"/>
      <c r="BL286" s="74"/>
      <c r="BM286" s="7"/>
      <c r="BN286" s="74"/>
      <c r="BO286" s="74"/>
      <c r="BP286" s="7"/>
      <c r="BQ286" s="7"/>
      <c r="BR286" s="74"/>
      <c r="BS286" s="7"/>
      <c r="BT286" s="7"/>
      <c r="BU286" s="74"/>
      <c r="BV286" s="74"/>
      <c r="BW286" s="74"/>
      <c r="BX286" s="74"/>
      <c r="BY286" s="74"/>
      <c r="BZ286" s="74"/>
      <c r="CA286" s="7"/>
      <c r="CB286" s="74"/>
      <c r="CC286" s="74"/>
      <c r="CD286" s="74"/>
      <c r="CE286" s="7">
        <f>(INDEX('Race 75'!$E$8:$E$200,(MATCH($B286,'Race 75'!$B$8:$B$200,0)),1))*100</f>
        <v>46.007053891671731</v>
      </c>
      <c r="CF286" s="74">
        <f>(INDEX('Race 76'!$E$8:$E$200,(MATCH($B286,'Race 76'!$B$8:$B$200,0)),1))*100</f>
        <v>44.337874506518901</v>
      </c>
      <c r="CG286" s="74"/>
      <c r="CH286" s="7"/>
      <c r="CI286" s="74"/>
      <c r="CJ286" s="74"/>
      <c r="CK286" s="101"/>
      <c r="CL286" s="74"/>
      <c r="CM286" s="74"/>
      <c r="CN286" s="74"/>
      <c r="CO286" s="101"/>
      <c r="CP286" s="74"/>
      <c r="CQ286" s="74"/>
      <c r="CR286" s="74"/>
      <c r="CS286" s="74"/>
      <c r="CT286" s="74"/>
      <c r="CU286" s="74"/>
      <c r="CV286" s="74"/>
      <c r="CW286" s="74"/>
      <c r="CX286" s="7"/>
      <c r="CY286" s="7"/>
      <c r="CZ286" s="74"/>
      <c r="DA286" s="74"/>
      <c r="DB286" s="74"/>
      <c r="DC286" s="74"/>
      <c r="DD286" s="74"/>
      <c r="DE286" s="74"/>
      <c r="DF286" s="74"/>
      <c r="DG286" s="74"/>
      <c r="DH286" s="74"/>
      <c r="DI286" s="74"/>
      <c r="DJ286" s="74"/>
      <c r="DK286" s="74"/>
      <c r="DL286" s="74"/>
      <c r="DM286" s="74"/>
      <c r="DN286" s="74"/>
      <c r="DO286" s="74"/>
      <c r="DP286" s="74"/>
      <c r="DQ286" s="74"/>
      <c r="DR286" s="74"/>
      <c r="DS286" s="74"/>
      <c r="DT286" s="74"/>
      <c r="DU286" s="74"/>
      <c r="DV286" s="74"/>
      <c r="DW286" s="74"/>
      <c r="DX286" s="74"/>
      <c r="DY286" s="74"/>
      <c r="DZ286" s="8">
        <f t="shared" si="60"/>
        <v>42.475618766431353</v>
      </c>
      <c r="EA286" s="3" t="str">
        <f t="shared" si="61"/>
        <v>McInerney, Stephen</v>
      </c>
      <c r="EB286" s="2">
        <f t="shared" si="62"/>
        <v>1</v>
      </c>
      <c r="EC286" s="112">
        <f>H286</f>
        <v>0</v>
      </c>
      <c r="ED286" s="29">
        <f t="shared" si="63"/>
        <v>41.790258526595188</v>
      </c>
      <c r="EE286" s="2">
        <f t="shared" si="64"/>
        <v>0</v>
      </c>
      <c r="EF286" s="46">
        <f t="shared" si="65"/>
        <v>2</v>
      </c>
      <c r="EG286" s="46">
        <f t="shared" si="66"/>
        <v>4</v>
      </c>
      <c r="EH286" s="2" t="str">
        <f t="shared" si="67"/>
        <v>RI</v>
      </c>
      <c r="EI286" s="29">
        <f>IF(COUNT(I286:AD286)&lt;5,DZ286,SUMPRODUCT(LARGE(I286:AD286,{1,2,3,4,5}))/5)</f>
        <v>42.475618766431353</v>
      </c>
      <c r="EJ286" s="29">
        <f>IF(COUNT(I286:AX286)&lt;5,DZ286,SUMPRODUCT(LARGE(I286:AX286,{1,2,3,4,5}))/5)</f>
        <v>42.475618766431353</v>
      </c>
      <c r="EK286" s="112">
        <f>IF(COUNT(I286:DY286)&lt;5,AVERAGE(I286:DY286),SUMPRODUCT(LARGE(I286:DY286,{1,2,3,4,5}))/5)</f>
        <v>42.475618766431353</v>
      </c>
      <c r="EL286" s="29">
        <f t="shared" si="68"/>
        <v>41.790258526595188</v>
      </c>
      <c r="EM286" s="116" t="str">
        <f t="shared" si="69"/>
        <v>McInerney, Stephen</v>
      </c>
      <c r="EQ286"/>
    </row>
    <row r="287" spans="1:147" x14ac:dyDescent="0.25">
      <c r="A287" s="59">
        <f t="shared" si="70"/>
        <v>284</v>
      </c>
      <c r="B287" s="32" t="s">
        <v>1294</v>
      </c>
      <c r="C287" s="5" t="s">
        <v>6</v>
      </c>
      <c r="D287" s="6" t="s">
        <v>89</v>
      </c>
      <c r="E287" s="6">
        <v>45.234917421915668</v>
      </c>
      <c r="F287" s="6">
        <v>47.342994841832436</v>
      </c>
      <c r="G287" s="5">
        <f t="shared" si="58"/>
        <v>4</v>
      </c>
      <c r="H287" s="37">
        <v>45.234917421915668</v>
      </c>
      <c r="I287" s="36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227"/>
      <c r="Z287" s="228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4"/>
      <c r="AP287" s="7"/>
      <c r="AQ287" s="74"/>
      <c r="AR287" s="70"/>
      <c r="AS287" s="7"/>
      <c r="AT287" s="70"/>
      <c r="AU287" s="7"/>
      <c r="AV287" s="70"/>
      <c r="AW287" s="7">
        <f>(INDEX('Race 41'!$E$8:$E$200,(MATCH($B287,'Race 41'!$B$8:$B$200,0)),1))*100</f>
        <v>43.052026295099019</v>
      </c>
      <c r="AX287" s="183">
        <f>(INDEX('Race 42'!$E$8:$E$200,(MATCH($B287,'Race 42'!$B$8:$B$200,0)),1))*100</f>
        <v>51.63396338856586</v>
      </c>
      <c r="AY287" s="10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4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4">
        <f>(INDEX('Race 75'!$E$8:$E$200,(MATCH($B287,'Race 75'!$B$8:$B$200,0)),1))*100</f>
        <v>48.032766679450681</v>
      </c>
      <c r="CF287" s="74">
        <f>(INDEX('Race 76'!$E$8:$E$200,(MATCH($B287,'Race 76'!$B$8:$B$200,0)),1))*100</f>
        <v>46.625863948987316</v>
      </c>
      <c r="CG287" s="7"/>
      <c r="CH287" s="7"/>
      <c r="CI287" s="7"/>
      <c r="CJ287" s="7"/>
      <c r="CK287" s="101"/>
      <c r="CL287" s="74"/>
      <c r="CM287" s="74"/>
      <c r="CN287" s="74"/>
      <c r="CO287" s="70"/>
      <c r="CP287" s="74"/>
      <c r="CQ287" s="7"/>
      <c r="CR287" s="74"/>
      <c r="CS287" s="74"/>
      <c r="CT287" s="74"/>
      <c r="CU287" s="74"/>
      <c r="CV287" s="7"/>
      <c r="CW287" s="7"/>
      <c r="CX287" s="7"/>
      <c r="CY287" s="7"/>
      <c r="CZ287" s="7"/>
      <c r="DA287" s="7"/>
      <c r="DB287" s="7"/>
      <c r="DC287" s="7"/>
      <c r="DD287" s="7"/>
      <c r="DE287" s="74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8">
        <f t="shared" si="60"/>
        <v>47.336155078025712</v>
      </c>
      <c r="EA287" s="3" t="str">
        <f t="shared" si="61"/>
        <v>McKinley, Keener</v>
      </c>
      <c r="EB287" s="2">
        <f t="shared" si="62"/>
        <v>1</v>
      </c>
      <c r="EC287" s="29">
        <v>0</v>
      </c>
      <c r="ED287" s="29">
        <f t="shared" si="63"/>
        <v>46.572368238907629</v>
      </c>
      <c r="EE287" s="2">
        <f t="shared" si="64"/>
        <v>0</v>
      </c>
      <c r="EF287" s="46">
        <f t="shared" si="65"/>
        <v>2</v>
      </c>
      <c r="EG287" s="46">
        <f t="shared" si="66"/>
        <v>4</v>
      </c>
      <c r="EH287" s="29" t="str">
        <f t="shared" si="67"/>
        <v>OR</v>
      </c>
      <c r="EI287" s="29">
        <f>IF(COUNT(I287:Y287)&lt;5,DZ287,SUMPRODUCT(LARGE(I287:Y287,{1,2,3,4,5}))/5)</f>
        <v>47.336155078025712</v>
      </c>
      <c r="EJ287" s="29">
        <f>IF(COUNT(I287:AX287)&lt;5,DZ287,SUMPRODUCT(LARGE(I287:AX287,{1,2,3,4,5}))/5)</f>
        <v>47.336155078025712</v>
      </c>
      <c r="EK287" s="112">
        <f>IF(COUNT(I287:DY287)&lt;5,AVERAGE(I287:DY287),SUMPRODUCT(LARGE(I287:DY287,{1,2,3,4,5}))/5)</f>
        <v>47.336155078025712</v>
      </c>
      <c r="EL287" s="29">
        <f t="shared" si="68"/>
        <v>46.572368238907629</v>
      </c>
      <c r="EM287" s="116" t="str">
        <f t="shared" si="69"/>
        <v>McKinley, Keener</v>
      </c>
      <c r="EQ287"/>
    </row>
    <row r="288" spans="1:147" x14ac:dyDescent="0.25">
      <c r="A288" s="59">
        <f t="shared" si="70"/>
        <v>285</v>
      </c>
      <c r="B288" s="32" t="s">
        <v>928</v>
      </c>
      <c r="C288" s="5" t="s">
        <v>6</v>
      </c>
      <c r="D288" s="6" t="s">
        <v>159</v>
      </c>
      <c r="E288" s="6">
        <v>28.828514546275404</v>
      </c>
      <c r="F288" s="6">
        <v>39.111039911551323</v>
      </c>
      <c r="G288" s="5">
        <f t="shared" si="58"/>
        <v>4</v>
      </c>
      <c r="H288" s="37">
        <v>28.828514546275404</v>
      </c>
      <c r="I288" s="36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227"/>
      <c r="Z288" s="228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4"/>
      <c r="AP288" s="7"/>
      <c r="AQ288" s="74"/>
      <c r="AR288" s="70"/>
      <c r="AS288" s="7"/>
      <c r="AT288" s="70"/>
      <c r="AU288" s="7"/>
      <c r="AV288" s="70"/>
      <c r="AW288" s="7">
        <f>(INDEX('Race 41'!$E$8:$E$200,(MATCH($B288,'Race 41'!$B$8:$B$200,0)),1))*100</f>
        <v>37.127123124510661</v>
      </c>
      <c r="AX288" s="8">
        <f>(INDEX('Race 42'!$E$8:$E$200,(MATCH($B288,'Race 42'!$B$8:$B$200,0)),1))*100</f>
        <v>41.094956698591986</v>
      </c>
      <c r="AY288" s="36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4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4">
        <f>(INDEX('Race 75'!$E$8:$E$200,(MATCH($B288,'Race 75'!$B$8:$B$200,0)),1))*100</f>
        <v>38.576468853064426</v>
      </c>
      <c r="CF288" s="103">
        <f>(INDEX('Race 76'!$E$8:$E$200,(MATCH($B288,'Race 76'!$B$8:$B$200,0)),1))*100</f>
        <v>36.80706866398404</v>
      </c>
      <c r="CG288" s="7"/>
      <c r="CH288" s="7"/>
      <c r="CI288" s="7"/>
      <c r="CJ288" s="7"/>
      <c r="CK288" s="101"/>
      <c r="CL288" s="74"/>
      <c r="CM288" s="74"/>
      <c r="CN288" s="74"/>
      <c r="CO288" s="70"/>
      <c r="CP288" s="74"/>
      <c r="CQ288" s="7"/>
      <c r="CR288" s="74"/>
      <c r="CS288" s="74"/>
      <c r="CT288" s="74"/>
      <c r="CU288" s="74"/>
      <c r="CV288" s="7"/>
      <c r="CW288" s="7"/>
      <c r="CX288" s="7"/>
      <c r="CY288" s="7"/>
      <c r="CZ288" s="7"/>
      <c r="DA288" s="7"/>
      <c r="DB288" s="7"/>
      <c r="DC288" s="7"/>
      <c r="DD288" s="7"/>
      <c r="DE288" s="74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8">
        <f t="shared" si="60"/>
        <v>38.401404335037782</v>
      </c>
      <c r="EA288" s="3" t="str">
        <f t="shared" si="61"/>
        <v>Measley, Hans</v>
      </c>
      <c r="EB288" s="2">
        <f t="shared" si="62"/>
        <v>1</v>
      </c>
      <c r="EC288" s="112">
        <f t="shared" ref="EC288:EC297" si="72">H288</f>
        <v>28.828514546275404</v>
      </c>
      <c r="ED288" s="29">
        <f t="shared" si="63"/>
        <v>37.781783092323671</v>
      </c>
      <c r="EE288" s="2">
        <f t="shared" si="64"/>
        <v>0</v>
      </c>
      <c r="EF288" s="46">
        <f t="shared" si="65"/>
        <v>2</v>
      </c>
      <c r="EG288" s="46">
        <f t="shared" si="66"/>
        <v>4</v>
      </c>
      <c r="EH288" s="29" t="str">
        <f t="shared" si="67"/>
        <v>RI</v>
      </c>
      <c r="EI288" s="29">
        <f>IF(COUNT(I288:Y288)&lt;5,DZ288,SUMPRODUCT(LARGE(I288:Y288,{1,2,3,4,5}))/5)</f>
        <v>38.401404335037782</v>
      </c>
      <c r="EJ288" s="29">
        <f>IF(COUNT(I288:AX288)&lt;5,DZ288,SUMPRODUCT(LARGE(I288:AX288,{1,2,3,4,5}))/5)</f>
        <v>38.401404335037782</v>
      </c>
      <c r="EK288" s="29">
        <f>IF(COUNT(I288:DY288)&lt;5,AVERAGE(I288:DY288),SUMPRODUCT(LARGE(I288:DY288,{1,2,3,4,5}))/5)</f>
        <v>38.401404335037782</v>
      </c>
      <c r="EL288" s="29">
        <f t="shared" si="68"/>
        <v>37.781783092323671</v>
      </c>
      <c r="EM288" s="116" t="str">
        <f t="shared" si="69"/>
        <v>Measley, Hans</v>
      </c>
      <c r="EQ288"/>
    </row>
    <row r="289" spans="1:147" x14ac:dyDescent="0.25">
      <c r="A289" s="59">
        <f t="shared" si="70"/>
        <v>286</v>
      </c>
      <c r="B289" s="4" t="s">
        <v>788</v>
      </c>
      <c r="C289" s="5" t="s">
        <v>6</v>
      </c>
      <c r="D289" s="5" t="s">
        <v>88</v>
      </c>
      <c r="E289" s="6">
        <v>62.02919256713249</v>
      </c>
      <c r="F289" s="6">
        <v>63.325002778680954</v>
      </c>
      <c r="G289" s="5">
        <f t="shared" si="58"/>
        <v>2</v>
      </c>
      <c r="H289" s="99">
        <v>62.02919256713249</v>
      </c>
      <c r="I289" s="107"/>
      <c r="J289" s="7"/>
      <c r="K289" s="74"/>
      <c r="L289" s="7"/>
      <c r="M289" s="74"/>
      <c r="N289" s="74"/>
      <c r="O289" s="7"/>
      <c r="P289" s="74"/>
      <c r="Q289" s="7"/>
      <c r="R289" s="74"/>
      <c r="S289" s="74"/>
      <c r="T289" s="7"/>
      <c r="U289" s="7"/>
      <c r="V289" s="74"/>
      <c r="W289" s="7"/>
      <c r="X289" s="74"/>
      <c r="Y289" s="227"/>
      <c r="Z289" s="228"/>
      <c r="AA289" s="74"/>
      <c r="AB289" s="7"/>
      <c r="AC289" s="74">
        <f>(INDEX('Race 21'!$E$8:$E$200,(MATCH($B289,'Race 21'!$B$8:$B$200,0)),1))*100</f>
        <v>62.899142547508504</v>
      </c>
      <c r="AD289" s="74"/>
      <c r="AE289" s="7"/>
      <c r="AF289" s="74"/>
      <c r="AG289" s="74"/>
      <c r="AH289" s="7"/>
      <c r="AI289" s="7"/>
      <c r="AJ289" s="7"/>
      <c r="AK289" s="7"/>
      <c r="AL289" s="7"/>
      <c r="AM289" s="7"/>
      <c r="AN289" s="7"/>
      <c r="AO289" s="74">
        <f>(INDEX('Race 33'!$E$8:$E$200,(MATCH($B289,'Race 33'!$B$8:$B$200,0)),1))*100</f>
        <v>63.750863009853397</v>
      </c>
      <c r="AP289" s="7"/>
      <c r="AQ289" s="74"/>
      <c r="AR289" s="101"/>
      <c r="AS289" s="7"/>
      <c r="AT289" s="101"/>
      <c r="AU289" s="7"/>
      <c r="AV289" s="101"/>
      <c r="AW289" s="7"/>
      <c r="AX289" s="183"/>
      <c r="AY289" s="107"/>
      <c r="AZ289" s="74"/>
      <c r="BA289" s="74"/>
      <c r="BB289" s="74"/>
      <c r="BC289" s="74"/>
      <c r="BD289" s="7"/>
      <c r="BE289" s="7"/>
      <c r="BF289" s="74"/>
      <c r="BG289" s="74"/>
      <c r="BH289" s="74"/>
      <c r="BI289" s="74"/>
      <c r="BJ289" s="74"/>
      <c r="BK289" s="7"/>
      <c r="BL289" s="74"/>
      <c r="BM289" s="7"/>
      <c r="BN289" s="74"/>
      <c r="BO289" s="74"/>
      <c r="BP289" s="7"/>
      <c r="BQ289" s="7"/>
      <c r="BR289" s="7"/>
      <c r="BS289" s="7"/>
      <c r="BT289" s="7"/>
      <c r="BU289" s="74"/>
      <c r="BV289" s="7"/>
      <c r="BW289" s="74"/>
      <c r="BX289" s="74"/>
      <c r="BY289" s="74"/>
      <c r="BZ289" s="74"/>
      <c r="CA289" s="7"/>
      <c r="CB289" s="74"/>
      <c r="CC289" s="74"/>
      <c r="CD289" s="74"/>
      <c r="CE289" s="7"/>
      <c r="CF289" s="74"/>
      <c r="CG289" s="74"/>
      <c r="CH289" s="7"/>
      <c r="CI289" s="74"/>
      <c r="CJ289" s="74"/>
      <c r="CK289" s="101"/>
      <c r="CL289" s="74"/>
      <c r="CM289" s="74"/>
      <c r="CN289" s="74"/>
      <c r="CO289" s="101"/>
      <c r="CP289" s="74"/>
      <c r="CQ289" s="74"/>
      <c r="CR289" s="74"/>
      <c r="CS289" s="74"/>
      <c r="CT289" s="74"/>
      <c r="CU289" s="74"/>
      <c r="CV289" s="74"/>
      <c r="CW289" s="74"/>
      <c r="CX289" s="7"/>
      <c r="CY289" s="7"/>
      <c r="CZ289" s="74"/>
      <c r="DA289" s="74"/>
      <c r="DB289" s="74"/>
      <c r="DC289" s="74"/>
      <c r="DD289" s="7"/>
      <c r="DE289" s="74"/>
      <c r="DF289" s="74"/>
      <c r="DG289" s="74"/>
      <c r="DH289" s="74"/>
      <c r="DI289" s="74"/>
      <c r="DJ289" s="7"/>
      <c r="DK289" s="74"/>
      <c r="DL289" s="74"/>
      <c r="DM289" s="74"/>
      <c r="DN289" s="74"/>
      <c r="DO289" s="74"/>
      <c r="DP289" s="74"/>
      <c r="DQ289" s="74"/>
      <c r="DR289" s="7"/>
      <c r="DS289" s="7"/>
      <c r="DT289" s="74"/>
      <c r="DU289" s="74"/>
      <c r="DV289" s="74"/>
      <c r="DW289" s="74"/>
      <c r="DX289" s="74"/>
      <c r="DY289" s="74"/>
      <c r="DZ289" s="8">
        <f t="shared" si="60"/>
        <v>63.325002778680954</v>
      </c>
      <c r="EA289" s="3" t="str">
        <f t="shared" si="61"/>
        <v>Mehler, Mark</v>
      </c>
      <c r="EB289" s="2">
        <f t="shared" si="62"/>
        <v>1</v>
      </c>
      <c r="EC289" s="112">
        <f t="shared" si="72"/>
        <v>62.02919256713249</v>
      </c>
      <c r="ED289" s="29">
        <f t="shared" si="63"/>
        <v>62.303229809800229</v>
      </c>
      <c r="EE289" s="2">
        <f t="shared" si="64"/>
        <v>1</v>
      </c>
      <c r="EF289" s="46">
        <f t="shared" si="65"/>
        <v>2</v>
      </c>
      <c r="EG289" s="46">
        <f t="shared" si="66"/>
        <v>2</v>
      </c>
      <c r="EH289" s="29" t="str">
        <f t="shared" si="67"/>
        <v>WI</v>
      </c>
      <c r="EI289" s="29">
        <f>IF(COUNT(I289:Y289)&lt;5,DZ289,SUMPRODUCT(LARGE(I289:Y289,{1,2,3,4,5}))/5)</f>
        <v>63.325002778680954</v>
      </c>
      <c r="EJ289" s="29">
        <f>IF(COUNT(I289:AX289)&lt;5,DZ289,SUMPRODUCT(LARGE(I289:AX289,{1,2,3,4,5}))/5)</f>
        <v>63.325002778680954</v>
      </c>
      <c r="EK289" s="29">
        <f>IF(COUNT(I289:DY289)&lt;5,AVERAGE(I289:DY289),SUMPRODUCT(LARGE(I289:DY289,{1,2,3,4,5}))/5)</f>
        <v>63.325002778680954</v>
      </c>
      <c r="EL289" s="29">
        <f t="shared" si="68"/>
        <v>62.303229809800229</v>
      </c>
      <c r="EM289" s="116" t="str">
        <f t="shared" si="69"/>
        <v>Mehler, Mark</v>
      </c>
      <c r="EQ289"/>
    </row>
    <row r="290" spans="1:147" x14ac:dyDescent="0.25">
      <c r="A290" s="59">
        <f t="shared" si="70"/>
        <v>287</v>
      </c>
      <c r="B290" s="32" t="s">
        <v>1221</v>
      </c>
      <c r="C290" s="5" t="s">
        <v>6</v>
      </c>
      <c r="D290" s="6" t="s">
        <v>88</v>
      </c>
      <c r="E290" s="6">
        <v>0</v>
      </c>
      <c r="F290" s="6">
        <v>0</v>
      </c>
      <c r="G290" s="5">
        <f t="shared" ref="G290:G353" si="73">COUNT(I290:DY290)</f>
        <v>1</v>
      </c>
      <c r="H290" s="99">
        <v>0</v>
      </c>
      <c r="I290" s="107"/>
      <c r="J290" s="7"/>
      <c r="K290" s="74"/>
      <c r="L290" s="7"/>
      <c r="M290" s="74"/>
      <c r="N290" s="74"/>
      <c r="O290" s="7"/>
      <c r="P290" s="74"/>
      <c r="Q290" s="74"/>
      <c r="R290" s="74"/>
      <c r="S290" s="74"/>
      <c r="T290" s="7"/>
      <c r="U290" s="7"/>
      <c r="V290" s="74"/>
      <c r="W290" s="7"/>
      <c r="X290" s="74"/>
      <c r="Y290" s="227"/>
      <c r="Z290" s="228"/>
      <c r="AA290" s="74"/>
      <c r="AB290" s="74"/>
      <c r="AC290" s="74"/>
      <c r="AD290" s="74"/>
      <c r="AE290" s="7"/>
      <c r="AF290" s="74"/>
      <c r="AG290" s="74"/>
      <c r="AH290" s="7"/>
      <c r="AI290" s="7"/>
      <c r="AJ290" s="7"/>
      <c r="AK290" s="7"/>
      <c r="AL290" s="7"/>
      <c r="AM290" s="7"/>
      <c r="AN290" s="7"/>
      <c r="AO290" s="74"/>
      <c r="AP290" s="7"/>
      <c r="AQ290" s="74"/>
      <c r="AR290" s="101"/>
      <c r="AS290" s="7"/>
      <c r="AT290" s="70"/>
      <c r="AU290" s="7"/>
      <c r="AV290" s="70"/>
      <c r="AW290" s="7"/>
      <c r="AX290" s="8"/>
      <c r="AY290" s="36"/>
      <c r="AZ290" s="74"/>
      <c r="BA290" s="74"/>
      <c r="BB290" s="74"/>
      <c r="BC290" s="74"/>
      <c r="BD290" s="7"/>
      <c r="BE290" s="7"/>
      <c r="BF290" s="74"/>
      <c r="BG290" s="74"/>
      <c r="BH290" s="74"/>
      <c r="BI290" s="74"/>
      <c r="BJ290" s="74"/>
      <c r="BK290" s="7"/>
      <c r="BL290" s="74"/>
      <c r="BM290" s="7"/>
      <c r="BN290" s="74"/>
      <c r="BO290" s="74"/>
      <c r="BP290" s="7"/>
      <c r="BQ290" s="7"/>
      <c r="BR290" s="74"/>
      <c r="BS290" s="7"/>
      <c r="BT290" s="7"/>
      <c r="BU290" s="74"/>
      <c r="BV290" s="74"/>
      <c r="BW290" s="74"/>
      <c r="BX290" s="74"/>
      <c r="BY290" s="74"/>
      <c r="BZ290" s="74"/>
      <c r="CA290" s="7"/>
      <c r="CB290" s="74"/>
      <c r="CC290" s="74"/>
      <c r="CD290" s="74">
        <f>(INDEX('Race 74'!$E$8:$E$200,(MATCH($B290,'Race 74'!$B$8:$B$200,0)),1))*100</f>
        <v>55.29479825173896</v>
      </c>
      <c r="CE290" s="7"/>
      <c r="CF290" s="74"/>
      <c r="CG290" s="74"/>
      <c r="CH290" s="7"/>
      <c r="CI290" s="74"/>
      <c r="CJ290" s="74"/>
      <c r="CK290" s="101"/>
      <c r="CL290" s="74"/>
      <c r="CM290" s="74"/>
      <c r="CN290" s="74"/>
      <c r="CO290" s="101"/>
      <c r="CP290" s="74"/>
      <c r="CQ290" s="74"/>
      <c r="CR290" s="74"/>
      <c r="CS290" s="74"/>
      <c r="CT290" s="74"/>
      <c r="CU290" s="74"/>
      <c r="CV290" s="74"/>
      <c r="CW290" s="74"/>
      <c r="CX290" s="7"/>
      <c r="CY290" s="7"/>
      <c r="CZ290" s="74"/>
      <c r="DA290" s="74"/>
      <c r="DB290" s="74"/>
      <c r="DC290" s="74"/>
      <c r="DD290" s="74"/>
      <c r="DE290" s="74"/>
      <c r="DF290" s="74"/>
      <c r="DG290" s="74"/>
      <c r="DH290" s="74"/>
      <c r="DI290" s="74"/>
      <c r="DJ290" s="74"/>
      <c r="DK290" s="74"/>
      <c r="DL290" s="74"/>
      <c r="DM290" s="74"/>
      <c r="DN290" s="74"/>
      <c r="DO290" s="74"/>
      <c r="DP290" s="74"/>
      <c r="DQ290" s="74"/>
      <c r="DR290" s="74"/>
      <c r="DS290" s="74"/>
      <c r="DT290" s="74"/>
      <c r="DU290" s="74"/>
      <c r="DV290" s="74"/>
      <c r="DW290" s="74"/>
      <c r="DX290" s="74"/>
      <c r="DY290" s="74"/>
      <c r="DZ290" s="8">
        <f t="shared" si="60"/>
        <v>55.29479825173896</v>
      </c>
      <c r="EA290" s="22" t="str">
        <f t="shared" si="61"/>
        <v>Meingast, Wolfram</v>
      </c>
      <c r="EB290" s="56">
        <f t="shared" si="62"/>
        <v>1</v>
      </c>
      <c r="EC290" s="112">
        <f t="shared" si="72"/>
        <v>0</v>
      </c>
      <c r="ED290" s="112">
        <f t="shared" si="63"/>
        <v>54.402595682545218</v>
      </c>
      <c r="EE290" s="56">
        <f t="shared" si="64"/>
        <v>0</v>
      </c>
      <c r="EF290" s="111">
        <f t="shared" si="65"/>
        <v>0</v>
      </c>
      <c r="EG290" s="111">
        <f t="shared" si="66"/>
        <v>1</v>
      </c>
      <c r="EH290" s="56" t="str">
        <f t="shared" si="67"/>
        <v>WI</v>
      </c>
      <c r="EI290" s="112">
        <f>IF(COUNT(I290:AD290)&lt;5,DZ290,SUMPRODUCT(LARGE(I290:AD290,{1,2,3,4,5}))/5)</f>
        <v>55.29479825173896</v>
      </c>
      <c r="EJ290" s="112">
        <f>IF(COUNT(I290:BE290)&lt;5,DZ290,SUMPRODUCT(LARGE(I290:BE290,{1,2,3,4,5}))/5)</f>
        <v>55.29479825173896</v>
      </c>
      <c r="EK290" s="112">
        <f>IF(COUNT(I290:DY290)&lt;5,AVERAGE(I290:DY290),SUMPRODUCT(LARGE(I290:DY290,{1,2,3,4,5}))/5)</f>
        <v>55.29479825173896</v>
      </c>
      <c r="EL290" s="112">
        <f t="shared" si="68"/>
        <v>54.402595682545218</v>
      </c>
      <c r="EM290" s="163" t="str">
        <f t="shared" si="69"/>
        <v>Meingast, Wolfram</v>
      </c>
      <c r="EQ290"/>
    </row>
    <row r="291" spans="1:147" x14ac:dyDescent="0.25">
      <c r="A291" s="59">
        <f t="shared" si="70"/>
        <v>288</v>
      </c>
      <c r="B291" s="32" t="s">
        <v>507</v>
      </c>
      <c r="C291" s="5" t="s">
        <v>6</v>
      </c>
      <c r="D291" s="6" t="s">
        <v>122</v>
      </c>
      <c r="E291" s="6">
        <v>50.128881320376735</v>
      </c>
      <c r="F291" s="6">
        <v>50.128881320376735</v>
      </c>
      <c r="G291" s="5">
        <f t="shared" si="73"/>
        <v>1</v>
      </c>
      <c r="H291" s="99">
        <v>50.128881320376735</v>
      </c>
      <c r="I291" s="36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227"/>
      <c r="Z291" s="228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4"/>
      <c r="AP291" s="7"/>
      <c r="AQ291" s="74"/>
      <c r="AR291" s="70"/>
      <c r="AS291" s="7"/>
      <c r="AT291" s="70"/>
      <c r="AU291" s="7"/>
      <c r="AV291" s="70"/>
      <c r="AW291" s="7"/>
      <c r="AX291" s="8"/>
      <c r="AY291" s="36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4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>
        <f>(INDEX('Race 75'!$E$8:$E$200,(MATCH($B291,'Race 75'!$B$8:$B$200,0)),1))*100</f>
        <v>55.074463542166264</v>
      </c>
      <c r="CF291" s="74"/>
      <c r="CG291" s="7"/>
      <c r="CH291" s="7"/>
      <c r="CI291" s="7"/>
      <c r="CJ291" s="7"/>
      <c r="CK291" s="101"/>
      <c r="CL291" s="74"/>
      <c r="CM291" s="74"/>
      <c r="CN291" s="74"/>
      <c r="CO291" s="70"/>
      <c r="CP291" s="74"/>
      <c r="CQ291" s="7"/>
      <c r="CR291" s="74"/>
      <c r="CS291" s="74"/>
      <c r="CT291" s="74"/>
      <c r="CU291" s="74"/>
      <c r="CV291" s="74"/>
      <c r="CW291" s="7"/>
      <c r="CX291" s="7"/>
      <c r="CY291" s="7"/>
      <c r="CZ291" s="7"/>
      <c r="DA291" s="7"/>
      <c r="DB291" s="7"/>
      <c r="DC291" s="7"/>
      <c r="DD291" s="7"/>
      <c r="DE291" s="74"/>
      <c r="DF291" s="74"/>
      <c r="DG291" s="74"/>
      <c r="DH291" s="74"/>
      <c r="DI291" s="74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8">
        <f t="shared" si="60"/>
        <v>55.074463542166264</v>
      </c>
      <c r="EA291" s="3" t="str">
        <f t="shared" si="61"/>
        <v>Meland, Robert</v>
      </c>
      <c r="EB291" s="2">
        <f t="shared" si="62"/>
        <v>1</v>
      </c>
      <c r="EC291" s="112">
        <f t="shared" si="72"/>
        <v>50.128881320376735</v>
      </c>
      <c r="ED291" s="29">
        <f t="shared" si="63"/>
        <v>54.185816157188377</v>
      </c>
      <c r="EE291" s="2">
        <f t="shared" si="64"/>
        <v>0</v>
      </c>
      <c r="EF291" s="46">
        <f t="shared" si="65"/>
        <v>0</v>
      </c>
      <c r="EG291" s="46">
        <f t="shared" si="66"/>
        <v>1</v>
      </c>
      <c r="EH291" s="2" t="str">
        <f t="shared" si="67"/>
        <v>ND</v>
      </c>
      <c r="EI291" s="29">
        <f>IF(COUNT(I291:Y291)&lt;5,DZ291,SUMPRODUCT(LARGE(I291:Y291,{1,2,3,4,5}))/5)</f>
        <v>55.074463542166264</v>
      </c>
      <c r="EJ291" s="29">
        <f>IF(COUNT(I291:AX291)&lt;5,DZ291,SUMPRODUCT(LARGE(I291:AX291,{1,2,3,4,5}))/5)</f>
        <v>55.074463542166264</v>
      </c>
      <c r="EK291" s="112">
        <f>IF(COUNT(I291:DY291)&lt;5,AVERAGE(I291:DY291),SUMPRODUCT(LARGE(I291:DY291,{1,2,3,4,5}))/5)</f>
        <v>55.074463542166264</v>
      </c>
      <c r="EL291" s="29">
        <f t="shared" si="68"/>
        <v>54.185816157188377</v>
      </c>
      <c r="EM291" s="116" t="str">
        <f t="shared" si="69"/>
        <v>Meland, Robert</v>
      </c>
      <c r="EQ291"/>
    </row>
    <row r="292" spans="1:147" x14ac:dyDescent="0.25">
      <c r="A292" s="59">
        <f t="shared" si="70"/>
        <v>289</v>
      </c>
      <c r="B292" s="4" t="s">
        <v>1045</v>
      </c>
      <c r="C292" s="5" t="s">
        <v>16</v>
      </c>
      <c r="D292" s="6" t="s">
        <v>61</v>
      </c>
      <c r="E292" s="6">
        <v>62.571315957794674</v>
      </c>
      <c r="F292" s="6">
        <v>62.571315957794674</v>
      </c>
      <c r="G292" s="5">
        <f t="shared" si="73"/>
        <v>2</v>
      </c>
      <c r="H292" s="37">
        <v>0</v>
      </c>
      <c r="I292" s="10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>
        <f>(INDEX('Race 16'!$E$8:$E$200,(MATCH($B292,'Race 16'!$B$8:$B$200,0)),1))*100</f>
        <v>63.896054583006631</v>
      </c>
      <c r="Y292" s="227">
        <f>(INDEX('Race 17'!$E$8:$E$200,(MATCH($B292,'Race 17'!$B$8:$B$200,0)),1))*100</f>
        <v>61.246577332582717</v>
      </c>
      <c r="Z292" s="228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4"/>
      <c r="AP292" s="7"/>
      <c r="AQ292" s="74"/>
      <c r="AR292" s="7"/>
      <c r="AS292" s="7"/>
      <c r="AT292" s="70"/>
      <c r="AU292" s="7"/>
      <c r="AV292" s="70"/>
      <c r="AW292" s="7"/>
      <c r="AX292" s="8"/>
      <c r="AY292" s="36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4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0"/>
      <c r="CC292" s="7"/>
      <c r="CD292" s="7"/>
      <c r="CE292" s="7"/>
      <c r="CF292" s="74"/>
      <c r="CG292" s="7"/>
      <c r="CH292" s="7"/>
      <c r="CI292" s="7"/>
      <c r="CJ292" s="7"/>
      <c r="CK292" s="101"/>
      <c r="CL292" s="74"/>
      <c r="CM292" s="74"/>
      <c r="CN292" s="74"/>
      <c r="CO292" s="70"/>
      <c r="CP292" s="74"/>
      <c r="CQ292" s="7"/>
      <c r="CR292" s="74"/>
      <c r="CS292" s="74"/>
      <c r="CT292" s="74"/>
      <c r="CU292" s="74"/>
      <c r="CV292" s="7"/>
      <c r="CW292" s="7"/>
      <c r="CX292" s="7"/>
      <c r="CY292" s="7"/>
      <c r="CZ292" s="7"/>
      <c r="DA292" s="7"/>
      <c r="DB292" s="7"/>
      <c r="DC292" s="7"/>
      <c r="DD292" s="7"/>
      <c r="DE292" s="74"/>
      <c r="DF292" s="74"/>
      <c r="DG292" s="74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8">
        <f t="shared" si="60"/>
        <v>62.571315957794674</v>
      </c>
      <c r="EA292" s="3" t="str">
        <f t="shared" si="61"/>
        <v>Michaelson, Ben</v>
      </c>
      <c r="EB292" s="2">
        <f t="shared" si="62"/>
        <v>1</v>
      </c>
      <c r="EC292" s="112">
        <f t="shared" si="72"/>
        <v>0</v>
      </c>
      <c r="ED292" s="29">
        <f t="shared" si="63"/>
        <v>61.561704011997911</v>
      </c>
      <c r="EE292" s="2">
        <f t="shared" si="64"/>
        <v>2</v>
      </c>
      <c r="EF292" s="46">
        <f t="shared" si="65"/>
        <v>2</v>
      </c>
      <c r="EG292" s="46">
        <f t="shared" si="66"/>
        <v>2</v>
      </c>
      <c r="EH292" s="2" t="str">
        <f t="shared" si="67"/>
        <v>AK</v>
      </c>
      <c r="EI292" s="29">
        <f>IF(COUNT(I292:Y292)&lt;5,DZ292,SUMPRODUCT(LARGE(I292:Y292,{1,2,3,4,5}))/5)</f>
        <v>62.571315957794674</v>
      </c>
      <c r="EJ292" s="29">
        <f>IF(COUNT(I292:AX292)&lt;5,DZ292,SUMPRODUCT(LARGE(I292:AX292,{1,2,3,4,5}))/5)</f>
        <v>62.571315957794674</v>
      </c>
      <c r="EK292" s="112">
        <f>IF(COUNT(I292:DY292)&lt;5,AVERAGE(I292:DY292),SUMPRODUCT(LARGE(I292:DY292,{1,2,3,4,5}))/5)</f>
        <v>62.571315957794674</v>
      </c>
      <c r="EL292" s="29">
        <f t="shared" si="68"/>
        <v>61.561704011997911</v>
      </c>
      <c r="EM292" s="116" t="str">
        <f t="shared" si="69"/>
        <v>Michaelson, Ben</v>
      </c>
      <c r="EQ292"/>
    </row>
    <row r="293" spans="1:147" x14ac:dyDescent="0.25">
      <c r="A293" s="59">
        <f t="shared" si="70"/>
        <v>290</v>
      </c>
      <c r="B293" s="32" t="s">
        <v>722</v>
      </c>
      <c r="C293" s="5" t="s">
        <v>6</v>
      </c>
      <c r="D293" s="6" t="s">
        <v>66</v>
      </c>
      <c r="E293" s="6">
        <v>44.608346815591638</v>
      </c>
      <c r="F293" s="6">
        <v>44.608346815591638</v>
      </c>
      <c r="G293" s="5">
        <f t="shared" si="73"/>
        <v>0</v>
      </c>
      <c r="H293" s="37">
        <v>44.608346815591638</v>
      </c>
      <c r="I293" s="36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227"/>
      <c r="Z293" s="228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4"/>
      <c r="AP293" s="7"/>
      <c r="AQ293" s="74"/>
      <c r="AR293" s="70"/>
      <c r="AS293" s="7"/>
      <c r="AT293" s="70"/>
      <c r="AU293" s="7"/>
      <c r="AV293" s="70"/>
      <c r="AW293" s="7"/>
      <c r="AX293" s="183"/>
      <c r="AY293" s="10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4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101"/>
      <c r="CL293" s="74"/>
      <c r="CM293" s="74"/>
      <c r="CN293" s="74"/>
      <c r="CO293" s="70"/>
      <c r="CP293" s="74"/>
      <c r="CQ293" s="7"/>
      <c r="CR293" s="74"/>
      <c r="CS293" s="74"/>
      <c r="CT293" s="74"/>
      <c r="CU293" s="74"/>
      <c r="CV293" s="7"/>
      <c r="CW293" s="7"/>
      <c r="CX293" s="7"/>
      <c r="CY293" s="7"/>
      <c r="CZ293" s="7"/>
      <c r="DA293" s="7"/>
      <c r="DB293" s="7"/>
      <c r="DC293" s="7"/>
      <c r="DD293" s="7"/>
      <c r="DE293" s="74"/>
      <c r="DF293" s="74"/>
      <c r="DG293" s="74"/>
      <c r="DH293" s="7"/>
      <c r="DI293" s="74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8">
        <f t="shared" si="60"/>
        <v>44.608346815591638</v>
      </c>
      <c r="EA293" s="3" t="str">
        <f t="shared" si="61"/>
        <v>Miech, Ken</v>
      </c>
      <c r="EB293" s="2">
        <f t="shared" si="62"/>
        <v>0</v>
      </c>
      <c r="EC293" s="112">
        <f t="shared" si="72"/>
        <v>44.608346815591638</v>
      </c>
      <c r="ED293" s="29">
        <f t="shared" si="63"/>
        <v>0</v>
      </c>
      <c r="EE293" s="2">
        <f t="shared" si="64"/>
        <v>0</v>
      </c>
      <c r="EF293" s="46">
        <f t="shared" si="65"/>
        <v>0</v>
      </c>
      <c r="EG293" s="46">
        <f t="shared" si="66"/>
        <v>0</v>
      </c>
      <c r="EH293" s="2" t="str">
        <f t="shared" si="67"/>
        <v>WY</v>
      </c>
      <c r="EI293" s="29">
        <f>IF(COUNT(I293:Y293)&lt;5,DZ293,SUMPRODUCT(LARGE(I293:Y293,{1,2,3,4,5}))/5)</f>
        <v>44.608346815591638</v>
      </c>
      <c r="EJ293" s="29">
        <f>IF(COUNT(I293:AX293)&lt;5,DZ293,SUMPRODUCT(LARGE(I293:AX293,{1,2,3,4,5}))/5)</f>
        <v>44.608346815591638</v>
      </c>
      <c r="EK293" s="112">
        <f>IF(EG293&lt;0,AVERAGE(I293:DY293),0)</f>
        <v>0</v>
      </c>
      <c r="EL293" s="29">
        <f t="shared" si="68"/>
        <v>0</v>
      </c>
      <c r="EM293" s="116" t="str">
        <f t="shared" si="69"/>
        <v>Miech, Ken</v>
      </c>
      <c r="EQ293"/>
    </row>
    <row r="294" spans="1:147" x14ac:dyDescent="0.25">
      <c r="A294" s="59">
        <f t="shared" si="70"/>
        <v>291</v>
      </c>
      <c r="B294" s="32" t="s">
        <v>74</v>
      </c>
      <c r="C294" s="5" t="s">
        <v>6</v>
      </c>
      <c r="D294" s="6" t="s">
        <v>63</v>
      </c>
      <c r="E294" s="6">
        <v>36.389890673289152</v>
      </c>
      <c r="F294" s="6">
        <v>36.389890673289152</v>
      </c>
      <c r="G294" s="5">
        <f t="shared" si="73"/>
        <v>0</v>
      </c>
      <c r="H294" s="37">
        <v>36.389890673289152</v>
      </c>
      <c r="I294" s="107"/>
      <c r="J294" s="7"/>
      <c r="K294" s="74"/>
      <c r="L294" s="7"/>
      <c r="M294" s="74"/>
      <c r="N294" s="74"/>
      <c r="O294" s="7"/>
      <c r="P294" s="74"/>
      <c r="Q294" s="74"/>
      <c r="R294" s="74"/>
      <c r="S294" s="74"/>
      <c r="T294" s="7"/>
      <c r="U294" s="7"/>
      <c r="V294" s="74"/>
      <c r="W294" s="7"/>
      <c r="X294" s="74"/>
      <c r="Y294" s="227"/>
      <c r="Z294" s="228"/>
      <c r="AA294" s="74"/>
      <c r="AB294" s="74"/>
      <c r="AC294" s="74"/>
      <c r="AD294" s="74"/>
      <c r="AE294" s="7"/>
      <c r="AF294" s="74"/>
      <c r="AG294" s="74"/>
      <c r="AH294" s="7"/>
      <c r="AI294" s="7"/>
      <c r="AJ294" s="7"/>
      <c r="AK294" s="7"/>
      <c r="AL294" s="7"/>
      <c r="AM294" s="7"/>
      <c r="AN294" s="7"/>
      <c r="AO294" s="74"/>
      <c r="AP294" s="7"/>
      <c r="AQ294" s="74"/>
      <c r="AR294" s="101"/>
      <c r="AS294" s="7"/>
      <c r="AT294" s="101"/>
      <c r="AU294" s="7"/>
      <c r="AV294" s="101"/>
      <c r="AW294" s="7"/>
      <c r="AX294" s="8"/>
      <c r="AY294" s="36"/>
      <c r="AZ294" s="74"/>
      <c r="BA294" s="74"/>
      <c r="BB294" s="74"/>
      <c r="BC294" s="74"/>
      <c r="BD294" s="7"/>
      <c r="BE294" s="7"/>
      <c r="BF294" s="74"/>
      <c r="BG294" s="74"/>
      <c r="BH294" s="7"/>
      <c r="BI294" s="74"/>
      <c r="BJ294" s="74"/>
      <c r="BK294" s="7"/>
      <c r="BL294" s="74"/>
      <c r="BM294" s="7"/>
      <c r="BN294" s="74"/>
      <c r="BO294" s="74"/>
      <c r="BP294" s="7"/>
      <c r="BQ294" s="7"/>
      <c r="BR294" s="74"/>
      <c r="BS294" s="7"/>
      <c r="BT294" s="7"/>
      <c r="BU294" s="74"/>
      <c r="BV294" s="74"/>
      <c r="BW294" s="74"/>
      <c r="BX294" s="74"/>
      <c r="BY294" s="74"/>
      <c r="BZ294" s="7"/>
      <c r="CA294" s="7"/>
      <c r="CB294" s="74"/>
      <c r="CC294" s="74"/>
      <c r="CD294" s="74"/>
      <c r="CE294" s="7"/>
      <c r="CF294" s="74"/>
      <c r="CG294" s="74"/>
      <c r="CH294" s="7"/>
      <c r="CI294" s="7"/>
      <c r="CJ294" s="74"/>
      <c r="CK294" s="101"/>
      <c r="CL294" s="74"/>
      <c r="CM294" s="74"/>
      <c r="CN294" s="74"/>
      <c r="CO294" s="101"/>
      <c r="CP294" s="74"/>
      <c r="CQ294" s="74"/>
      <c r="CR294" s="74"/>
      <c r="CS294" s="74"/>
      <c r="CT294" s="74"/>
      <c r="CU294" s="74"/>
      <c r="CV294" s="7"/>
      <c r="CW294" s="74"/>
      <c r="CX294" s="7"/>
      <c r="CY294" s="7"/>
      <c r="CZ294" s="74"/>
      <c r="DA294" s="74"/>
      <c r="DB294" s="74"/>
      <c r="DC294" s="74"/>
      <c r="DD294" s="74"/>
      <c r="DE294" s="74"/>
      <c r="DF294" s="74"/>
      <c r="DG294" s="74"/>
      <c r="DH294" s="74"/>
      <c r="DI294" s="74"/>
      <c r="DJ294" s="74"/>
      <c r="DK294" s="74"/>
      <c r="DL294" s="74"/>
      <c r="DM294" s="74"/>
      <c r="DN294" s="74"/>
      <c r="DO294" s="74"/>
      <c r="DP294" s="7"/>
      <c r="DQ294" s="74"/>
      <c r="DR294" s="7"/>
      <c r="DS294" s="7"/>
      <c r="DT294" s="74"/>
      <c r="DU294" s="74"/>
      <c r="DV294" s="74"/>
      <c r="DW294" s="74"/>
      <c r="DX294" s="74"/>
      <c r="DY294" s="74"/>
      <c r="DZ294" s="8">
        <f t="shared" si="60"/>
        <v>36.389890673289152</v>
      </c>
      <c r="EA294" s="3" t="str">
        <f t="shared" si="61"/>
        <v>Milne, King</v>
      </c>
      <c r="EB294" s="2">
        <f t="shared" si="62"/>
        <v>0</v>
      </c>
      <c r="EC294" s="112">
        <f t="shared" si="72"/>
        <v>36.389890673289152</v>
      </c>
      <c r="ED294" s="29">
        <f t="shared" si="63"/>
        <v>0</v>
      </c>
      <c r="EE294" s="2">
        <f t="shared" si="64"/>
        <v>0</v>
      </c>
      <c r="EF294" s="46">
        <f t="shared" si="65"/>
        <v>0</v>
      </c>
      <c r="EG294" s="46">
        <f t="shared" si="66"/>
        <v>0</v>
      </c>
      <c r="EH294" s="2" t="str">
        <f t="shared" si="67"/>
        <v>VT</v>
      </c>
      <c r="EI294" s="29">
        <f>IF(COUNT(I294:Y294)&lt;5,DZ294,SUMPRODUCT(LARGE(I294:Y294,{1,2,3,4,5}))/5)</f>
        <v>36.389890673289152</v>
      </c>
      <c r="EJ294" s="29">
        <f>IF(COUNT(I294:AX294)&lt;5,DZ294,SUMPRODUCT(LARGE(I294:AX294,{1,2,3,4,5}))/5)</f>
        <v>36.389890673289152</v>
      </c>
      <c r="EK294" s="112">
        <f>IF(EG294&lt;0,AVERAGE(I294:DY294),0)</f>
        <v>0</v>
      </c>
      <c r="EL294" s="29">
        <f t="shared" si="68"/>
        <v>0</v>
      </c>
      <c r="EM294" s="116" t="str">
        <f t="shared" si="69"/>
        <v>Milne, King</v>
      </c>
      <c r="EQ294"/>
    </row>
    <row r="295" spans="1:147" x14ac:dyDescent="0.25">
      <c r="A295" s="59">
        <f t="shared" si="70"/>
        <v>292</v>
      </c>
      <c r="B295" s="32" t="s">
        <v>12</v>
      </c>
      <c r="C295" s="5" t="s">
        <v>6</v>
      </c>
      <c r="D295" s="6" t="s">
        <v>57</v>
      </c>
      <c r="E295" s="6">
        <v>61.556524973626225</v>
      </c>
      <c r="F295" s="6">
        <v>59.284937701582372</v>
      </c>
      <c r="G295" s="5">
        <f t="shared" si="73"/>
        <v>5</v>
      </c>
      <c r="H295" s="99">
        <v>61.556524973626225</v>
      </c>
      <c r="I295" s="36"/>
      <c r="J295" s="7"/>
      <c r="K295" s="7"/>
      <c r="L295" s="7"/>
      <c r="M295" s="74"/>
      <c r="N295" s="74"/>
      <c r="O295" s="7"/>
      <c r="P295" s="74"/>
      <c r="Q295" s="74"/>
      <c r="R295" s="74"/>
      <c r="S295" s="74"/>
      <c r="T295" s="7"/>
      <c r="U295" s="7"/>
      <c r="V295" s="74"/>
      <c r="W295" s="74"/>
      <c r="X295" s="74"/>
      <c r="Y295" s="229"/>
      <c r="Z295" s="230"/>
      <c r="AA295" s="74"/>
      <c r="AB295" s="74"/>
      <c r="AC295" s="74"/>
      <c r="AD295" s="74"/>
      <c r="AE295" s="7"/>
      <c r="AF295" s="7"/>
      <c r="AG295" s="74"/>
      <c r="AH295" s="7"/>
      <c r="AI295" s="7"/>
      <c r="AJ295" s="74">
        <f>(INDEX('Race 28'!$E$8:$E$200,(MATCH($B295,'Race 28'!$B$8:$B$200,0)),1))*100</f>
        <v>58.476519975816046</v>
      </c>
      <c r="AK295" s="74">
        <f>(INDEX('Race 29'!$E$8:$E$200,(MATCH($B295,'Race 29'!$B$8:$B$200,0)),1))*100</f>
        <v>54.761254500983028</v>
      </c>
      <c r="AL295" s="7"/>
      <c r="AM295" s="7"/>
      <c r="AN295" s="7"/>
      <c r="AO295" s="7"/>
      <c r="AP295" s="7"/>
      <c r="AQ295" s="74"/>
      <c r="AR295" s="101">
        <f>(INDEX('Race 36'!$E$8:$E$200,(MATCH($B295,'Race 36'!$B$8:$B$200,0)),1))*100</f>
        <v>63.341054459776622</v>
      </c>
      <c r="AS295" s="7"/>
      <c r="AT295" s="101"/>
      <c r="AU295" s="7"/>
      <c r="AV295" s="101">
        <f>(INDEX('Race 40'!$E$8:$E$200,(MATCH($B295,'Race 40'!$B$8:$B$200,0)),1))*100</f>
        <v>60.560921869753791</v>
      </c>
      <c r="AW295" s="7"/>
      <c r="AX295" s="8"/>
      <c r="AY295" s="36"/>
      <c r="AZ295" s="7"/>
      <c r="BA295" s="74"/>
      <c r="BB295" s="74"/>
      <c r="BC295" s="74"/>
      <c r="BD295" s="7"/>
      <c r="BE295" s="7"/>
      <c r="BF295" s="74"/>
      <c r="BG295" s="7"/>
      <c r="BH295" s="7"/>
      <c r="BI295" s="74"/>
      <c r="BJ295" s="74"/>
      <c r="BK295" s="7"/>
      <c r="BL295" s="74"/>
      <c r="BM295" s="7"/>
      <c r="BN295" s="74"/>
      <c r="BO295" s="7"/>
      <c r="BP295" s="7"/>
      <c r="BQ295" s="7"/>
      <c r="BR295" s="74">
        <f>(INDEX('Race 62'!$E$8:$E$200,(MATCH($B295,'Race 62'!$B$8:$B$200,0)),1))*100</f>
        <v>64.740017168215772</v>
      </c>
      <c r="BS295" s="7"/>
      <c r="BT295" s="7"/>
      <c r="BU295" s="74"/>
      <c r="BV295" s="74"/>
      <c r="BW295" s="74"/>
      <c r="BX295" s="74"/>
      <c r="BY295" s="74"/>
      <c r="BZ295" s="74"/>
      <c r="CA295" s="7"/>
      <c r="CB295" s="7"/>
      <c r="CC295" s="74"/>
      <c r="CD295" s="74"/>
      <c r="CE295" s="7"/>
      <c r="CF295" s="74"/>
      <c r="CG295" s="74"/>
      <c r="CH295" s="7"/>
      <c r="CI295" s="74"/>
      <c r="CJ295" s="74"/>
      <c r="CK295" s="101"/>
      <c r="CL295" s="7"/>
      <c r="CM295" s="74"/>
      <c r="CN295" s="74"/>
      <c r="CO295" s="101"/>
      <c r="CP295" s="74"/>
      <c r="CQ295" s="74"/>
      <c r="CR295" s="74"/>
      <c r="CS295" s="74"/>
      <c r="CT295" s="74"/>
      <c r="CU295" s="74"/>
      <c r="CV295" s="74"/>
      <c r="CW295" s="74"/>
      <c r="CX295" s="7"/>
      <c r="CY295" s="7"/>
      <c r="CZ295" s="74"/>
      <c r="DA295" s="74"/>
      <c r="DB295" s="74"/>
      <c r="DC295" s="74"/>
      <c r="DD295" s="74"/>
      <c r="DE295" s="74"/>
      <c r="DF295" s="74"/>
      <c r="DG295" s="74"/>
      <c r="DH295" s="74"/>
      <c r="DI295" s="74"/>
      <c r="DJ295" s="74"/>
      <c r="DK295" s="74"/>
      <c r="DL295" s="74"/>
      <c r="DM295" s="74"/>
      <c r="DN295" s="74"/>
      <c r="DO295" s="74"/>
      <c r="DP295" s="7"/>
      <c r="DQ295" s="74"/>
      <c r="DR295" s="7"/>
      <c r="DS295" s="7"/>
      <c r="DT295" s="74"/>
      <c r="DU295" s="74"/>
      <c r="DV295" s="74"/>
      <c r="DW295" s="74"/>
      <c r="DX295" s="74"/>
      <c r="DY295" s="74"/>
      <c r="DZ295" s="8">
        <f t="shared" si="60"/>
        <v>60.375953594909049</v>
      </c>
      <c r="EA295" s="3" t="str">
        <f t="shared" si="61"/>
        <v>Moffett, Thomas</v>
      </c>
      <c r="EB295" s="2">
        <f t="shared" si="62"/>
        <v>1</v>
      </c>
      <c r="EC295" s="112">
        <f t="shared" si="72"/>
        <v>61.556524973626225</v>
      </c>
      <c r="ED295" s="29">
        <f t="shared" si="63"/>
        <v>59.401764654574045</v>
      </c>
      <c r="EE295" s="2">
        <f t="shared" si="64"/>
        <v>0</v>
      </c>
      <c r="EF295" s="46">
        <f t="shared" si="65"/>
        <v>4</v>
      </c>
      <c r="EG295" s="46">
        <f t="shared" si="66"/>
        <v>5</v>
      </c>
      <c r="EH295" s="29" t="str">
        <f t="shared" si="67"/>
        <v>NY</v>
      </c>
      <c r="EI295" s="29">
        <f>IF(COUNT(I295:Y295)&lt;5,DZ295,SUMPRODUCT(LARGE(I295:Y295,{1,2,3,4,5}))/5)</f>
        <v>60.375953594909049</v>
      </c>
      <c r="EJ295" s="29">
        <f>IF(COUNT(I295:AX295)&lt;5,DZ295,SUMPRODUCT(LARGE(I295:AX295,{1,2,3,4,5}))/5)</f>
        <v>60.375953594909049</v>
      </c>
      <c r="EK295" s="29">
        <f>IF(COUNT(I295:DY295)&lt;5,AVERAGE(I295:DY295),SUMPRODUCT(LARGE(I295:DY295,{1,2,3,4,5}))/5)</f>
        <v>60.375953594909063</v>
      </c>
      <c r="EL295" s="29">
        <f t="shared" si="68"/>
        <v>59.401764654574045</v>
      </c>
      <c r="EM295" s="116" t="str">
        <f t="shared" si="69"/>
        <v>Moffett, Thomas</v>
      </c>
      <c r="EQ295"/>
    </row>
    <row r="296" spans="1:147" x14ac:dyDescent="0.25">
      <c r="A296" s="59">
        <f t="shared" si="70"/>
        <v>293</v>
      </c>
      <c r="B296" s="186" t="s">
        <v>944</v>
      </c>
      <c r="C296" s="106" t="s">
        <v>6</v>
      </c>
      <c r="D296" s="187" t="s">
        <v>69</v>
      </c>
      <c r="E296" s="187">
        <v>40.23789263870141</v>
      </c>
      <c r="F296" s="187">
        <v>40.23789263870141</v>
      </c>
      <c r="G296" s="106">
        <f t="shared" si="73"/>
        <v>0</v>
      </c>
      <c r="H296" s="188">
        <v>40.23789263870141</v>
      </c>
      <c r="I296" s="107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229"/>
      <c r="Z296" s="230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101"/>
      <c r="AS296" s="74"/>
      <c r="AT296" s="101"/>
      <c r="AU296" s="74"/>
      <c r="AV296" s="101"/>
      <c r="AW296" s="74"/>
      <c r="AX296" s="8"/>
      <c r="AY296" s="36"/>
      <c r="AZ296" s="74"/>
      <c r="BA296" s="74"/>
      <c r="BB296" s="74"/>
      <c r="BC296" s="74"/>
      <c r="BD296" s="7"/>
      <c r="BE296" s="7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"/>
      <c r="BQ296" s="7"/>
      <c r="BR296" s="74"/>
      <c r="BS296" s="7"/>
      <c r="BT296" s="7"/>
      <c r="BU296" s="74"/>
      <c r="BV296" s="74"/>
      <c r="BW296" s="74"/>
      <c r="BX296" s="74"/>
      <c r="BY296" s="74"/>
      <c r="BZ296" s="74"/>
      <c r="CA296" s="7"/>
      <c r="CB296" s="74"/>
      <c r="CC296" s="74"/>
      <c r="CD296" s="74"/>
      <c r="CE296" s="74"/>
      <c r="CF296" s="74"/>
      <c r="CG296" s="74"/>
      <c r="CH296" s="74"/>
      <c r="CI296" s="74"/>
      <c r="CJ296" s="74"/>
      <c r="CK296" s="101"/>
      <c r="CL296" s="74"/>
      <c r="CM296" s="74"/>
      <c r="CN296" s="74"/>
      <c r="CO296" s="101"/>
      <c r="CP296" s="74"/>
      <c r="CQ296" s="74"/>
      <c r="CR296" s="74"/>
      <c r="CS296" s="74"/>
      <c r="CT296" s="74"/>
      <c r="CU296" s="74"/>
      <c r="CV296" s="74"/>
      <c r="CW296" s="74"/>
      <c r="CX296" s="7"/>
      <c r="CY296" s="7"/>
      <c r="CZ296" s="74"/>
      <c r="DA296" s="74"/>
      <c r="DB296" s="74"/>
      <c r="DC296" s="74"/>
      <c r="DD296" s="74"/>
      <c r="DE296" s="74"/>
      <c r="DF296" s="74"/>
      <c r="DG296" s="74"/>
      <c r="DH296" s="74"/>
      <c r="DI296" s="74"/>
      <c r="DJ296" s="74"/>
      <c r="DK296" s="74"/>
      <c r="DL296" s="74"/>
      <c r="DM296" s="74"/>
      <c r="DN296" s="74"/>
      <c r="DO296" s="74"/>
      <c r="DP296" s="74"/>
      <c r="DQ296" s="74"/>
      <c r="DR296" s="7"/>
      <c r="DS296" s="7"/>
      <c r="DT296" s="7"/>
      <c r="DU296" s="7"/>
      <c r="DV296" s="74"/>
      <c r="DW296" s="74"/>
      <c r="DX296" s="74"/>
      <c r="DY296" s="74"/>
      <c r="DZ296" s="8">
        <f t="shared" si="60"/>
        <v>40.23789263870141</v>
      </c>
      <c r="EA296" s="3" t="str">
        <f t="shared" si="61"/>
        <v>MOHAMED, Tod</v>
      </c>
      <c r="EB296" s="2">
        <f t="shared" si="62"/>
        <v>0</v>
      </c>
      <c r="EC296" s="112">
        <f t="shared" si="72"/>
        <v>40.23789263870141</v>
      </c>
      <c r="ED296" s="29">
        <f t="shared" si="63"/>
        <v>0</v>
      </c>
      <c r="EE296" s="2">
        <f t="shared" si="64"/>
        <v>0</v>
      </c>
      <c r="EF296" s="46">
        <f t="shared" si="65"/>
        <v>0</v>
      </c>
      <c r="EG296" s="46">
        <f t="shared" si="66"/>
        <v>0</v>
      </c>
      <c r="EH296" s="29" t="str">
        <f t="shared" si="67"/>
        <v>WA</v>
      </c>
      <c r="EI296" s="29">
        <f>IF(COUNT(I296:Y296)&lt;5,DZ296,SUMPRODUCT(LARGE(I296:Y296,{1,2,3,4,5}))/5)</f>
        <v>40.23789263870141</v>
      </c>
      <c r="EJ296" s="29">
        <f>IF(COUNT(I296:AX296)&lt;5,DZ296,SUMPRODUCT(LARGE(I296:AX296,{1,2,3,4,5}))/5)</f>
        <v>40.23789263870141</v>
      </c>
      <c r="EK296" s="112">
        <f>IF(EG296&lt;0,AVERAGE(I296:DY296),0)</f>
        <v>0</v>
      </c>
      <c r="EL296" s="29">
        <f t="shared" si="68"/>
        <v>0</v>
      </c>
      <c r="EM296" s="116" t="str">
        <f t="shared" si="69"/>
        <v>MOHAMED, Tod</v>
      </c>
      <c r="EQ296"/>
    </row>
    <row r="297" spans="1:147" x14ac:dyDescent="0.25">
      <c r="A297" s="59">
        <f t="shared" si="70"/>
        <v>294</v>
      </c>
      <c r="B297" s="32" t="s">
        <v>942</v>
      </c>
      <c r="C297" s="5" t="s">
        <v>6</v>
      </c>
      <c r="D297" s="6" t="s">
        <v>69</v>
      </c>
      <c r="E297" s="6">
        <v>0</v>
      </c>
      <c r="F297" s="6">
        <v>49.890461050126262</v>
      </c>
      <c r="G297" s="5">
        <f t="shared" si="73"/>
        <v>3</v>
      </c>
      <c r="H297" s="37">
        <v>0</v>
      </c>
      <c r="I297" s="36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227"/>
      <c r="Z297" s="228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4">
        <f>(INDEX('Race 31'!$E$8:$E$200,(MATCH($B297,'Race 31'!$B$8:$B$200,0)),1))*100</f>
        <v>54.703580301952179</v>
      </c>
      <c r="AN297" s="74">
        <f>(INDEX('Race 32'!$E$8:$E$200,(MATCH($B297,'Race 32'!$B$8:$B$200,0)),1))*100</f>
        <v>45.077341798300345</v>
      </c>
      <c r="AO297" s="7"/>
      <c r="AP297" s="7"/>
      <c r="AQ297" s="74"/>
      <c r="AR297" s="70"/>
      <c r="AS297" s="7"/>
      <c r="AT297" s="70"/>
      <c r="AU297" s="7"/>
      <c r="AV297" s="70"/>
      <c r="AW297" s="7"/>
      <c r="AX297" s="183"/>
      <c r="AY297" s="36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4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>
        <f>(INDEX('Race 71'!$E$8:$E$200,(MATCH($B297,'Race 71'!$B$8:$B$200,0)),1))*100</f>
        <v>49.979417282149555</v>
      </c>
      <c r="CB297" s="7"/>
      <c r="CC297" s="7"/>
      <c r="CD297" s="7"/>
      <c r="CE297" s="7"/>
      <c r="CF297" s="7"/>
      <c r="CG297" s="7"/>
      <c r="CH297" s="7"/>
      <c r="CI297" s="7"/>
      <c r="CJ297" s="7"/>
      <c r="CK297" s="101"/>
      <c r="CL297" s="74"/>
      <c r="CM297" s="74"/>
      <c r="CN297" s="74"/>
      <c r="CO297" s="70"/>
      <c r="CP297" s="74"/>
      <c r="CQ297" s="7"/>
      <c r="CR297" s="74"/>
      <c r="CS297" s="74"/>
      <c r="CT297" s="74"/>
      <c r="CU297" s="74"/>
      <c r="CV297" s="7"/>
      <c r="CW297" s="7"/>
      <c r="CX297" s="7"/>
      <c r="CY297" s="7"/>
      <c r="CZ297" s="7"/>
      <c r="DA297" s="7"/>
      <c r="DB297" s="7"/>
      <c r="DC297" s="7"/>
      <c r="DD297" s="7"/>
      <c r="DE297" s="74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8">
        <f t="shared" si="60"/>
        <v>49.920113127467367</v>
      </c>
      <c r="EA297" s="3" t="str">
        <f t="shared" si="61"/>
        <v>MONIE, Paul</v>
      </c>
      <c r="EB297" s="2">
        <f t="shared" si="62"/>
        <v>1</v>
      </c>
      <c r="EC297" s="112">
        <f t="shared" si="72"/>
        <v>0</v>
      </c>
      <c r="ED297" s="29">
        <f t="shared" si="63"/>
        <v>49.114633143907284</v>
      </c>
      <c r="EE297" s="2">
        <f t="shared" si="64"/>
        <v>0</v>
      </c>
      <c r="EF297" s="46">
        <f t="shared" si="65"/>
        <v>2</v>
      </c>
      <c r="EG297" s="46">
        <f t="shared" si="66"/>
        <v>3</v>
      </c>
      <c r="EH297" s="29" t="str">
        <f t="shared" si="67"/>
        <v>WA</v>
      </c>
      <c r="EI297" s="29">
        <f>IF(COUNT(I297:AD297)&lt;5,DZ297,SUMPRODUCT(LARGE(I297:AD297,{1,2,3,4,5}))/5)</f>
        <v>49.920113127467367</v>
      </c>
      <c r="EJ297" s="29">
        <f>IF(COUNT(I297:AX297)&lt;5,DZ297,SUMPRODUCT(LARGE(I297:AX297,{1,2,3,4,5}))/5)</f>
        <v>49.920113127467367</v>
      </c>
      <c r="EK297" s="29">
        <f>IF(COUNT(I297:DY297)&lt;5,AVERAGE(I297:DY297),SUMPRODUCT(LARGE(I297:DY297,{1,2,3,4,5}))/5)</f>
        <v>49.920113127467367</v>
      </c>
      <c r="EL297" s="29">
        <f t="shared" si="68"/>
        <v>49.114633143907284</v>
      </c>
      <c r="EM297" s="116" t="str">
        <f t="shared" si="69"/>
        <v>MONIE, Paul</v>
      </c>
      <c r="EQ297"/>
    </row>
    <row r="298" spans="1:147" x14ac:dyDescent="0.25">
      <c r="A298" s="59">
        <f t="shared" si="70"/>
        <v>295</v>
      </c>
      <c r="B298" s="32" t="s">
        <v>829</v>
      </c>
      <c r="C298" s="5" t="s">
        <v>6</v>
      </c>
      <c r="D298" s="6" t="s">
        <v>159</v>
      </c>
      <c r="E298" s="6">
        <v>51.07118350798013</v>
      </c>
      <c r="F298" s="6">
        <v>51.07118350798013</v>
      </c>
      <c r="G298" s="5">
        <f t="shared" si="73"/>
        <v>0</v>
      </c>
      <c r="H298" s="37">
        <v>51.07118350798013</v>
      </c>
      <c r="I298" s="36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227"/>
      <c r="Z298" s="228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4"/>
      <c r="AR298" s="7"/>
      <c r="AS298" s="7"/>
      <c r="AT298" s="70"/>
      <c r="AU298" s="7"/>
      <c r="AV298" s="70"/>
      <c r="AW298" s="7"/>
      <c r="AX298" s="8"/>
      <c r="AY298" s="36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4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4"/>
      <c r="CF298" s="74"/>
      <c r="CG298" s="7"/>
      <c r="CH298" s="7"/>
      <c r="CI298" s="7"/>
      <c r="CJ298" s="7"/>
      <c r="CK298" s="101"/>
      <c r="CL298" s="74"/>
      <c r="CM298" s="74"/>
      <c r="CN298" s="74"/>
      <c r="CO298" s="70"/>
      <c r="CP298" s="74"/>
      <c r="CQ298" s="7"/>
      <c r="CR298" s="74"/>
      <c r="CS298" s="74"/>
      <c r="CT298" s="74"/>
      <c r="CU298" s="74"/>
      <c r="CV298" s="7"/>
      <c r="CW298" s="7"/>
      <c r="CX298" s="7"/>
      <c r="CY298" s="7"/>
      <c r="CZ298" s="7"/>
      <c r="DA298" s="7"/>
      <c r="DB298" s="7"/>
      <c r="DC298" s="7"/>
      <c r="DD298" s="7"/>
      <c r="DE298" s="74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8">
        <f t="shared" si="60"/>
        <v>51.07118350798013</v>
      </c>
      <c r="EA298" s="3" t="str">
        <f t="shared" si="61"/>
        <v>MOODY, KEITH</v>
      </c>
      <c r="EB298" s="2">
        <f t="shared" si="62"/>
        <v>0</v>
      </c>
      <c r="EC298" s="29">
        <v>0</v>
      </c>
      <c r="ED298" s="29">
        <f t="shared" si="63"/>
        <v>0</v>
      </c>
      <c r="EE298" s="2">
        <f t="shared" si="64"/>
        <v>0</v>
      </c>
      <c r="EF298" s="46">
        <f t="shared" si="65"/>
        <v>0</v>
      </c>
      <c r="EG298" s="46">
        <f t="shared" si="66"/>
        <v>0</v>
      </c>
      <c r="EH298" s="29" t="str">
        <f t="shared" si="67"/>
        <v>RI</v>
      </c>
      <c r="EI298" s="29">
        <f>IF(COUNT(I298:Y298)&lt;5,DZ298,SUMPRODUCT(LARGE(I298:Y298,{1,2,3,4,5}))/5)</f>
        <v>51.07118350798013</v>
      </c>
      <c r="EJ298" s="29">
        <f>IF(COUNT(I298:AX298)&lt;5,DZ298,SUMPRODUCT(LARGE(I298:AX298,{1,2,3,4,5}))/5)</f>
        <v>51.07118350798013</v>
      </c>
      <c r="EK298" s="112">
        <f>IF(EG298&lt;0,AVERAGE(I298:DY298),0)</f>
        <v>0</v>
      </c>
      <c r="EL298" s="29">
        <f t="shared" si="68"/>
        <v>0</v>
      </c>
      <c r="EM298" s="116" t="str">
        <f t="shared" si="69"/>
        <v>MOODY, KEITH</v>
      </c>
      <c r="EQ298"/>
    </row>
    <row r="299" spans="1:147" x14ac:dyDescent="0.25">
      <c r="A299" s="59">
        <f t="shared" si="70"/>
        <v>296</v>
      </c>
      <c r="B299" s="32" t="s">
        <v>826</v>
      </c>
      <c r="C299" s="5" t="s">
        <v>6</v>
      </c>
      <c r="D299" s="6" t="s">
        <v>63</v>
      </c>
      <c r="E299" s="6">
        <v>57.37225017169083</v>
      </c>
      <c r="F299" s="6">
        <v>57.37225017169083</v>
      </c>
      <c r="G299" s="5">
        <f t="shared" si="73"/>
        <v>0</v>
      </c>
      <c r="H299" s="37">
        <v>57.37225017169083</v>
      </c>
      <c r="I299" s="36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227"/>
      <c r="Z299" s="228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4"/>
      <c r="AP299" s="7"/>
      <c r="AQ299" s="74"/>
      <c r="AR299" s="70"/>
      <c r="AS299" s="7"/>
      <c r="AT299" s="70"/>
      <c r="AU299" s="7"/>
      <c r="AV299" s="70"/>
      <c r="AW299" s="7"/>
      <c r="AX299" s="183"/>
      <c r="AY299" s="10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4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4"/>
      <c r="CE299" s="7"/>
      <c r="CF299" s="7"/>
      <c r="CG299" s="74"/>
      <c r="CH299" s="7"/>
      <c r="CI299" s="7"/>
      <c r="CJ299" s="7"/>
      <c r="CK299" s="101"/>
      <c r="CL299" s="74"/>
      <c r="CM299" s="74"/>
      <c r="CN299" s="74"/>
      <c r="CO299" s="70"/>
      <c r="CP299" s="74"/>
      <c r="CQ299" s="7"/>
      <c r="CR299" s="74"/>
      <c r="CS299" s="74"/>
      <c r="CT299" s="74"/>
      <c r="CU299" s="74"/>
      <c r="CV299" s="7"/>
      <c r="CW299" s="7"/>
      <c r="CX299" s="7"/>
      <c r="CY299" s="7"/>
      <c r="CZ299" s="7"/>
      <c r="DA299" s="7"/>
      <c r="DB299" s="7"/>
      <c r="DC299" s="7"/>
      <c r="DD299" s="7"/>
      <c r="DE299" s="74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8">
        <f t="shared" si="60"/>
        <v>57.37225017169083</v>
      </c>
      <c r="EA299" s="3" t="str">
        <f t="shared" si="61"/>
        <v>Moody, Matt</v>
      </c>
      <c r="EB299" s="2">
        <f t="shared" si="62"/>
        <v>0</v>
      </c>
      <c r="EC299" s="112">
        <f>H299</f>
        <v>57.37225017169083</v>
      </c>
      <c r="ED299" s="29">
        <f t="shared" si="63"/>
        <v>0</v>
      </c>
      <c r="EE299" s="2">
        <f t="shared" si="64"/>
        <v>0</v>
      </c>
      <c r="EF299" s="46">
        <f t="shared" si="65"/>
        <v>0</v>
      </c>
      <c r="EG299" s="46">
        <f t="shared" si="66"/>
        <v>0</v>
      </c>
      <c r="EH299" s="29" t="str">
        <f t="shared" si="67"/>
        <v>VT</v>
      </c>
      <c r="EI299" s="29">
        <f>IF(COUNT(I299:Y299)&lt;5,DZ299,SUMPRODUCT(LARGE(I299:Y299,{1,2,3,4,5}))/5)</f>
        <v>57.37225017169083</v>
      </c>
      <c r="EJ299" s="29">
        <f>IF(COUNT(I299:AX299)&lt;5,DZ299,SUMPRODUCT(LARGE(I299:AX299,{1,2,3,4,5}))/5)</f>
        <v>57.37225017169083</v>
      </c>
      <c r="EK299" s="112">
        <f>IF(EG299&lt;0,AVERAGE(I299:DY299),0)</f>
        <v>0</v>
      </c>
      <c r="EL299" s="29">
        <f t="shared" si="68"/>
        <v>0</v>
      </c>
      <c r="EM299" s="116" t="str">
        <f t="shared" si="69"/>
        <v>Moody, Matt</v>
      </c>
      <c r="EQ299"/>
    </row>
    <row r="300" spans="1:147" x14ac:dyDescent="0.25">
      <c r="A300" s="59">
        <f t="shared" si="70"/>
        <v>297</v>
      </c>
      <c r="B300" s="32" t="s">
        <v>1194</v>
      </c>
      <c r="C300" s="5" t="s">
        <v>6</v>
      </c>
      <c r="D300" s="6" t="s">
        <v>62</v>
      </c>
      <c r="E300" s="6">
        <v>0</v>
      </c>
      <c r="F300" s="6">
        <v>0</v>
      </c>
      <c r="G300" s="5">
        <f t="shared" si="73"/>
        <v>4</v>
      </c>
      <c r="H300" s="37">
        <v>0</v>
      </c>
      <c r="I300" s="36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227"/>
      <c r="Z300" s="228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4"/>
      <c r="AP300" s="7"/>
      <c r="AQ300" s="74"/>
      <c r="AR300" s="70"/>
      <c r="AS300" s="7"/>
      <c r="AT300" s="70"/>
      <c r="AU300" s="7"/>
      <c r="AV300" s="70"/>
      <c r="AW300" s="7"/>
      <c r="AX300" s="183"/>
      <c r="AY300" s="10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4"/>
      <c r="BO300" s="7"/>
      <c r="BP300" s="7"/>
      <c r="BQ300" s="7"/>
      <c r="BR300" s="7"/>
      <c r="BS300" s="7">
        <f>(INDEX('Race 63'!$E$8:$E$200,(MATCH($B300,'Race 63'!$B$8:$B$200,0)),1))*100</f>
        <v>72.300386863742375</v>
      </c>
      <c r="BT300" s="7">
        <f>(INDEX('Race 64'!$E$8:$E$200,(MATCH($B300,'Race 64'!$B$8:$B$200,0)),1))*100</f>
        <v>69.313393321000888</v>
      </c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4"/>
      <c r="CF300" s="74"/>
      <c r="CG300" s="7"/>
      <c r="CH300" s="7"/>
      <c r="CI300" s="7"/>
      <c r="CJ300" s="7"/>
      <c r="CK300" s="101"/>
      <c r="CL300" s="74"/>
      <c r="CM300" s="74"/>
      <c r="CN300" s="74">
        <f>(INDEX('Race 84'!$E$8:$E$200,(MATCH($B300,'Race 84'!$B$8:$B$200,0)),1))*100</f>
        <v>69.327332764686602</v>
      </c>
      <c r="CO300" s="70"/>
      <c r="CP300" s="74">
        <f>(INDEX('Race 86'!$E$8:$E$200,(MATCH($B300,'Race 86'!$B$8:$B$200,0)),1))*100</f>
        <v>75.416350559179577</v>
      </c>
      <c r="CQ300" s="7"/>
      <c r="CR300" s="74"/>
      <c r="CS300" s="74"/>
      <c r="CT300" s="74"/>
      <c r="CU300" s="74"/>
      <c r="CV300" s="7"/>
      <c r="CW300" s="7"/>
      <c r="CX300" s="7"/>
      <c r="CY300" s="7"/>
      <c r="CZ300" s="7"/>
      <c r="DA300" s="7"/>
      <c r="DB300" s="7"/>
      <c r="DC300" s="7"/>
      <c r="DD300" s="7"/>
      <c r="DE300" s="74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8">
        <f t="shared" si="60"/>
        <v>71.58936587715236</v>
      </c>
      <c r="EA300" s="3" t="str">
        <f t="shared" si="61"/>
        <v>Morgan, Nathan</v>
      </c>
      <c r="EB300" s="2">
        <f t="shared" si="62"/>
        <v>1</v>
      </c>
      <c r="EC300" s="29">
        <v>0</v>
      </c>
      <c r="ED300" s="29">
        <f t="shared" si="63"/>
        <v>70.434244271106223</v>
      </c>
      <c r="EE300" s="2">
        <f t="shared" si="64"/>
        <v>0</v>
      </c>
      <c r="EF300" s="46">
        <f t="shared" si="65"/>
        <v>0</v>
      </c>
      <c r="EG300" s="46">
        <f t="shared" si="66"/>
        <v>4</v>
      </c>
      <c r="EH300" s="29" t="str">
        <f t="shared" si="67"/>
        <v>CO</v>
      </c>
      <c r="EI300" s="29">
        <f>IF(COUNT(I300:AD300)&lt;5,DZ300,SUMPRODUCT(LARGE(I300:AD300,{1,2,3,4,5}))/5)</f>
        <v>71.58936587715236</v>
      </c>
      <c r="EJ300" s="29">
        <f>IF(COUNT(I300:AX300)&lt;5,DZ300,SUMPRODUCT(LARGE(I300:AX300,{1,2,3,4,5}))/5)</f>
        <v>71.58936587715236</v>
      </c>
      <c r="EK300" s="29">
        <f>IF(COUNT(I300:DY300)&lt;5,AVERAGE(I300:DY300),SUMPRODUCT(LARGE(I300:DY300,{1,2,3,4,5}))/5)</f>
        <v>71.58936587715236</v>
      </c>
      <c r="EL300" s="29">
        <f t="shared" si="68"/>
        <v>70.434244271106223</v>
      </c>
      <c r="EM300" s="116" t="str">
        <f t="shared" si="69"/>
        <v>Morgan, Nathan</v>
      </c>
      <c r="EQ300"/>
    </row>
    <row r="301" spans="1:147" x14ac:dyDescent="0.25">
      <c r="A301" s="59">
        <f t="shared" si="70"/>
        <v>298</v>
      </c>
      <c r="B301" s="32" t="s">
        <v>694</v>
      </c>
      <c r="C301" s="5" t="s">
        <v>6</v>
      </c>
      <c r="D301" s="6" t="s">
        <v>67</v>
      </c>
      <c r="E301" s="6">
        <v>73.634681818425506</v>
      </c>
      <c r="F301" s="6">
        <v>73.634681818425506</v>
      </c>
      <c r="G301" s="5">
        <f t="shared" si="73"/>
        <v>2</v>
      </c>
      <c r="H301" s="37">
        <v>73.634681818425506</v>
      </c>
      <c r="I301" s="36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227"/>
      <c r="Z301" s="228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4"/>
      <c r="AP301" s="7"/>
      <c r="AQ301" s="74"/>
      <c r="AR301" s="70"/>
      <c r="AS301" s="7"/>
      <c r="AT301" s="70"/>
      <c r="AU301" s="7"/>
      <c r="AV301" s="70"/>
      <c r="AW301" s="7"/>
      <c r="AX301" s="8"/>
      <c r="AY301" s="36"/>
      <c r="AZ301" s="7"/>
      <c r="BA301" s="7"/>
      <c r="BB301" s="7"/>
      <c r="BC301" s="74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>
        <f>(INDEX('Race 75'!$E$8:$E$200,(MATCH($B301,'Race 75'!$B$8:$B$200,0)),1))*100</f>
        <v>72.773184667647513</v>
      </c>
      <c r="CF301" s="7">
        <f>(INDEX('Race 76'!$E$8:$E$200,(MATCH($B301,'Race 76'!$B$8:$B$200,0)),1))*100</f>
        <v>69.142547922621191</v>
      </c>
      <c r="CG301" s="7"/>
      <c r="CH301" s="7"/>
      <c r="CI301" s="7"/>
      <c r="CJ301" s="7"/>
      <c r="CK301" s="101"/>
      <c r="CL301" s="74"/>
      <c r="CM301" s="74"/>
      <c r="CN301" s="74"/>
      <c r="CO301" s="70"/>
      <c r="CP301" s="74"/>
      <c r="CQ301" s="7"/>
      <c r="CR301" s="74"/>
      <c r="CS301" s="74"/>
      <c r="CT301" s="74"/>
      <c r="CU301" s="74"/>
      <c r="CV301" s="74"/>
      <c r="CW301" s="7"/>
      <c r="CX301" s="7"/>
      <c r="CY301" s="7"/>
      <c r="CZ301" s="7"/>
      <c r="DA301" s="7"/>
      <c r="DB301" s="7"/>
      <c r="DC301" s="7"/>
      <c r="DD301" s="7"/>
      <c r="DE301" s="74"/>
      <c r="DF301" s="74"/>
      <c r="DG301" s="74"/>
      <c r="DH301" s="74"/>
      <c r="DI301" s="74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8">
        <f t="shared" si="60"/>
        <v>70.957866295134352</v>
      </c>
      <c r="EA301" s="3" t="str">
        <f t="shared" si="61"/>
        <v>Morken, Daniel</v>
      </c>
      <c r="EB301" s="2">
        <f t="shared" si="62"/>
        <v>1</v>
      </c>
      <c r="EC301" s="112">
        <f t="shared" ref="EC301:EC338" si="74">H301</f>
        <v>73.634681818425506</v>
      </c>
      <c r="ED301" s="29">
        <f t="shared" si="63"/>
        <v>69.812934174669763</v>
      </c>
      <c r="EE301" s="2">
        <f t="shared" si="64"/>
        <v>0</v>
      </c>
      <c r="EF301" s="46">
        <f t="shared" si="65"/>
        <v>0</v>
      </c>
      <c r="EG301" s="46">
        <f t="shared" si="66"/>
        <v>2</v>
      </c>
      <c r="EH301" s="2" t="str">
        <f t="shared" si="67"/>
        <v>UT</v>
      </c>
      <c r="EI301" s="29">
        <f>IF(COUNT(I301:Y301)&lt;5,DZ301,SUMPRODUCT(LARGE(I301:Y301,{1,2,3,4,5}))/5)</f>
        <v>70.957866295134352</v>
      </c>
      <c r="EJ301" s="29">
        <f>IF(COUNT(I301:AX301)&lt;5,DZ301,SUMPRODUCT(LARGE(I301:AX301,{1,2,3,4,5}))/5)</f>
        <v>70.957866295134352</v>
      </c>
      <c r="EK301" s="112">
        <f>IF(COUNT(I301:DY301)&lt;5,AVERAGE(I301:DY301),SUMPRODUCT(LARGE(I301:DY301,{1,2,3,4,5}))/5)</f>
        <v>70.957866295134352</v>
      </c>
      <c r="EL301" s="29">
        <f t="shared" si="68"/>
        <v>69.812934174669763</v>
      </c>
      <c r="EM301" s="116" t="str">
        <f t="shared" si="69"/>
        <v>Morken, Daniel</v>
      </c>
      <c r="EQ301"/>
    </row>
    <row r="302" spans="1:147" x14ac:dyDescent="0.25">
      <c r="A302" s="59">
        <f t="shared" si="70"/>
        <v>299</v>
      </c>
      <c r="B302" s="32" t="s">
        <v>834</v>
      </c>
      <c r="C302" s="5" t="s">
        <v>6</v>
      </c>
      <c r="D302" s="6" t="s">
        <v>62</v>
      </c>
      <c r="E302" s="6">
        <v>38.346926688971763</v>
      </c>
      <c r="F302" s="6">
        <v>38.346926688971763</v>
      </c>
      <c r="G302" s="5">
        <f t="shared" si="73"/>
        <v>0</v>
      </c>
      <c r="H302" s="37">
        <v>38.346926688971763</v>
      </c>
      <c r="I302" s="36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227"/>
      <c r="Z302" s="228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4"/>
      <c r="AP302" s="7"/>
      <c r="AQ302" s="74"/>
      <c r="AR302" s="70"/>
      <c r="AS302" s="7"/>
      <c r="AT302" s="70"/>
      <c r="AU302" s="7"/>
      <c r="AV302" s="70"/>
      <c r="AW302" s="7"/>
      <c r="AX302" s="8"/>
      <c r="AY302" s="36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4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4"/>
      <c r="CF302" s="74"/>
      <c r="CG302" s="7"/>
      <c r="CH302" s="7"/>
      <c r="CI302" s="7"/>
      <c r="CJ302" s="7"/>
      <c r="CK302" s="101"/>
      <c r="CL302" s="74"/>
      <c r="CM302" s="74"/>
      <c r="CN302" s="74"/>
      <c r="CO302" s="70"/>
      <c r="CP302" s="74"/>
      <c r="CQ302" s="7"/>
      <c r="CR302" s="74"/>
      <c r="CS302" s="74"/>
      <c r="CT302" s="74"/>
      <c r="CU302" s="74"/>
      <c r="CV302" s="7"/>
      <c r="CW302" s="7"/>
      <c r="CX302" s="7"/>
      <c r="CY302" s="7"/>
      <c r="CZ302" s="7"/>
      <c r="DA302" s="7"/>
      <c r="DB302" s="7"/>
      <c r="DC302" s="7"/>
      <c r="DD302" s="7"/>
      <c r="DE302" s="74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8">
        <f t="shared" si="60"/>
        <v>38.346926688971763</v>
      </c>
      <c r="EA302" s="3" t="str">
        <f t="shared" si="61"/>
        <v>Morrison, Eric</v>
      </c>
      <c r="EB302" s="2">
        <f t="shared" si="62"/>
        <v>0</v>
      </c>
      <c r="EC302" s="112">
        <f t="shared" si="74"/>
        <v>38.346926688971763</v>
      </c>
      <c r="ED302" s="29">
        <f t="shared" si="63"/>
        <v>0</v>
      </c>
      <c r="EE302" s="2">
        <f t="shared" si="64"/>
        <v>0</v>
      </c>
      <c r="EF302" s="46">
        <f t="shared" si="65"/>
        <v>0</v>
      </c>
      <c r="EG302" s="46">
        <f t="shared" si="66"/>
        <v>0</v>
      </c>
      <c r="EH302" s="29" t="str">
        <f t="shared" si="67"/>
        <v>CO</v>
      </c>
      <c r="EI302" s="29">
        <f>IF(COUNT(I302:Y302)&lt;5,DZ302,SUMPRODUCT(LARGE(I302:Y302,{1,2,3,4,5}))/5)</f>
        <v>38.346926688971763</v>
      </c>
      <c r="EJ302" s="29">
        <f>IF(COUNT(I302:AX302)&lt;5,DZ302,SUMPRODUCT(LARGE(I302:AX302,{1,2,3,4,5}))/5)</f>
        <v>38.346926688971763</v>
      </c>
      <c r="EK302" s="112">
        <f>IF(EG302&lt;0,AVERAGE(I302:DY302),0)</f>
        <v>0</v>
      </c>
      <c r="EL302" s="29">
        <f t="shared" si="68"/>
        <v>0</v>
      </c>
      <c r="EM302" s="116" t="str">
        <f t="shared" si="69"/>
        <v>Morrison, Eric</v>
      </c>
      <c r="EQ302"/>
    </row>
    <row r="303" spans="1:147" x14ac:dyDescent="0.25">
      <c r="A303" s="59">
        <f t="shared" si="70"/>
        <v>300</v>
      </c>
      <c r="B303" s="32" t="s">
        <v>1258</v>
      </c>
      <c r="C303" s="5" t="s">
        <v>6</v>
      </c>
      <c r="D303" s="6" t="s">
        <v>59</v>
      </c>
      <c r="E303" s="6">
        <v>0</v>
      </c>
      <c r="F303" s="6">
        <v>0</v>
      </c>
      <c r="G303" s="5">
        <f t="shared" si="73"/>
        <v>2</v>
      </c>
      <c r="H303" s="99">
        <v>0</v>
      </c>
      <c r="I303" s="36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227"/>
      <c r="Z303" s="228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4"/>
      <c r="AP303" s="7"/>
      <c r="AQ303" s="74"/>
      <c r="AR303" s="70"/>
      <c r="AS303" s="7"/>
      <c r="AT303" s="70"/>
      <c r="AU303" s="7"/>
      <c r="AV303" s="70"/>
      <c r="AW303" s="7"/>
      <c r="AX303" s="8"/>
      <c r="AY303" s="36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4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4"/>
      <c r="CD303" s="7"/>
      <c r="CE303" s="7">
        <f>(INDEX('Race 75'!$E$8:$E$200,(MATCH($B303,'Race 75'!$B$8:$B$200,0)),1))*100</f>
        <v>54.064043315159637</v>
      </c>
      <c r="CF303" s="7">
        <f>(INDEX('Race 76'!$E$8:$E$200,(MATCH($B303,'Race 76'!$B$8:$B$200,0)),1))*100</f>
        <v>49.042230403258117</v>
      </c>
      <c r="CG303" s="7"/>
      <c r="CH303" s="7"/>
      <c r="CI303" s="7"/>
      <c r="CJ303" s="7"/>
      <c r="CK303" s="101"/>
      <c r="CL303" s="74"/>
      <c r="CM303" s="74"/>
      <c r="CN303" s="74"/>
      <c r="CO303" s="70"/>
      <c r="CP303" s="74"/>
      <c r="CQ303" s="7"/>
      <c r="CR303" s="74"/>
      <c r="CS303" s="74"/>
      <c r="CT303" s="74"/>
      <c r="CU303" s="74"/>
      <c r="CV303" s="7"/>
      <c r="CW303" s="7"/>
      <c r="CX303" s="7"/>
      <c r="CY303" s="7"/>
      <c r="CZ303" s="7"/>
      <c r="DA303" s="7"/>
      <c r="DB303" s="7"/>
      <c r="DC303" s="7"/>
      <c r="DD303" s="7"/>
      <c r="DE303" s="74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8">
        <f t="shared" si="60"/>
        <v>51.553136859208877</v>
      </c>
      <c r="EA303" s="3" t="str">
        <f t="shared" si="61"/>
        <v>MORRISON, TOBY</v>
      </c>
      <c r="EB303" s="2">
        <f t="shared" si="62"/>
        <v>1</v>
      </c>
      <c r="EC303" s="112">
        <f t="shared" si="74"/>
        <v>0</v>
      </c>
      <c r="ED303" s="29">
        <f t="shared" si="63"/>
        <v>50.72130741756088</v>
      </c>
      <c r="EE303" s="2">
        <f t="shared" si="64"/>
        <v>0</v>
      </c>
      <c r="EF303" s="46">
        <f t="shared" si="65"/>
        <v>0</v>
      </c>
      <c r="EG303" s="46">
        <f t="shared" si="66"/>
        <v>2</v>
      </c>
      <c r="EH303" s="29" t="str">
        <f t="shared" si="67"/>
        <v>MT</v>
      </c>
      <c r="EI303" s="29">
        <f>IF(COUNT(I303:AD303)&lt;5,DZ303,SUMPRODUCT(LARGE(I303:AD303,{1,2,3,4,5}))/5)</f>
        <v>51.553136859208877</v>
      </c>
      <c r="EJ303" s="29">
        <f>IF(COUNT(I303:BE303)&lt;5,DZ303,SUMPRODUCT(LARGE(I303:BE303,{1,2,3,4,5}))/5)</f>
        <v>51.553136859208877</v>
      </c>
      <c r="EK303" s="112">
        <f>IF(COUNT(I303:DY303)&lt;5,AVERAGE(I303:DY303),SUMPRODUCT(LARGE(I303:DY303,{1,2,3,4,5}))/5)</f>
        <v>51.553136859208877</v>
      </c>
      <c r="EL303" s="29">
        <f t="shared" si="68"/>
        <v>50.72130741756088</v>
      </c>
      <c r="EM303" s="116" t="str">
        <f t="shared" si="69"/>
        <v>MORRISON, TOBY</v>
      </c>
      <c r="EQ303"/>
    </row>
    <row r="304" spans="1:147" x14ac:dyDescent="0.25">
      <c r="A304" s="59">
        <f t="shared" si="70"/>
        <v>301</v>
      </c>
      <c r="B304" s="32" t="s">
        <v>925</v>
      </c>
      <c r="C304" s="5" t="s">
        <v>6</v>
      </c>
      <c r="D304" s="6" t="s">
        <v>57</v>
      </c>
      <c r="E304" s="6">
        <v>32.752601332873503</v>
      </c>
      <c r="F304" s="6">
        <v>47.707549249949977</v>
      </c>
      <c r="G304" s="5">
        <f t="shared" si="73"/>
        <v>3</v>
      </c>
      <c r="H304" s="37">
        <v>32.752601332873503</v>
      </c>
      <c r="I304" s="36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227"/>
      <c r="Z304" s="228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4"/>
      <c r="AP304" s="7"/>
      <c r="AQ304" s="74"/>
      <c r="AR304" s="70"/>
      <c r="AS304" s="7"/>
      <c r="AT304" s="70"/>
      <c r="AU304" s="7"/>
      <c r="AV304" s="70"/>
      <c r="AW304" s="7">
        <f>(INDEX('Race 41'!$E$8:$E$200,(MATCH($B304,'Race 41'!$B$8:$B$200,0)),1))*100</f>
        <v>44.805338215484866</v>
      </c>
      <c r="AX304" s="8">
        <f>(INDEX('Race 42'!$E$8:$E$200,(MATCH($B304,'Race 42'!$B$8:$B$200,0)),1))*100</f>
        <v>50.609760284415096</v>
      </c>
      <c r="AY304" s="36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4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4">
        <f>(INDEX('Race 75'!$E$8:$E$200,(MATCH($B304,'Race 75'!$B$8:$B$200,0)),1))*100</f>
        <v>31.873407753016576</v>
      </c>
      <c r="CF304" s="74"/>
      <c r="CG304" s="7"/>
      <c r="CH304" s="7"/>
      <c r="CI304" s="7"/>
      <c r="CJ304" s="7"/>
      <c r="CK304" s="101"/>
      <c r="CL304" s="74"/>
      <c r="CM304" s="74"/>
      <c r="CN304" s="74"/>
      <c r="CO304" s="70"/>
      <c r="CP304" s="74"/>
      <c r="CQ304" s="7"/>
      <c r="CR304" s="74"/>
      <c r="CS304" s="74"/>
      <c r="CT304" s="74"/>
      <c r="CU304" s="74"/>
      <c r="CV304" s="7"/>
      <c r="CW304" s="7"/>
      <c r="CX304" s="7"/>
      <c r="CY304" s="7"/>
      <c r="CZ304" s="7"/>
      <c r="DA304" s="7"/>
      <c r="DB304" s="7"/>
      <c r="DC304" s="7"/>
      <c r="DD304" s="7"/>
      <c r="DE304" s="74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8">
        <f t="shared" ref="DZ304:DZ367" si="75">IF(EB304&gt;0,AVERAGE(I304:DY304),H304)</f>
        <v>42.429502084305511</v>
      </c>
      <c r="EA304" s="3" t="str">
        <f t="shared" ref="EA304:EA367" si="76">B304</f>
        <v>Moryl, Joseph</v>
      </c>
      <c r="EB304" s="2">
        <f t="shared" ref="EB304:EB367" si="77">IF(G304&gt;0,1,0)</f>
        <v>1</v>
      </c>
      <c r="EC304" s="112">
        <f t="shared" si="74"/>
        <v>32.752601332873503</v>
      </c>
      <c r="ED304" s="29">
        <f t="shared" ref="ED304:ED367" si="78">EL304</f>
        <v>41.744885954649263</v>
      </c>
      <c r="EE304" s="2">
        <f t="shared" ref="EE304:EE367" si="79">COUNT(I304:AH304)</f>
        <v>0</v>
      </c>
      <c r="EF304" s="46">
        <f t="shared" ref="EF304:EF367" si="80">COUNT(I304:BQ304)</f>
        <v>2</v>
      </c>
      <c r="EG304" s="46">
        <f t="shared" ref="EG304:EG367" si="81">COUNT(I304:DY304)</f>
        <v>3</v>
      </c>
      <c r="EH304" s="29" t="str">
        <f t="shared" ref="EH304:EH367" si="82">D304</f>
        <v>NY</v>
      </c>
      <c r="EI304" s="29">
        <f>IF(COUNT(I304:Y304)&lt;5,DZ304,SUMPRODUCT(LARGE(I304:Y304,{1,2,3,4,5}))/5)</f>
        <v>42.429502084305511</v>
      </c>
      <c r="EJ304" s="29">
        <f>IF(COUNT(I304:AX304)&lt;5,DZ304,SUMPRODUCT(LARGE(I304:AX304,{1,2,3,4,5}))/5)</f>
        <v>42.429502084305511</v>
      </c>
      <c r="EK304" s="29">
        <f>IF(COUNT(I304:DY304)&lt;5,AVERAGE(I304:DY304),SUMPRODUCT(LARGE(I304:DY304,{1,2,3,4,5}))/5)</f>
        <v>42.429502084305511</v>
      </c>
      <c r="EL304" s="29">
        <f t="shared" ref="EL304:EL367" si="83">(EK304*100)/101.64</f>
        <v>41.744885954649263</v>
      </c>
      <c r="EM304" s="116" t="str">
        <f t="shared" ref="EM304:EM367" si="84">B304</f>
        <v>Moryl, Joseph</v>
      </c>
      <c r="EQ304"/>
    </row>
    <row r="305" spans="1:147" x14ac:dyDescent="0.25">
      <c r="A305" s="59">
        <f t="shared" si="70"/>
        <v>302</v>
      </c>
      <c r="B305" s="32" t="s">
        <v>724</v>
      </c>
      <c r="C305" s="5" t="s">
        <v>6</v>
      </c>
      <c r="D305" s="6" t="s">
        <v>87</v>
      </c>
      <c r="E305" s="6">
        <v>43.49732725275247</v>
      </c>
      <c r="F305" s="6">
        <v>52.088337517195143</v>
      </c>
      <c r="G305" s="5">
        <f t="shared" si="73"/>
        <v>4</v>
      </c>
      <c r="H305" s="37">
        <v>43.49732725275247</v>
      </c>
      <c r="I305" s="36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227"/>
      <c r="Z305" s="228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4"/>
      <c r="AP305" s="7"/>
      <c r="AQ305" s="74"/>
      <c r="AR305" s="70"/>
      <c r="AS305" s="7"/>
      <c r="AT305" s="70"/>
      <c r="AU305" s="7"/>
      <c r="AV305" s="70"/>
      <c r="AW305" s="7">
        <f>(INDEX('Race 41'!$E$8:$E$200,(MATCH($B305,'Race 41'!$B$8:$B$200,0)),1))*100</f>
        <v>51.830393084751172</v>
      </c>
      <c r="AX305" s="8">
        <f>(INDEX('Race 42'!$E$8:$E$200,(MATCH($B305,'Race 42'!$B$8:$B$200,0)),1))*100</f>
        <v>52.346281949639121</v>
      </c>
      <c r="AY305" s="36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4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>
        <f>(INDEX('Race 75'!$E$8:$E$200,(MATCH($B305,'Race 75'!$B$8:$B$200,0)),1))*100</f>
        <v>54.244989192857993</v>
      </c>
      <c r="CF305" s="7">
        <f>(INDEX('Race 76'!$E$8:$E$200,(MATCH($B305,'Race 76'!$B$8:$B$200,0)),1))*100</f>
        <v>52.229494887336237</v>
      </c>
      <c r="CG305" s="7"/>
      <c r="CH305" s="7"/>
      <c r="CI305" s="7"/>
      <c r="CJ305" s="7"/>
      <c r="CK305" s="101"/>
      <c r="CL305" s="74"/>
      <c r="CM305" s="74"/>
      <c r="CN305" s="74"/>
      <c r="CO305" s="70"/>
      <c r="CP305" s="74"/>
      <c r="CQ305" s="7"/>
      <c r="CR305" s="74"/>
      <c r="CS305" s="74"/>
      <c r="CT305" s="74"/>
      <c r="CU305" s="74"/>
      <c r="CV305" s="7"/>
      <c r="CW305" s="7"/>
      <c r="CX305" s="7"/>
      <c r="CY305" s="7"/>
      <c r="CZ305" s="7"/>
      <c r="DA305" s="7"/>
      <c r="DB305" s="7"/>
      <c r="DC305" s="7"/>
      <c r="DD305" s="7"/>
      <c r="DE305" s="74"/>
      <c r="DF305" s="74"/>
      <c r="DG305" s="74"/>
      <c r="DH305" s="7"/>
      <c r="DI305" s="74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8">
        <f t="shared" si="75"/>
        <v>52.662789778646129</v>
      </c>
      <c r="EA305" s="3" t="str">
        <f t="shared" si="76"/>
        <v>Moxley, Darryl</v>
      </c>
      <c r="EB305" s="2">
        <f t="shared" si="77"/>
        <v>1</v>
      </c>
      <c r="EC305" s="112">
        <f t="shared" si="74"/>
        <v>43.49732725275247</v>
      </c>
      <c r="ED305" s="29">
        <f t="shared" si="78"/>
        <v>51.813055665728186</v>
      </c>
      <c r="EE305" s="2">
        <f t="shared" si="79"/>
        <v>0</v>
      </c>
      <c r="EF305" s="46">
        <f t="shared" si="80"/>
        <v>2</v>
      </c>
      <c r="EG305" s="46">
        <f t="shared" si="81"/>
        <v>4</v>
      </c>
      <c r="EH305" s="29" t="str">
        <f t="shared" si="82"/>
        <v>CA</v>
      </c>
      <c r="EI305" s="29">
        <f>IF(COUNT(I305:Y305)&lt;5,DZ305,SUMPRODUCT(LARGE(I305:Y305,{1,2,3,4,5}))/5)</f>
        <v>52.662789778646129</v>
      </c>
      <c r="EJ305" s="29">
        <f>IF(COUNT(I305:AX305)&lt;5,DZ305,SUMPRODUCT(LARGE(I305:AX305,{1,2,3,4,5}))/5)</f>
        <v>52.662789778646129</v>
      </c>
      <c r="EK305" s="29">
        <f>IF(COUNT(I305:DY305)&lt;5,AVERAGE(I305:DY305),SUMPRODUCT(LARGE(I305:DY305,{1,2,3,4,5}))/5)</f>
        <v>52.662789778646129</v>
      </c>
      <c r="EL305" s="29">
        <f t="shared" si="83"/>
        <v>51.813055665728186</v>
      </c>
      <c r="EM305" s="116" t="str">
        <f t="shared" si="84"/>
        <v>Moxley, Darryl</v>
      </c>
      <c r="EQ305"/>
    </row>
    <row r="306" spans="1:147" x14ac:dyDescent="0.25">
      <c r="A306" s="59">
        <f t="shared" si="70"/>
        <v>303</v>
      </c>
      <c r="B306" s="32" t="s">
        <v>300</v>
      </c>
      <c r="C306" s="5" t="s">
        <v>6</v>
      </c>
      <c r="D306" s="6" t="s">
        <v>59</v>
      </c>
      <c r="E306" s="6">
        <v>47.053782402994266</v>
      </c>
      <c r="F306" s="6">
        <v>55.423869144186341</v>
      </c>
      <c r="G306" s="5">
        <f t="shared" si="73"/>
        <v>2</v>
      </c>
      <c r="H306" s="37">
        <v>47.053782402994266</v>
      </c>
      <c r="I306" s="36"/>
      <c r="J306" s="7"/>
      <c r="K306" s="7"/>
      <c r="L306" s="7"/>
      <c r="M306" s="74"/>
      <c r="N306" s="74"/>
      <c r="O306" s="7"/>
      <c r="P306" s="74"/>
      <c r="Q306" s="7"/>
      <c r="R306" s="74"/>
      <c r="S306" s="74"/>
      <c r="T306" s="7"/>
      <c r="U306" s="7"/>
      <c r="V306" s="74"/>
      <c r="W306" s="74"/>
      <c r="X306" s="74"/>
      <c r="Y306" s="229"/>
      <c r="Z306" s="230"/>
      <c r="AA306" s="74"/>
      <c r="AB306" s="74"/>
      <c r="AC306" s="74"/>
      <c r="AD306" s="74"/>
      <c r="AE306" s="7"/>
      <c r="AF306" s="74"/>
      <c r="AG306" s="74"/>
      <c r="AH306" s="7"/>
      <c r="AI306" s="7"/>
      <c r="AJ306" s="7"/>
      <c r="AK306" s="7"/>
      <c r="AL306" s="7"/>
      <c r="AM306" s="7"/>
      <c r="AN306" s="7"/>
      <c r="AO306" s="74"/>
      <c r="AP306" s="7"/>
      <c r="AQ306" s="74"/>
      <c r="AR306" s="101"/>
      <c r="AS306" s="7"/>
      <c r="AT306" s="101"/>
      <c r="AU306" s="7"/>
      <c r="AV306" s="101"/>
      <c r="AW306" s="7">
        <f>(INDEX('Race 41'!$E$8:$E$200,(MATCH($B306,'Race 41'!$B$8:$B$200,0)),1))*100</f>
        <v>51.678230462850969</v>
      </c>
      <c r="AX306" s="8">
        <f>(INDEX('Race 42'!$E$8:$E$200,(MATCH($B306,'Race 42'!$B$8:$B$200,0)),1))*100</f>
        <v>59.169507825521706</v>
      </c>
      <c r="AY306" s="36"/>
      <c r="AZ306" s="74"/>
      <c r="BA306" s="74"/>
      <c r="BB306" s="74"/>
      <c r="BC306" s="74"/>
      <c r="BD306" s="7"/>
      <c r="BE306" s="7"/>
      <c r="BF306" s="74"/>
      <c r="BG306" s="74"/>
      <c r="BH306" s="74"/>
      <c r="BI306" s="74"/>
      <c r="BJ306" s="74"/>
      <c r="BK306" s="7"/>
      <c r="BL306" s="74"/>
      <c r="BM306" s="7"/>
      <c r="BN306" s="74"/>
      <c r="BO306" s="74"/>
      <c r="BP306" s="7"/>
      <c r="BQ306" s="7"/>
      <c r="BR306" s="74"/>
      <c r="BS306" s="7"/>
      <c r="BT306" s="7"/>
      <c r="BU306" s="74"/>
      <c r="BV306" s="74"/>
      <c r="BW306" s="74"/>
      <c r="BX306" s="74"/>
      <c r="BY306" s="74"/>
      <c r="BZ306" s="74"/>
      <c r="CA306" s="7"/>
      <c r="CB306" s="74"/>
      <c r="CC306" s="74"/>
      <c r="CD306" s="74"/>
      <c r="CE306" s="7"/>
      <c r="CF306" s="74"/>
      <c r="CG306" s="74"/>
      <c r="CH306" s="7"/>
      <c r="CI306" s="74"/>
      <c r="CJ306" s="74"/>
      <c r="CK306" s="101"/>
      <c r="CL306" s="74"/>
      <c r="CM306" s="74"/>
      <c r="CN306" s="74"/>
      <c r="CO306" s="101"/>
      <c r="CP306" s="74"/>
      <c r="CQ306" s="74"/>
      <c r="CR306" s="74"/>
      <c r="CS306" s="74"/>
      <c r="CT306" s="74"/>
      <c r="CU306" s="74"/>
      <c r="CV306" s="74"/>
      <c r="CW306" s="74"/>
      <c r="CX306" s="7"/>
      <c r="CY306" s="7"/>
      <c r="CZ306" s="74"/>
      <c r="DA306" s="74"/>
      <c r="DB306" s="74"/>
      <c r="DC306" s="74"/>
      <c r="DD306" s="74"/>
      <c r="DE306" s="74"/>
      <c r="DF306" s="74"/>
      <c r="DG306" s="74"/>
      <c r="DH306" s="74"/>
      <c r="DI306" s="74"/>
      <c r="DJ306" s="74"/>
      <c r="DK306" s="74"/>
      <c r="DL306" s="74"/>
      <c r="DM306" s="74"/>
      <c r="DN306" s="74"/>
      <c r="DO306" s="74"/>
      <c r="DP306" s="74"/>
      <c r="DQ306" s="74"/>
      <c r="DR306" s="7"/>
      <c r="DS306" s="7"/>
      <c r="DT306" s="74"/>
      <c r="DU306" s="74"/>
      <c r="DV306" s="74"/>
      <c r="DW306" s="74"/>
      <c r="DX306" s="74"/>
      <c r="DY306" s="74"/>
      <c r="DZ306" s="8">
        <f t="shared" si="75"/>
        <v>55.423869144186341</v>
      </c>
      <c r="EA306" s="3" t="str">
        <f t="shared" si="76"/>
        <v>Mundt, Shane</v>
      </c>
      <c r="EB306" s="2">
        <f t="shared" si="77"/>
        <v>1</v>
      </c>
      <c r="EC306" s="112">
        <f t="shared" si="74"/>
        <v>47.053782402994266</v>
      </c>
      <c r="ED306" s="29">
        <f t="shared" si="78"/>
        <v>54.529583967125483</v>
      </c>
      <c r="EE306" s="2">
        <f t="shared" si="79"/>
        <v>0</v>
      </c>
      <c r="EF306" s="46">
        <f t="shared" si="80"/>
        <v>2</v>
      </c>
      <c r="EG306" s="46">
        <f t="shared" si="81"/>
        <v>2</v>
      </c>
      <c r="EH306" s="29" t="str">
        <f t="shared" si="82"/>
        <v>MT</v>
      </c>
      <c r="EI306" s="29">
        <f>IF(COUNT(I306:Y306)&lt;5,DZ306,SUMPRODUCT(LARGE(I306:Y306,{1,2,3,4,5}))/5)</f>
        <v>55.423869144186341</v>
      </c>
      <c r="EJ306" s="29">
        <f>IF(COUNT(I306:AX306)&lt;5,DZ306,SUMPRODUCT(LARGE(I306:AX306,{1,2,3,4,5}))/5)</f>
        <v>55.423869144186341</v>
      </c>
      <c r="EK306" s="112">
        <f>IF(COUNT(I306:DY306)&lt;5,AVERAGE(I306:DY306),SUMPRODUCT(LARGE(I306:DY306,{1,2,3,4,5}))/5)</f>
        <v>55.423869144186341</v>
      </c>
      <c r="EL306" s="29">
        <f t="shared" si="83"/>
        <v>54.529583967125483</v>
      </c>
      <c r="EM306" s="116" t="str">
        <f t="shared" si="84"/>
        <v>Mundt, Shane</v>
      </c>
      <c r="EQ306"/>
    </row>
    <row r="307" spans="1:147" x14ac:dyDescent="0.25">
      <c r="A307" s="59">
        <f t="shared" si="70"/>
        <v>304</v>
      </c>
      <c r="B307" s="32" t="s">
        <v>938</v>
      </c>
      <c r="C307" s="5" t="s">
        <v>6</v>
      </c>
      <c r="D307" s="6" t="s">
        <v>57</v>
      </c>
      <c r="E307" s="6">
        <v>50.088933085043358</v>
      </c>
      <c r="F307" s="6">
        <v>50.088933085043358</v>
      </c>
      <c r="G307" s="5">
        <f t="shared" si="73"/>
        <v>0</v>
      </c>
      <c r="H307" s="37">
        <v>50.088933085043358</v>
      </c>
      <c r="I307" s="36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227"/>
      <c r="Z307" s="228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4"/>
      <c r="AP307" s="7"/>
      <c r="AQ307" s="74"/>
      <c r="AR307" s="70"/>
      <c r="AS307" s="7"/>
      <c r="AT307" s="70"/>
      <c r="AU307" s="7"/>
      <c r="AV307" s="70"/>
      <c r="AW307" s="7"/>
      <c r="AX307" s="8"/>
      <c r="AY307" s="36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4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4"/>
      <c r="CF307" s="74"/>
      <c r="CG307" s="7"/>
      <c r="CH307" s="7"/>
      <c r="CI307" s="7"/>
      <c r="CJ307" s="7"/>
      <c r="CK307" s="101"/>
      <c r="CL307" s="74"/>
      <c r="CM307" s="74"/>
      <c r="CN307" s="74"/>
      <c r="CO307" s="70"/>
      <c r="CP307" s="74"/>
      <c r="CQ307" s="7"/>
      <c r="CR307" s="74"/>
      <c r="CS307" s="74"/>
      <c r="CT307" s="74"/>
      <c r="CU307" s="74"/>
      <c r="CV307" s="7"/>
      <c r="CW307" s="7"/>
      <c r="CX307" s="7"/>
      <c r="CY307" s="7"/>
      <c r="CZ307" s="7"/>
      <c r="DA307" s="7"/>
      <c r="DB307" s="7"/>
      <c r="DC307" s="7"/>
      <c r="DD307" s="7"/>
      <c r="DE307" s="74"/>
      <c r="DF307" s="7"/>
      <c r="DG307" s="7"/>
      <c r="DH307" s="7"/>
      <c r="DI307" s="74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8">
        <f t="shared" si="75"/>
        <v>50.088933085043358</v>
      </c>
      <c r="EA307" s="3" t="str">
        <f t="shared" si="76"/>
        <v>Myers, Jason</v>
      </c>
      <c r="EB307" s="2">
        <f t="shared" si="77"/>
        <v>0</v>
      </c>
      <c r="EC307" s="112">
        <f t="shared" si="74"/>
        <v>50.088933085043358</v>
      </c>
      <c r="ED307" s="29">
        <f t="shared" si="78"/>
        <v>0</v>
      </c>
      <c r="EE307" s="2">
        <f t="shared" si="79"/>
        <v>0</v>
      </c>
      <c r="EF307" s="46">
        <f t="shared" si="80"/>
        <v>0</v>
      </c>
      <c r="EG307" s="46">
        <f t="shared" si="81"/>
        <v>0</v>
      </c>
      <c r="EH307" s="29" t="str">
        <f t="shared" si="82"/>
        <v>NY</v>
      </c>
      <c r="EI307" s="29">
        <f>IF(COUNT(I307:Y307)&lt;5,DZ307,SUMPRODUCT(LARGE(I307:Y307,{1,2,3,4,5}))/5)</f>
        <v>50.088933085043358</v>
      </c>
      <c r="EJ307" s="29">
        <f>IF(COUNT(I307:AX307)&lt;5,DZ307,SUMPRODUCT(LARGE(I307:AX307,{1,2,3,4,5}))/5)</f>
        <v>50.088933085043358</v>
      </c>
      <c r="EK307" s="112">
        <f>IF(EG307&lt;0,AVERAGE(I307:DY307),0)</f>
        <v>0</v>
      </c>
      <c r="EL307" s="29">
        <f t="shared" si="83"/>
        <v>0</v>
      </c>
      <c r="EM307" s="116" t="str">
        <f t="shared" si="84"/>
        <v>Myers, Jason</v>
      </c>
      <c r="EQ307"/>
    </row>
    <row r="308" spans="1:147" x14ac:dyDescent="0.25">
      <c r="A308" s="59">
        <f t="shared" si="70"/>
        <v>305</v>
      </c>
      <c r="B308" s="32" t="s">
        <v>718</v>
      </c>
      <c r="C308" s="5" t="s">
        <v>6</v>
      </c>
      <c r="D308" s="6" t="s">
        <v>61</v>
      </c>
      <c r="E308" s="6">
        <v>79.950714004385887</v>
      </c>
      <c r="F308" s="6">
        <v>81.013290109009503</v>
      </c>
      <c r="G308" s="5">
        <f t="shared" si="73"/>
        <v>15</v>
      </c>
      <c r="H308" s="37">
        <v>79.62720219965918</v>
      </c>
      <c r="I308" s="36"/>
      <c r="J308" s="7"/>
      <c r="K308" s="7"/>
      <c r="L308" s="7"/>
      <c r="M308" s="7"/>
      <c r="N308" s="7"/>
      <c r="O308" s="7"/>
      <c r="P308" s="7"/>
      <c r="Q308" s="7">
        <f>(INDEX('Race 9'!$E$8:$E$200,(MATCH($B308,'Race 9'!$B$8:$B$200,0)),1))*100</f>
        <v>81.944736377008979</v>
      </c>
      <c r="R308" s="7"/>
      <c r="S308" s="7">
        <f>(INDEX('Race 11'!$E$8:$E$200,(MATCH($B308,'Race 11'!$B$8:$B$200,0)),1))*100</f>
        <v>79.03046897391522</v>
      </c>
      <c r="T308" s="7">
        <f>(INDEX('Race 12'!$E$8:$E$200,(MATCH($B308,'Race 12'!$B$8:$B$200,0)),1))*100</f>
        <v>75.570342954033762</v>
      </c>
      <c r="U308" s="7"/>
      <c r="V308" s="7">
        <f>(INDEX('Race 14'!$E$8:$E$200,(MATCH($B308,'Race 14'!$B$8:$B$200,0)),1))*100</f>
        <v>83.2573077125856</v>
      </c>
      <c r="W308" s="7"/>
      <c r="X308" s="7"/>
      <c r="Y308" s="227"/>
      <c r="Z308" s="228"/>
      <c r="AA308" s="7"/>
      <c r="AB308" s="7"/>
      <c r="AC308" s="7"/>
      <c r="AD308" s="7"/>
      <c r="AE308" s="74"/>
      <c r="AF308" s="7"/>
      <c r="AG308" s="7"/>
      <c r="AH308" s="7"/>
      <c r="AI308" s="7"/>
      <c r="AJ308" s="7"/>
      <c r="AK308" s="7"/>
      <c r="AL308" s="7"/>
      <c r="AM308" s="7"/>
      <c r="AN308" s="7"/>
      <c r="AO308" s="74"/>
      <c r="AP308" s="7"/>
      <c r="AQ308" s="74"/>
      <c r="AR308" s="70"/>
      <c r="AS308" s="7"/>
      <c r="AT308" s="70"/>
      <c r="AU308" s="7"/>
      <c r="AV308" s="70"/>
      <c r="AW308" s="7">
        <f>(INDEX('Race 41'!$E$8:$E$200,(MATCH($B308,'Race 41'!$B$8:$B$200,0)),1))*100</f>
        <v>80.88637450388795</v>
      </c>
      <c r="AX308" s="8">
        <f>(INDEX('Race 42'!$E$8:$E$200,(MATCH($B308,'Race 42'!$B$8:$B$200,0)),1))*100</f>
        <v>79.947562977649795</v>
      </c>
      <c r="AY308" s="36"/>
      <c r="AZ308" s="7">
        <f>(INDEX('Race 44'!$E$8:$E$200,(MATCH($B308,'Race 44'!$B$8:$B$200,0)),1))*100</f>
        <v>86.096958876303717</v>
      </c>
      <c r="BA308" s="7">
        <f>(INDEX('Race 45'!$E$8:$E$200,(MATCH($B308,'Race 45'!$B$8:$B$200,0)),1))*100</f>
        <v>84.128081030082114</v>
      </c>
      <c r="BB308" s="7"/>
      <c r="BC308" s="7"/>
      <c r="BD308" s="7">
        <f>(INDEX('Race 48'!$E$8:$E$200,(MATCH($B308,'Race 48'!$B$8:$B$200,0)),1))*100</f>
        <v>76.019532328253121</v>
      </c>
      <c r="BE308" s="7"/>
      <c r="BF308" s="7"/>
      <c r="BG308" s="7"/>
      <c r="BH308" s="7"/>
      <c r="BI308" s="7"/>
      <c r="BJ308" s="7"/>
      <c r="BK308" s="7"/>
      <c r="BL308" s="7"/>
      <c r="BM308" s="7"/>
      <c r="BN308" s="74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>
        <f>(INDEX('Race 75'!$E$8:$E$200,(MATCH($B308,'Race 75'!$B$8:$B$200,0)),1))*100</f>
        <v>78.787079789487848</v>
      </c>
      <c r="CF308" s="7">
        <f>(INDEX('Race 76'!$E$8:$E$200,(MATCH($B308,'Race 76'!$B$8:$B$200,0)),1))*100</f>
        <v>77.899032316131169</v>
      </c>
      <c r="CG308" s="74"/>
      <c r="CH308" s="7"/>
      <c r="CI308" s="7"/>
      <c r="CJ308" s="7"/>
      <c r="CK308" s="101"/>
      <c r="CL308" s="74"/>
      <c r="CM308" s="74"/>
      <c r="CN308" s="74">
        <f>(INDEX('Race 84'!$E$8:$E$200,(MATCH($B308,'Race 84'!$B$8:$B$200,0)),1))*100</f>
        <v>82.925029293668572</v>
      </c>
      <c r="CO308" s="70"/>
      <c r="CP308" s="74">
        <f>(INDEX('Race 86'!$E$8:$E$200,(MATCH($B308,'Race 86'!$B$8:$B$200,0)),1))*100</f>
        <v>81.131084163427261</v>
      </c>
      <c r="CQ308" s="7"/>
      <c r="CR308" s="74"/>
      <c r="CS308" s="74"/>
      <c r="CT308" s="74"/>
      <c r="CU308" s="74"/>
      <c r="CV308" s="7">
        <f>(INDEX('Race 92'!$E$8:$E$200,(MATCH($B308,'Race 92'!$B$8:$B$200,0)),1))*100</f>
        <v>78.666128811881507</v>
      </c>
      <c r="CW308" s="7"/>
      <c r="CX308" s="7"/>
      <c r="CY308" s="7"/>
      <c r="CZ308" s="7">
        <f>(INDEX('Race 96'!$E$8:$E$200,(MATCH($B308,'Race 96'!$B$8:$B$200,0)),1))*100</f>
        <v>78.471957832526556</v>
      </c>
      <c r="DA308" s="7"/>
      <c r="DB308" s="74"/>
      <c r="DC308" s="7"/>
      <c r="DD308" s="7"/>
      <c r="DE308" s="74"/>
      <c r="DF308" s="74"/>
      <c r="DG308" s="74"/>
      <c r="DH308" s="7"/>
      <c r="DI308" s="74"/>
      <c r="DJ308" s="7"/>
      <c r="DK308" s="74"/>
      <c r="DL308" s="7"/>
      <c r="DM308" s="74"/>
      <c r="DN308" s="7"/>
      <c r="DO308" s="74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8">
        <f t="shared" si="75"/>
        <v>80.317445196056227</v>
      </c>
      <c r="EA308" s="3" t="str">
        <f t="shared" si="76"/>
        <v>Nakada, Tadhg</v>
      </c>
      <c r="EB308" s="2">
        <f t="shared" si="77"/>
        <v>1</v>
      </c>
      <c r="EC308" s="112">
        <f t="shared" si="74"/>
        <v>79.62720219965918</v>
      </c>
      <c r="ED308" s="29">
        <f t="shared" si="78"/>
        <v>82.320368612681818</v>
      </c>
      <c r="EE308" s="2">
        <f t="shared" si="79"/>
        <v>4</v>
      </c>
      <c r="EF308" s="46">
        <f t="shared" si="80"/>
        <v>9</v>
      </c>
      <c r="EG308" s="46">
        <f t="shared" si="81"/>
        <v>15</v>
      </c>
      <c r="EH308" s="2" t="str">
        <f t="shared" si="82"/>
        <v>AK</v>
      </c>
      <c r="EI308" s="29">
        <f>IF(COUNT(I308:Y308)&lt;5,DZ308,SUMPRODUCT(LARGE(I308:Y308,{1,2,3,4,5}))/5)</f>
        <v>80.317445196056227</v>
      </c>
      <c r="EJ308" s="29">
        <f>IF(COUNT(I308:AX308)&lt;5,DZ308,SUMPRODUCT(LARGE(I308:AX308,{1,2,3,4,5}))/5)</f>
        <v>81.013290109009503</v>
      </c>
      <c r="EK308" s="29">
        <f>IF(COUNT(I308:DY308)&lt;5,AVERAGE(I308:DY308),SUMPRODUCT(LARGE(I308:DY308,{1,2,3,4,5}))/5)</f>
        <v>83.670422657929791</v>
      </c>
      <c r="EL308" s="29">
        <f t="shared" si="83"/>
        <v>82.320368612681818</v>
      </c>
      <c r="EM308" s="116" t="str">
        <f t="shared" si="84"/>
        <v>Nakada, Tadhg</v>
      </c>
      <c r="EQ308"/>
    </row>
    <row r="309" spans="1:147" x14ac:dyDescent="0.25">
      <c r="A309" s="59">
        <f t="shared" si="70"/>
        <v>306</v>
      </c>
      <c r="B309" s="32" t="s">
        <v>1130</v>
      </c>
      <c r="C309" s="5" t="s">
        <v>6</v>
      </c>
      <c r="D309" s="6" t="s">
        <v>78</v>
      </c>
      <c r="E309" s="6">
        <v>0</v>
      </c>
      <c r="F309" s="6">
        <v>59.464436660691</v>
      </c>
      <c r="G309" s="5">
        <f t="shared" si="73"/>
        <v>4</v>
      </c>
      <c r="H309" s="37">
        <v>0</v>
      </c>
      <c r="I309" s="36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227"/>
      <c r="Z309" s="228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4"/>
      <c r="AP309" s="7"/>
      <c r="AQ309" s="74"/>
      <c r="AR309" s="70"/>
      <c r="AS309" s="7"/>
      <c r="AT309" s="7"/>
      <c r="AU309" s="7"/>
      <c r="AV309" s="7"/>
      <c r="AW309" s="7">
        <f>(INDEX('Race 41'!$E$8:$E$200,(MATCH($B309,'Race 41'!$B$8:$B$200,0)),1))*100</f>
        <v>56.646491557228053</v>
      </c>
      <c r="AX309" s="8">
        <f>(INDEX('Race 42'!$E$8:$E$200,(MATCH($B309,'Race 42'!$B$8:$B$200,0)),1))*100</f>
        <v>62.282381764153946</v>
      </c>
      <c r="AY309" s="36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4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>
        <f>(INDEX('Race 75'!$E$8:$E$200,(MATCH($B309,'Race 75'!$B$8:$B$200,0)),1))*100</f>
        <v>62.837659870873722</v>
      </c>
      <c r="CF309" s="7">
        <f>(INDEX('Race 76'!$E$8:$E$200,(MATCH($B309,'Race 76'!$B$8:$B$200,0)),1))*100</f>
        <v>56.134332518432629</v>
      </c>
      <c r="CG309" s="7"/>
      <c r="CH309" s="7"/>
      <c r="CI309" s="7"/>
      <c r="CJ309" s="7"/>
      <c r="CK309" s="101"/>
      <c r="CL309" s="74"/>
      <c r="CM309" s="74"/>
      <c r="CN309" s="74"/>
      <c r="CO309" s="70"/>
      <c r="CP309" s="74"/>
      <c r="CQ309" s="7"/>
      <c r="CR309" s="74"/>
      <c r="CS309" s="74"/>
      <c r="CT309" s="74"/>
      <c r="CU309" s="74"/>
      <c r="CV309" s="7"/>
      <c r="CW309" s="7"/>
      <c r="CX309" s="7"/>
      <c r="CY309" s="7"/>
      <c r="CZ309" s="7"/>
      <c r="DA309" s="7"/>
      <c r="DB309" s="7"/>
      <c r="DC309" s="7"/>
      <c r="DD309" s="7"/>
      <c r="DE309" s="74"/>
      <c r="DF309" s="74"/>
      <c r="DG309" s="74"/>
      <c r="DH309" s="7"/>
      <c r="DI309" s="74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8">
        <f t="shared" si="75"/>
        <v>59.475216427672095</v>
      </c>
      <c r="EA309" s="3" t="str">
        <f t="shared" si="76"/>
        <v>Neihart, Justin</v>
      </c>
      <c r="EB309" s="2">
        <f t="shared" si="77"/>
        <v>1</v>
      </c>
      <c r="EC309" s="112">
        <f t="shared" si="74"/>
        <v>0</v>
      </c>
      <c r="ED309" s="29">
        <f t="shared" si="78"/>
        <v>58.515561223604969</v>
      </c>
      <c r="EE309" s="2">
        <f t="shared" si="79"/>
        <v>0</v>
      </c>
      <c r="EF309" s="46">
        <f t="shared" si="80"/>
        <v>2</v>
      </c>
      <c r="EG309" s="46">
        <f t="shared" si="81"/>
        <v>4</v>
      </c>
      <c r="EH309" s="2" t="str">
        <f t="shared" si="82"/>
        <v>MO</v>
      </c>
      <c r="EI309" s="29">
        <f>IF(COUNT(I309:AD309)&lt;5,DZ309,SUMPRODUCT(LARGE(I309:AD309,{1,2,3,4,5}))/5)</f>
        <v>59.475216427672095</v>
      </c>
      <c r="EJ309" s="29">
        <f>IF(COUNT(I309:AX309)&lt;5,DZ309,SUMPRODUCT(LARGE(I309:AX309,{1,2,3,4,5}))/5)</f>
        <v>59.475216427672095</v>
      </c>
      <c r="EK309" s="29">
        <f>IF(COUNT(I309:DY309)&lt;5,AVERAGE(I309:DY309),SUMPRODUCT(LARGE(I309:DY309,{1,2,3,4,5}))/5)</f>
        <v>59.475216427672095</v>
      </c>
      <c r="EL309" s="29">
        <f t="shared" si="83"/>
        <v>58.515561223604969</v>
      </c>
      <c r="EM309" s="116" t="str">
        <f t="shared" si="84"/>
        <v>Neihart, Justin</v>
      </c>
      <c r="EQ309"/>
    </row>
    <row r="310" spans="1:147" x14ac:dyDescent="0.25">
      <c r="A310" s="59">
        <f t="shared" si="70"/>
        <v>307</v>
      </c>
      <c r="B310" s="32" t="s">
        <v>805</v>
      </c>
      <c r="C310" s="5" t="s">
        <v>16</v>
      </c>
      <c r="D310" s="6" t="s">
        <v>69</v>
      </c>
      <c r="E310" s="6">
        <v>88.827744779758717</v>
      </c>
      <c r="F310" s="6">
        <v>88.827744779758717</v>
      </c>
      <c r="G310" s="5">
        <f t="shared" si="73"/>
        <v>8</v>
      </c>
      <c r="H310" s="37">
        <v>74.181042242341434</v>
      </c>
      <c r="I310" s="36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>
        <f>(INDEX('Race 16'!$E$8:$E$200,(MATCH($B310,'Race 16'!$B$8:$B$200,0)),1))*100</f>
        <v>90.977073567505585</v>
      </c>
      <c r="Y310" s="227">
        <f>(INDEX('Race 17'!$E$8:$E$200,(MATCH($B310,'Race 17'!$B$8:$B$200,0)),1))*100</f>
        <v>86.678415992011836</v>
      </c>
      <c r="Z310" s="228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4"/>
      <c r="AP310" s="7"/>
      <c r="AQ310" s="74"/>
      <c r="AR310" s="70"/>
      <c r="AS310" s="7"/>
      <c r="AT310" s="70"/>
      <c r="AU310" s="7"/>
      <c r="AV310" s="70"/>
      <c r="AW310" s="7"/>
      <c r="AX310" s="183"/>
      <c r="AY310" s="10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4"/>
      <c r="BO310" s="7"/>
      <c r="BP310" s="7"/>
      <c r="BQ310" s="7"/>
      <c r="BR310" s="7"/>
      <c r="BS310" s="7"/>
      <c r="BT310" s="7"/>
      <c r="BU310" s="7">
        <f>(INDEX('Race 65'!$E$8:$E$200,(MATCH($B310,'Race 65'!$B$8:$B$200,0)),1))*100</f>
        <v>86.400213274738547</v>
      </c>
      <c r="BV310" s="7">
        <f>(INDEX('Race 66'!$E$8:$E$200,(MATCH($B310,'Race 66'!$B$8:$B$200,0)),1))*100</f>
        <v>84.249622231448626</v>
      </c>
      <c r="BW310" s="7">
        <f>(INDEX('Race 67'!$E$8:$E$200,(MATCH($B310,'Race 67'!$B$8:$B$200,0)),1))*100</f>
        <v>87.46704262538961</v>
      </c>
      <c r="BX310" s="7">
        <f>(INDEX('Race 68'!$E$8:$E$200,(MATCH($B310,'Race 68'!$B$8:$B$200,0)),1))*100</f>
        <v>84.465160930833832</v>
      </c>
      <c r="BY310" s="7"/>
      <c r="BZ310" s="7">
        <f>(INDEX('Race 70'!$E$8:$E$200,(MATCH($B310,'Race 70'!$B$8:$B$200,0)),1))*100</f>
        <v>88.299120053420538</v>
      </c>
      <c r="CA310" s="7"/>
      <c r="CB310" s="74"/>
      <c r="CC310" s="7">
        <f>(INDEX('Race 73'!$E$8:$E$200,(MATCH($B310,'Race 73'!$B$8:$B$200,0)),1))*100</f>
        <v>87.45658279964438</v>
      </c>
      <c r="CD310" s="7"/>
      <c r="CE310" s="7"/>
      <c r="CF310" s="7"/>
      <c r="CG310" s="7"/>
      <c r="CH310" s="7"/>
      <c r="CI310" s="7"/>
      <c r="CJ310" s="7"/>
      <c r="CK310" s="70"/>
      <c r="CL310" s="74"/>
      <c r="CM310" s="74"/>
      <c r="CN310" s="74"/>
      <c r="CO310" s="70"/>
      <c r="CP310" s="74"/>
      <c r="CQ310" s="7"/>
      <c r="CR310" s="74"/>
      <c r="CS310" s="74"/>
      <c r="CT310" s="74"/>
      <c r="CU310" s="74"/>
      <c r="CV310" s="7"/>
      <c r="CW310" s="7"/>
      <c r="CX310" s="7"/>
      <c r="CY310" s="7"/>
      <c r="CZ310" s="7"/>
      <c r="DA310" s="7"/>
      <c r="DB310" s="7"/>
      <c r="DC310" s="7"/>
      <c r="DD310" s="7"/>
      <c r="DE310" s="74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8">
        <f t="shared" si="75"/>
        <v>86.999153934374107</v>
      </c>
      <c r="EA310" s="3" t="str">
        <f t="shared" si="76"/>
        <v>Nielsen, Eli</v>
      </c>
      <c r="EB310" s="2">
        <f t="shared" si="77"/>
        <v>1</v>
      </c>
      <c r="EC310" s="112">
        <f t="shared" si="74"/>
        <v>74.181042242341434</v>
      </c>
      <c r="ED310" s="29">
        <f t="shared" si="78"/>
        <v>86.752899456507677</v>
      </c>
      <c r="EE310" s="2">
        <f t="shared" si="79"/>
        <v>2</v>
      </c>
      <c r="EF310" s="46">
        <f t="shared" si="80"/>
        <v>2</v>
      </c>
      <c r="EG310" s="46">
        <f t="shared" si="81"/>
        <v>8</v>
      </c>
      <c r="EH310" s="29" t="str">
        <f t="shared" si="82"/>
        <v>WA</v>
      </c>
      <c r="EI310" s="29">
        <f>IF(COUNT(I310:Y310)&lt;5,DZ310,SUMPRODUCT(LARGE(I310:Y310,{1,2,3,4,5}))/5)</f>
        <v>86.999153934374107</v>
      </c>
      <c r="EJ310" s="29">
        <f>IF(COUNT(I310:AX310)&lt;5,DZ310,SUMPRODUCT(LARGE(I310:AX310,{1,2,3,4,5}))/5)</f>
        <v>86.999153934374107</v>
      </c>
      <c r="EK310" s="29">
        <f>IF(COUNT(I310:DY310)&lt;5,AVERAGE(I310:DY310),SUMPRODUCT(LARGE(I310:DY310,{1,2,3,4,5}))/5)</f>
        <v>88.175647007594392</v>
      </c>
      <c r="EL310" s="29">
        <f t="shared" si="83"/>
        <v>86.752899456507677</v>
      </c>
      <c r="EM310" s="116" t="str">
        <f t="shared" si="84"/>
        <v>Nielsen, Eli</v>
      </c>
      <c r="EQ310"/>
    </row>
    <row r="311" spans="1:147" x14ac:dyDescent="0.25">
      <c r="A311" s="59">
        <f t="shared" si="70"/>
        <v>308</v>
      </c>
      <c r="B311" s="4" t="s">
        <v>769</v>
      </c>
      <c r="C311" s="5" t="s">
        <v>6</v>
      </c>
      <c r="D311" s="5" t="s">
        <v>62</v>
      </c>
      <c r="E311" s="6">
        <v>50.362561546638318</v>
      </c>
      <c r="F311" s="6">
        <v>50.362561546638318</v>
      </c>
      <c r="G311" s="5">
        <f t="shared" si="73"/>
        <v>0</v>
      </c>
      <c r="H311" s="99">
        <v>50.362561546638318</v>
      </c>
      <c r="I311" s="36"/>
      <c r="J311" s="7"/>
      <c r="K311" s="7"/>
      <c r="L311" s="7"/>
      <c r="M311" s="74"/>
      <c r="N311" s="74"/>
      <c r="O311" s="7"/>
      <c r="P311" s="74"/>
      <c r="Q311" s="7"/>
      <c r="R311" s="74"/>
      <c r="S311" s="74"/>
      <c r="T311" s="7"/>
      <c r="U311" s="7"/>
      <c r="V311" s="74"/>
      <c r="W311" s="74"/>
      <c r="X311" s="74"/>
      <c r="Y311" s="229"/>
      <c r="Z311" s="230"/>
      <c r="AA311" s="74"/>
      <c r="AB311" s="74"/>
      <c r="AC311" s="74"/>
      <c r="AD311" s="74"/>
      <c r="AE311" s="7"/>
      <c r="AF311" s="74"/>
      <c r="AG311" s="74"/>
      <c r="AH311" s="7"/>
      <c r="AI311" s="7"/>
      <c r="AJ311" s="7"/>
      <c r="AK311" s="7"/>
      <c r="AL311" s="7"/>
      <c r="AM311" s="7"/>
      <c r="AN311" s="7"/>
      <c r="AO311" s="74"/>
      <c r="AP311" s="7"/>
      <c r="AQ311" s="74"/>
      <c r="AR311" s="70"/>
      <c r="AS311" s="7"/>
      <c r="AT311" s="101"/>
      <c r="AU311" s="7"/>
      <c r="AV311" s="101"/>
      <c r="AW311" s="7"/>
      <c r="AX311" s="8"/>
      <c r="AY311" s="36"/>
      <c r="AZ311" s="74"/>
      <c r="BA311" s="74"/>
      <c r="BB311" s="74"/>
      <c r="BC311" s="74"/>
      <c r="BD311" s="7"/>
      <c r="BE311" s="7"/>
      <c r="BF311" s="74"/>
      <c r="BG311" s="74"/>
      <c r="BH311" s="74"/>
      <c r="BI311" s="74"/>
      <c r="BJ311" s="74"/>
      <c r="BK311" s="7"/>
      <c r="BL311" s="74"/>
      <c r="BM311" s="7"/>
      <c r="BN311" s="74"/>
      <c r="BO311" s="74"/>
      <c r="BP311" s="7"/>
      <c r="BQ311" s="7"/>
      <c r="BR311" s="74"/>
      <c r="BS311" s="7"/>
      <c r="BT311" s="7"/>
      <c r="BU311" s="74"/>
      <c r="BV311" s="74"/>
      <c r="BW311" s="74"/>
      <c r="BX311" s="74"/>
      <c r="BY311" s="74"/>
      <c r="BZ311" s="74"/>
      <c r="CA311" s="7"/>
      <c r="CB311" s="74"/>
      <c r="CC311" s="74"/>
      <c r="CD311" s="74"/>
      <c r="CE311" s="7"/>
      <c r="CF311" s="74"/>
      <c r="CG311" s="74"/>
      <c r="CH311" s="7"/>
      <c r="CI311" s="74"/>
      <c r="CJ311" s="74"/>
      <c r="CK311" s="101"/>
      <c r="CL311" s="74"/>
      <c r="CM311" s="74"/>
      <c r="CN311" s="74"/>
      <c r="CO311" s="101"/>
      <c r="CP311" s="74"/>
      <c r="CQ311" s="74"/>
      <c r="CR311" s="74"/>
      <c r="CS311" s="74"/>
      <c r="CT311" s="74"/>
      <c r="CU311" s="74"/>
      <c r="CV311" s="74"/>
      <c r="CW311" s="74"/>
      <c r="CX311" s="7"/>
      <c r="CY311" s="7"/>
      <c r="CZ311" s="74"/>
      <c r="DA311" s="74"/>
      <c r="DB311" s="74"/>
      <c r="DC311" s="74"/>
      <c r="DD311" s="74"/>
      <c r="DE311" s="74"/>
      <c r="DF311" s="74"/>
      <c r="DG311" s="74"/>
      <c r="DH311" s="74"/>
      <c r="DI311" s="74"/>
      <c r="DJ311" s="74"/>
      <c r="DK311" s="74"/>
      <c r="DL311" s="74"/>
      <c r="DM311" s="74"/>
      <c r="DN311" s="74"/>
      <c r="DO311" s="74"/>
      <c r="DP311" s="74"/>
      <c r="DQ311" s="74"/>
      <c r="DR311" s="7"/>
      <c r="DS311" s="7"/>
      <c r="DT311" s="74"/>
      <c r="DU311" s="74"/>
      <c r="DV311" s="74"/>
      <c r="DW311" s="74"/>
      <c r="DX311" s="74"/>
      <c r="DY311" s="74"/>
      <c r="DZ311" s="8">
        <f t="shared" si="75"/>
        <v>50.362561546638318</v>
      </c>
      <c r="EA311" s="3" t="str">
        <f t="shared" si="76"/>
        <v>Niessner, Steven</v>
      </c>
      <c r="EB311" s="2">
        <f t="shared" si="77"/>
        <v>0</v>
      </c>
      <c r="EC311" s="112">
        <f t="shared" si="74"/>
        <v>50.362561546638318</v>
      </c>
      <c r="ED311" s="29">
        <f t="shared" si="78"/>
        <v>0</v>
      </c>
      <c r="EE311" s="2">
        <f t="shared" si="79"/>
        <v>0</v>
      </c>
      <c r="EF311" s="46">
        <f t="shared" si="80"/>
        <v>0</v>
      </c>
      <c r="EG311" s="46">
        <f t="shared" si="81"/>
        <v>0</v>
      </c>
      <c r="EH311" s="2" t="str">
        <f t="shared" si="82"/>
        <v>CO</v>
      </c>
      <c r="EI311" s="29">
        <f>IF(COUNT(I311:Y311)&lt;5,DZ311,SUMPRODUCT(LARGE(I311:Y311,{1,2,3,4,5}))/5)</f>
        <v>50.362561546638318</v>
      </c>
      <c r="EJ311" s="29">
        <f>IF(COUNT(I311:AX311)&lt;5,DZ311,SUMPRODUCT(LARGE(I311:AX311,{1,2,3,4,5}))/5)</f>
        <v>50.362561546638318</v>
      </c>
      <c r="EK311" s="112">
        <f>IF(EG311&lt;0,AVERAGE(I311:DY311),0)</f>
        <v>0</v>
      </c>
      <c r="EL311" s="29">
        <f t="shared" si="83"/>
        <v>0</v>
      </c>
      <c r="EM311" s="116" t="str">
        <f t="shared" si="84"/>
        <v>Niessner, Steven</v>
      </c>
      <c r="EQ311"/>
    </row>
    <row r="312" spans="1:147" x14ac:dyDescent="0.25">
      <c r="A312" s="59">
        <f t="shared" si="70"/>
        <v>309</v>
      </c>
      <c r="B312" s="32" t="s">
        <v>70</v>
      </c>
      <c r="C312" s="5" t="s">
        <v>6</v>
      </c>
      <c r="D312" s="6" t="s">
        <v>58</v>
      </c>
      <c r="E312" s="6">
        <v>94.287557018467481</v>
      </c>
      <c r="F312" s="6">
        <v>95.945007171519649</v>
      </c>
      <c r="G312" s="5">
        <f t="shared" si="73"/>
        <v>20</v>
      </c>
      <c r="H312" s="37">
        <v>94.642791354956501</v>
      </c>
      <c r="I312" s="107"/>
      <c r="J312" s="7">
        <f>(INDEX('Race 2'!$E$8:$E$200,(MATCH($B312,'Race 2'!$B$8:$B$200,0)),1))*100</f>
        <v>94.115838065734081</v>
      </c>
      <c r="K312" s="7">
        <f>(INDEX('Race 3'!$E$8:$E$200,(MATCH($B312,'Race 3'!$B$8:$B$200,0)),1))*100</f>
        <v>95.463634086348648</v>
      </c>
      <c r="L312" s="7"/>
      <c r="M312" s="7">
        <f>(INDEX('Race 5'!$E$8:$E$200,(MATCH($B312,'Race 5'!$B$8:$B$200,0)),1))*100</f>
        <v>94.555750344772051</v>
      </c>
      <c r="N312" s="7"/>
      <c r="O312" s="7"/>
      <c r="P312" s="7">
        <f>(INDEX('Race 8'!$E$8:$E$200,(MATCH($B312,'Race 8'!$B$8:$B$200,0)),1))*100</f>
        <v>94.416200995115034</v>
      </c>
      <c r="Q312" s="7"/>
      <c r="R312" s="7"/>
      <c r="S312" s="7"/>
      <c r="T312" s="7"/>
      <c r="U312" s="7">
        <f>(INDEX('Race 13'!$E$8:$E$200,(MATCH($B312,'Race 13'!$B$8:$B$200,0)),1))*100</f>
        <v>92.886361600367579</v>
      </c>
      <c r="V312" s="7"/>
      <c r="W312" s="7"/>
      <c r="X312" s="7"/>
      <c r="Y312" s="227"/>
      <c r="Z312" s="228"/>
      <c r="AA312" s="7">
        <f>(INDEX('Race 19'!$E$8:$E$200,(MATCH($B312,'Race 19'!$B$8:$B$200,0)),1))*100</f>
        <v>93.591428439856898</v>
      </c>
      <c r="AB312" s="7">
        <f>(INDEX('Race 20'!$E$8:$E$200,(MATCH($B312,'Race 20'!$B$8:$B$200,0)),1))*100</f>
        <v>96.001390869836527</v>
      </c>
      <c r="AC312" s="7"/>
      <c r="AD312" s="7"/>
      <c r="AE312" s="7"/>
      <c r="AF312" s="74">
        <f>(INDEX('Race 24'!$E$8:$E$200,(MATCH($B312,'Race 24'!$B$8:$B$200,0)),1))*100</f>
        <v>95.875188984941246</v>
      </c>
      <c r="AG312" s="7"/>
      <c r="AH312" s="74">
        <f>(INDEX('Race 26'!$E$8:$E$200,(MATCH($B312,'Race 26'!$B$8:$B$200,0)),1))*100</f>
        <v>97.237281625527487</v>
      </c>
      <c r="AI312" s="74">
        <f>(INDEX('Race 27'!$E$8:$E$200,(MATCH($B312,'Race 27'!$B$8:$B$200,0)),1))*100</f>
        <v>95.147540290944349</v>
      </c>
      <c r="AJ312" s="7"/>
      <c r="AK312" s="7"/>
      <c r="AL312" s="7"/>
      <c r="AM312" s="7"/>
      <c r="AN312" s="7"/>
      <c r="AO312" s="7"/>
      <c r="AP312" s="7"/>
      <c r="AQ312" s="7"/>
      <c r="AR312" s="70"/>
      <c r="AS312" s="7"/>
      <c r="AT312" s="70"/>
      <c r="AU312" s="7"/>
      <c r="AV312" s="70"/>
      <c r="AW312" s="7"/>
      <c r="AX312" s="8"/>
      <c r="AY312" s="36"/>
      <c r="AZ312" s="7"/>
      <c r="BA312" s="7"/>
      <c r="BB312" s="7"/>
      <c r="BC312" s="74">
        <f>(INDEX('Race 47'!$E$8:$E$200,(MATCH($B312,'Race 47'!$B$8:$B$200,0)),1))*100</f>
        <v>97.431779301324781</v>
      </c>
      <c r="BD312" s="7"/>
      <c r="BE312" s="7"/>
      <c r="BF312" s="74">
        <f>(INDEX('Race 50'!$E$8:$E$200,(MATCH($B312,'Race 50'!$B$8:$B$200,0)),1))*100</f>
        <v>94.622951604712924</v>
      </c>
      <c r="BG312" s="7"/>
      <c r="BH312" s="7"/>
      <c r="BI312" s="74">
        <f>(INDEX('Race 53'!$E$8:$E$200,(MATCH($B312,'Race 53'!$B$8:$B$200,0)),1))*100</f>
        <v>95.84528745867884</v>
      </c>
      <c r="BJ312" s="74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4"/>
      <c r="BX312" s="74"/>
      <c r="BY312" s="7"/>
      <c r="BZ312" s="74"/>
      <c r="CA312" s="7"/>
      <c r="CB312" s="7"/>
      <c r="CC312" s="7"/>
      <c r="CD312" s="7"/>
      <c r="CE312" s="7"/>
      <c r="CF312" s="7"/>
      <c r="CG312" s="7">
        <f>(INDEX('Race 77'!$E$8:$E$200,(MATCH($B312,'Race 77'!$B$8:$B$200,0)),1))*100</f>
        <v>99.915181401091161</v>
      </c>
      <c r="CH312" s="7">
        <f>(INDEX('Race 78'!$E$8:$E$200,(MATCH($B312,'Race 78'!$B$8:$B$200,0)),1))*100</f>
        <v>94.372612752503258</v>
      </c>
      <c r="CI312" s="7">
        <f>(INDEX('Race 79'!$E$8:$E$200,(MATCH($B312,'Race 79'!$B$8:$B$200,0)),1))*100</f>
        <v>98.358817306170593</v>
      </c>
      <c r="CJ312" s="7">
        <f>(INDEX('Race 80'!$E$8:$E$200,(MATCH($B312,'Race 80'!$B$8:$B$200,0)),1))*100</f>
        <v>96.47158160785493</v>
      </c>
      <c r="CK312" s="101"/>
      <c r="CL312" s="74"/>
      <c r="CM312" s="74"/>
      <c r="CN312" s="7">
        <f>(INDEX('Race 84'!$E$8:$E$200,(MATCH($B312,'Race 84'!$B$8:$B$200,0)),1))*100</f>
        <v>92.592165457957449</v>
      </c>
      <c r="CO312" s="101"/>
      <c r="CP312" s="7">
        <f>(INDEX('Race 86'!$E$8:$E$200,(MATCH($B312,'Race 86'!$B$8:$B$200,0)),1))*100</f>
        <v>89.91744173968884</v>
      </c>
      <c r="CQ312" s="7"/>
      <c r="CR312" s="7"/>
      <c r="CS312" s="74"/>
      <c r="CT312" s="74"/>
      <c r="CU312" s="74"/>
      <c r="CV312" s="74">
        <f>(INDEX('Race 92'!$E$8:$E$200,(MATCH($B312,'Race 92'!$B$8:$B$200,0)),1))*100</f>
        <v>96.860037815485228</v>
      </c>
      <c r="CW312" s="74"/>
      <c r="CX312" s="7"/>
      <c r="CY312" s="7"/>
      <c r="CZ312" s="74"/>
      <c r="DA312" s="7"/>
      <c r="DB312" s="7"/>
      <c r="DC312" s="74"/>
      <c r="DD312" s="7"/>
      <c r="DE312" s="74"/>
      <c r="DF312" s="74"/>
      <c r="DG312" s="74"/>
      <c r="DH312" s="74"/>
      <c r="DI312" s="74"/>
      <c r="DJ312" s="74"/>
      <c r="DK312" s="74"/>
      <c r="DL312" s="7"/>
      <c r="DM312" s="74"/>
      <c r="DN312" s="7"/>
      <c r="DO312" s="74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8">
        <f t="shared" si="75"/>
        <v>95.283923587445571</v>
      </c>
      <c r="EA312" s="3" t="str">
        <f t="shared" si="76"/>
        <v>Nordgren, Leif</v>
      </c>
      <c r="EB312" s="2">
        <f t="shared" si="77"/>
        <v>1</v>
      </c>
      <c r="EC312" s="112">
        <f t="shared" si="74"/>
        <v>94.642791354956501</v>
      </c>
      <c r="ED312" s="29">
        <f t="shared" si="78"/>
        <v>96.379987691774744</v>
      </c>
      <c r="EE312" s="2">
        <f t="shared" si="79"/>
        <v>9</v>
      </c>
      <c r="EF312" s="46">
        <f t="shared" si="80"/>
        <v>13</v>
      </c>
      <c r="EG312" s="46">
        <f t="shared" si="81"/>
        <v>20</v>
      </c>
      <c r="EH312" s="2" t="str">
        <f t="shared" si="82"/>
        <v>MN</v>
      </c>
      <c r="EI312" s="29">
        <f>IF(COUNT(I312:Y312)&lt;5,DZ312,SUMPRODUCT(LARGE(I312:Y312,{1,2,3,4,5}))/5)</f>
        <v>94.287557018467481</v>
      </c>
      <c r="EJ312" s="29">
        <f>IF(COUNT(I312:AX312)&lt;5,DZ312,SUMPRODUCT(LARGE(I312:AX312,{1,2,3,4,5}))/5)</f>
        <v>95.945007171519649</v>
      </c>
      <c r="EK312" s="29">
        <f>IF(COUNT(I312:DY312)&lt;5,AVERAGE(I312:DY312),SUMPRODUCT(LARGE(I312:DY312,{1,2,3,4,5}))/5)</f>
        <v>97.96061948991985</v>
      </c>
      <c r="EL312" s="29">
        <f t="shared" si="83"/>
        <v>96.379987691774744</v>
      </c>
      <c r="EM312" s="116" t="str">
        <f t="shared" si="84"/>
        <v>Nordgren, Leif</v>
      </c>
      <c r="EQ312"/>
    </row>
    <row r="313" spans="1:147" x14ac:dyDescent="0.25">
      <c r="A313" s="59">
        <f t="shared" si="70"/>
        <v>310</v>
      </c>
      <c r="B313" s="32" t="s">
        <v>1043</v>
      </c>
      <c r="C313" s="5" t="s">
        <v>16</v>
      </c>
      <c r="D313" s="6" t="s">
        <v>59</v>
      </c>
      <c r="E313" s="6">
        <v>67.125206570338918</v>
      </c>
      <c r="F313" s="6">
        <v>67.125206570338918</v>
      </c>
      <c r="G313" s="5">
        <f t="shared" si="73"/>
        <v>2</v>
      </c>
      <c r="H313" s="37">
        <v>0</v>
      </c>
      <c r="I313" s="36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>
        <f>(INDEX('Race 16'!$E$8:$E$200,(MATCH($B313,'Race 16'!$B$8:$B$200,0)),1))*100</f>
        <v>67.940824749173061</v>
      </c>
      <c r="Y313" s="227">
        <f>(INDEX('Race 17'!$E$8:$E$200,(MATCH($B313,'Race 17'!$B$8:$B$200,0)),1))*100</f>
        <v>66.309588391504761</v>
      </c>
      <c r="Z313" s="228"/>
      <c r="AA313" s="7"/>
      <c r="AB313" s="7"/>
      <c r="AC313" s="7"/>
      <c r="AD313" s="14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4"/>
      <c r="AP313" s="7"/>
      <c r="AQ313" s="74"/>
      <c r="AR313" s="70"/>
      <c r="AS313" s="7"/>
      <c r="AT313" s="70"/>
      <c r="AU313" s="7"/>
      <c r="AV313" s="70"/>
      <c r="AW313" s="7"/>
      <c r="AX313" s="8"/>
      <c r="AY313" s="36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4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4"/>
      <c r="CD313" s="7"/>
      <c r="CE313" s="74"/>
      <c r="CF313" s="7"/>
      <c r="CG313" s="7"/>
      <c r="CH313" s="7"/>
      <c r="CI313" s="7"/>
      <c r="CJ313" s="7"/>
      <c r="CK313" s="101"/>
      <c r="CL313" s="74"/>
      <c r="CM313" s="74"/>
      <c r="CN313" s="74"/>
      <c r="CO313" s="70"/>
      <c r="CP313" s="74"/>
      <c r="CQ313" s="7"/>
      <c r="CR313" s="74"/>
      <c r="CS313" s="74"/>
      <c r="CT313" s="74"/>
      <c r="CU313" s="74"/>
      <c r="CV313" s="7"/>
      <c r="CW313" s="7"/>
      <c r="CX313" s="7"/>
      <c r="CY313" s="7"/>
      <c r="CZ313" s="7"/>
      <c r="DA313" s="7"/>
      <c r="DB313" s="7"/>
      <c r="DC313" s="7"/>
      <c r="DD313" s="7"/>
      <c r="DE313" s="74"/>
      <c r="DF313" s="74"/>
      <c r="DG313" s="74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8">
        <f t="shared" si="75"/>
        <v>67.125206570338918</v>
      </c>
      <c r="EA313" s="3" t="str">
        <f t="shared" si="76"/>
        <v>Novak, Ian</v>
      </c>
      <c r="EB313" s="2">
        <f t="shared" si="77"/>
        <v>1</v>
      </c>
      <c r="EC313" s="112">
        <f t="shared" si="74"/>
        <v>0</v>
      </c>
      <c r="ED313" s="29">
        <f t="shared" si="78"/>
        <v>66.042115870069765</v>
      </c>
      <c r="EE313" s="2">
        <f t="shared" si="79"/>
        <v>2</v>
      </c>
      <c r="EF313" s="46">
        <f t="shared" si="80"/>
        <v>2</v>
      </c>
      <c r="EG313" s="46">
        <f t="shared" si="81"/>
        <v>2</v>
      </c>
      <c r="EH313" s="2" t="str">
        <f t="shared" si="82"/>
        <v>MT</v>
      </c>
      <c r="EI313" s="29">
        <f>IF(COUNT(I313:Y313)&lt;5,DZ313,SUMPRODUCT(LARGE(I313:Y313,{1,2,3,4,5}))/5)</f>
        <v>67.125206570338918</v>
      </c>
      <c r="EJ313" s="29">
        <f>IF(COUNT(I313:AX313)&lt;5,DZ313,SUMPRODUCT(LARGE(I313:AX313,{1,2,3,4,5}))/5)</f>
        <v>67.125206570338918</v>
      </c>
      <c r="EK313" s="112">
        <f>IF(COUNT(I313:DY313)&lt;5,AVERAGE(I313:DY313),SUMPRODUCT(LARGE(I313:DY313,{1,2,3,4,5}))/5)</f>
        <v>67.125206570338918</v>
      </c>
      <c r="EL313" s="29">
        <f t="shared" si="83"/>
        <v>66.042115870069765</v>
      </c>
      <c r="EM313" s="116" t="str">
        <f t="shared" si="84"/>
        <v>Novak, Ian</v>
      </c>
      <c r="EQ313"/>
    </row>
    <row r="314" spans="1:147" x14ac:dyDescent="0.25">
      <c r="A314" s="59">
        <f t="shared" si="70"/>
        <v>311</v>
      </c>
      <c r="B314" s="186" t="s">
        <v>946</v>
      </c>
      <c r="C314" s="106" t="s">
        <v>6</v>
      </c>
      <c r="D314" s="187" t="s">
        <v>69</v>
      </c>
      <c r="E314" s="187">
        <v>33.506365486738204</v>
      </c>
      <c r="F314" s="187">
        <v>33.506365486738204</v>
      </c>
      <c r="G314" s="106">
        <f t="shared" si="73"/>
        <v>0</v>
      </c>
      <c r="H314" s="188">
        <v>33.506365486738204</v>
      </c>
      <c r="I314" s="107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229"/>
      <c r="Z314" s="230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101"/>
      <c r="AS314" s="74"/>
      <c r="AT314" s="101"/>
      <c r="AU314" s="74"/>
      <c r="AV314" s="101"/>
      <c r="AW314" s="74"/>
      <c r="AX314" s="183"/>
      <c r="AY314" s="107"/>
      <c r="AZ314" s="74"/>
      <c r="BA314" s="74"/>
      <c r="BB314" s="74"/>
      <c r="BC314" s="74"/>
      <c r="BD314" s="7"/>
      <c r="BE314" s="7"/>
      <c r="BF314" s="74"/>
      <c r="BG314" s="74"/>
      <c r="BH314" s="74"/>
      <c r="BI314" s="74"/>
      <c r="BJ314" s="74"/>
      <c r="BK314" s="74"/>
      <c r="BL314" s="74"/>
      <c r="BM314" s="74"/>
      <c r="BN314" s="74"/>
      <c r="BO314" s="74"/>
      <c r="BP314" s="7"/>
      <c r="BQ314" s="7"/>
      <c r="BR314" s="74"/>
      <c r="BS314" s="7"/>
      <c r="BT314" s="7"/>
      <c r="BU314" s="74"/>
      <c r="BV314" s="74"/>
      <c r="BW314" s="74"/>
      <c r="BX314" s="74"/>
      <c r="BY314" s="74"/>
      <c r="BZ314" s="74"/>
      <c r="CA314" s="7"/>
      <c r="CB314" s="74"/>
      <c r="CC314" s="74"/>
      <c r="CD314" s="74"/>
      <c r="CE314" s="74"/>
      <c r="CF314" s="74"/>
      <c r="CG314" s="74"/>
      <c r="CH314" s="74"/>
      <c r="CI314" s="74"/>
      <c r="CJ314" s="74"/>
      <c r="CK314" s="101"/>
      <c r="CL314" s="74"/>
      <c r="CM314" s="74"/>
      <c r="CN314" s="74"/>
      <c r="CO314" s="101"/>
      <c r="CP314" s="74"/>
      <c r="CQ314" s="74"/>
      <c r="CR314" s="74"/>
      <c r="CS314" s="74"/>
      <c r="CT314" s="74"/>
      <c r="CU314" s="74"/>
      <c r="CV314" s="74"/>
      <c r="CW314" s="74"/>
      <c r="CX314" s="7"/>
      <c r="CY314" s="7"/>
      <c r="CZ314" s="74"/>
      <c r="DA314" s="74"/>
      <c r="DB314" s="74"/>
      <c r="DC314" s="74"/>
      <c r="DD314" s="74"/>
      <c r="DE314" s="74"/>
      <c r="DF314" s="74"/>
      <c r="DG314" s="74"/>
      <c r="DH314" s="74"/>
      <c r="DI314" s="74"/>
      <c r="DJ314" s="74"/>
      <c r="DK314" s="74"/>
      <c r="DL314" s="74"/>
      <c r="DM314" s="74"/>
      <c r="DN314" s="74"/>
      <c r="DO314" s="74"/>
      <c r="DP314" s="74"/>
      <c r="DQ314" s="74"/>
      <c r="DR314" s="7"/>
      <c r="DS314" s="7"/>
      <c r="DT314" s="7"/>
      <c r="DU314" s="7"/>
      <c r="DV314" s="74"/>
      <c r="DW314" s="74"/>
      <c r="DX314" s="74"/>
      <c r="DY314" s="74"/>
      <c r="DZ314" s="8">
        <f t="shared" si="75"/>
        <v>33.506365486738204</v>
      </c>
      <c r="EA314" s="3" t="str">
        <f t="shared" si="76"/>
        <v>NOWLIS, Matthew</v>
      </c>
      <c r="EB314" s="2">
        <f t="shared" si="77"/>
        <v>0</v>
      </c>
      <c r="EC314" s="112">
        <f t="shared" si="74"/>
        <v>33.506365486738204</v>
      </c>
      <c r="ED314" s="29">
        <f t="shared" si="78"/>
        <v>0</v>
      </c>
      <c r="EE314" s="2">
        <f t="shared" si="79"/>
        <v>0</v>
      </c>
      <c r="EF314" s="46">
        <f t="shared" si="80"/>
        <v>0</v>
      </c>
      <c r="EG314" s="46">
        <f t="shared" si="81"/>
        <v>0</v>
      </c>
      <c r="EH314" s="29" t="str">
        <f t="shared" si="82"/>
        <v>WA</v>
      </c>
      <c r="EI314" s="29">
        <f>IF(COUNT(I314:Y314)&lt;5,DZ314,SUMPRODUCT(LARGE(I314:Y314,{1,2,3,4,5}))/5)</f>
        <v>33.506365486738204</v>
      </c>
      <c r="EJ314" s="29">
        <f>IF(COUNT(I314:AX314)&lt;5,DZ314,SUMPRODUCT(LARGE(I314:AX314,{1,2,3,4,5}))/5)</f>
        <v>33.506365486738204</v>
      </c>
      <c r="EK314" s="112">
        <f>IF(EG314&lt;0,AVERAGE(I314:DY314),0)</f>
        <v>0</v>
      </c>
      <c r="EL314" s="29">
        <f t="shared" si="83"/>
        <v>0</v>
      </c>
      <c r="EM314" s="116" t="str">
        <f t="shared" si="84"/>
        <v>NOWLIS, Matthew</v>
      </c>
      <c r="EQ314"/>
    </row>
    <row r="315" spans="1:147" x14ac:dyDescent="0.25">
      <c r="A315" s="59">
        <f t="shared" si="70"/>
        <v>312</v>
      </c>
      <c r="B315" s="32" t="s">
        <v>1177</v>
      </c>
      <c r="C315" s="5" t="s">
        <v>6</v>
      </c>
      <c r="D315" s="187" t="s">
        <v>88</v>
      </c>
      <c r="E315" s="187">
        <v>0</v>
      </c>
      <c r="F315" s="187">
        <v>43.87461929889286</v>
      </c>
      <c r="G315" s="5">
        <f t="shared" si="73"/>
        <v>5</v>
      </c>
      <c r="H315" s="188">
        <v>0</v>
      </c>
      <c r="I315" s="36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227"/>
      <c r="Z315" s="228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4">
        <f>(INDEX('Race 33'!$E$8:$E$200,(MATCH($B315,'Race 33'!$B$8:$B$200,0)),1))*100</f>
        <v>43.87461929889286</v>
      </c>
      <c r="AP315" s="7"/>
      <c r="AQ315" s="74"/>
      <c r="AR315" s="7"/>
      <c r="AS315" s="7"/>
      <c r="AT315" s="70"/>
      <c r="AU315" s="7"/>
      <c r="AV315" s="70"/>
      <c r="AW315" s="7"/>
      <c r="AX315" s="8"/>
      <c r="AY315" s="36"/>
      <c r="AZ315" s="7"/>
      <c r="BA315" s="7"/>
      <c r="BB315" s="7"/>
      <c r="BC315" s="7"/>
      <c r="BD315" s="7"/>
      <c r="BE315" s="7"/>
      <c r="BF315" s="7"/>
      <c r="BG315" s="7">
        <f>(INDEX('Race 51'!$E$8:$E$200,(MATCH($B315,'Race 51'!$B$8:$B$200,0)),1))*100</f>
        <v>50.196475467283911</v>
      </c>
      <c r="BH315" s="7">
        <f>(INDEX('Race 52'!$E$8:$E$200,(MATCH($B315,'Race 52'!$B$8:$B$200,0)),1))*100</f>
        <v>51.334926429952588</v>
      </c>
      <c r="BI315" s="7"/>
      <c r="BJ315" s="7"/>
      <c r="BK315" s="7"/>
      <c r="BL315" s="7"/>
      <c r="BM315" s="7"/>
      <c r="BN315" s="74"/>
      <c r="BO315" s="7">
        <f>(INDEX('Race 59'!$E$8:$E$200,(MATCH($B315,'Race 59'!$B$8:$B$200,0)),1))*100</f>
        <v>49.512800483350873</v>
      </c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>
        <f>(INDEX('Race 74'!$E$8:$E$200,(MATCH($B315,'Race 74'!$B$8:$B$200,0)),1))*100</f>
        <v>47.692505903486996</v>
      </c>
      <c r="CE315" s="7"/>
      <c r="CF315" s="7"/>
      <c r="CG315" s="7"/>
      <c r="CH315" s="7"/>
      <c r="CI315" s="7"/>
      <c r="CJ315" s="7"/>
      <c r="CK315" s="101"/>
      <c r="CL315" s="74"/>
      <c r="CM315" s="74"/>
      <c r="CN315" s="74"/>
      <c r="CO315" s="70"/>
      <c r="CP315" s="74"/>
      <c r="CQ315" s="7"/>
      <c r="CR315" s="74"/>
      <c r="CS315" s="74"/>
      <c r="CT315" s="74"/>
      <c r="CU315" s="74"/>
      <c r="CV315" s="7"/>
      <c r="CW315" s="7"/>
      <c r="CX315" s="7"/>
      <c r="CY315" s="7"/>
      <c r="CZ315" s="7"/>
      <c r="DA315" s="7"/>
      <c r="DB315" s="7"/>
      <c r="DC315" s="7"/>
      <c r="DD315" s="7"/>
      <c r="DE315" s="74"/>
      <c r="DF315" s="74"/>
      <c r="DG315" s="74"/>
      <c r="DH315" s="7"/>
      <c r="DI315" s="74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8">
        <f t="shared" si="75"/>
        <v>48.522265516593443</v>
      </c>
      <c r="EA315" s="3" t="str">
        <f t="shared" si="76"/>
        <v>OConnell, William</v>
      </c>
      <c r="EB315" s="2">
        <f t="shared" si="77"/>
        <v>1</v>
      </c>
      <c r="EC315" s="112">
        <f t="shared" si="74"/>
        <v>0</v>
      </c>
      <c r="ED315" s="29">
        <f t="shared" si="78"/>
        <v>47.739340335097836</v>
      </c>
      <c r="EE315" s="2">
        <f t="shared" si="79"/>
        <v>0</v>
      </c>
      <c r="EF315" s="46">
        <f t="shared" si="80"/>
        <v>4</v>
      </c>
      <c r="EG315" s="46">
        <f t="shared" si="81"/>
        <v>5</v>
      </c>
      <c r="EH315" s="29" t="str">
        <f t="shared" si="82"/>
        <v>WI</v>
      </c>
      <c r="EI315" s="29">
        <f>IF(COUNT(I315:Y315)&lt;5,DZ315,SUMPRODUCT(LARGE(I315:Y315,{1,2,3,4,5}))/5)</f>
        <v>48.522265516593443</v>
      </c>
      <c r="EJ315" s="29">
        <f>IF(COUNT(I315:AX315)&lt;5,DZ315,SUMPRODUCT(LARGE(I315:AX315,{1,2,3,4,5}))/5)</f>
        <v>48.522265516593443</v>
      </c>
      <c r="EK315" s="29">
        <f>IF(COUNT(I315:DY315)&lt;5,AVERAGE(I315:DY315),SUMPRODUCT(LARGE(I315:DY315,{1,2,3,4,5}))/5)</f>
        <v>48.522265516593443</v>
      </c>
      <c r="EL315" s="29">
        <f t="shared" si="83"/>
        <v>47.739340335097836</v>
      </c>
      <c r="EM315" s="116" t="str">
        <f t="shared" si="84"/>
        <v>OConnell, William</v>
      </c>
      <c r="EQ315"/>
    </row>
    <row r="316" spans="1:147" x14ac:dyDescent="0.25">
      <c r="A316" s="59">
        <f t="shared" si="70"/>
        <v>313</v>
      </c>
      <c r="B316" s="32" t="s">
        <v>1096</v>
      </c>
      <c r="C316" s="5" t="s">
        <v>6</v>
      </c>
      <c r="D316" s="187" t="s">
        <v>88</v>
      </c>
      <c r="E316" s="187">
        <v>0</v>
      </c>
      <c r="F316" s="187">
        <v>33.508534352952715</v>
      </c>
      <c r="G316" s="5">
        <f t="shared" si="73"/>
        <v>3</v>
      </c>
      <c r="H316" s="188">
        <v>0</v>
      </c>
      <c r="I316" s="107"/>
      <c r="J316" s="7"/>
      <c r="K316" s="74"/>
      <c r="L316" s="7"/>
      <c r="M316" s="74"/>
      <c r="N316" s="74"/>
      <c r="O316" s="7"/>
      <c r="P316" s="7"/>
      <c r="Q316" s="74"/>
      <c r="R316" s="7"/>
      <c r="S316" s="74"/>
      <c r="T316" s="7"/>
      <c r="U316" s="7"/>
      <c r="V316" s="74"/>
      <c r="W316" s="7"/>
      <c r="X316" s="74"/>
      <c r="Y316" s="227"/>
      <c r="Z316" s="228"/>
      <c r="AA316" s="74"/>
      <c r="AB316" s="74"/>
      <c r="AC316" s="74"/>
      <c r="AD316" s="7"/>
      <c r="AE316" s="74"/>
      <c r="AF316" s="74"/>
      <c r="AG316" s="7"/>
      <c r="AH316" s="7"/>
      <c r="AI316" s="7"/>
      <c r="AJ316" s="7"/>
      <c r="AK316" s="7"/>
      <c r="AL316" s="7"/>
      <c r="AM316" s="7"/>
      <c r="AN316" s="7"/>
      <c r="AO316" s="74">
        <f>(INDEX('Race 33'!$E$8:$E$200,(MATCH($B316,'Race 33'!$B$8:$B$200,0)),1))*100</f>
        <v>33.508534352952715</v>
      </c>
      <c r="AP316" s="7"/>
      <c r="AQ316" s="74"/>
      <c r="AR316" s="101"/>
      <c r="AS316" s="7"/>
      <c r="AT316" s="74"/>
      <c r="AU316" s="7"/>
      <c r="AV316" s="74"/>
      <c r="AW316" s="7"/>
      <c r="AX316" s="8"/>
      <c r="AY316" s="36"/>
      <c r="AZ316" s="100"/>
      <c r="BA316" s="74"/>
      <c r="BB316" s="74"/>
      <c r="BC316" s="74"/>
      <c r="BD316" s="7"/>
      <c r="BE316" s="7"/>
      <c r="BF316" s="74"/>
      <c r="BG316" s="7">
        <f>(INDEX('Race 51'!$E$8:$E$200,(MATCH($B316,'Race 51'!$B$8:$B$200,0)),1))*100</f>
        <v>36.613309205836877</v>
      </c>
      <c r="BH316" s="74"/>
      <c r="BI316" s="7"/>
      <c r="BJ316" s="74"/>
      <c r="BK316" s="74"/>
      <c r="BL316" s="74"/>
      <c r="BM316" s="7"/>
      <c r="BN316" s="74"/>
      <c r="BO316" s="74"/>
      <c r="BP316" s="7"/>
      <c r="BQ316" s="7"/>
      <c r="BR316" s="74"/>
      <c r="BS316" s="7"/>
      <c r="BT316" s="7"/>
      <c r="BU316" s="7"/>
      <c r="BV316" s="74"/>
      <c r="BW316" s="7"/>
      <c r="BX316" s="74"/>
      <c r="BY316" s="74"/>
      <c r="BZ316" s="7"/>
      <c r="CA316" s="7"/>
      <c r="CB316" s="74"/>
      <c r="CC316" s="74"/>
      <c r="CD316" s="74">
        <f>(INDEX('Race 74'!$E$8:$E$200,(MATCH($B316,'Race 74'!$B$8:$B$200,0)),1))*100</f>
        <v>42.287355234425128</v>
      </c>
      <c r="CE316" s="7"/>
      <c r="CF316" s="74"/>
      <c r="CG316" s="74"/>
      <c r="CH316" s="7"/>
      <c r="CI316" s="74"/>
      <c r="CJ316" s="74"/>
      <c r="CK316" s="101"/>
      <c r="CL316" s="74"/>
      <c r="CM316" s="74"/>
      <c r="CN316" s="74"/>
      <c r="CO316" s="101"/>
      <c r="CP316" s="74"/>
      <c r="CQ316" s="74"/>
      <c r="CR316" s="74"/>
      <c r="CS316" s="74"/>
      <c r="CT316" s="74"/>
      <c r="CU316" s="74"/>
      <c r="CV316" s="74"/>
      <c r="CW316" s="74"/>
      <c r="CX316" s="7"/>
      <c r="CY316" s="7"/>
      <c r="CZ316" s="74"/>
      <c r="DA316" s="74"/>
      <c r="DB316" s="74"/>
      <c r="DC316" s="74"/>
      <c r="DD316" s="74"/>
      <c r="DE316" s="74"/>
      <c r="DF316" s="74"/>
      <c r="DG316" s="74"/>
      <c r="DH316" s="74"/>
      <c r="DI316" s="74"/>
      <c r="DJ316" s="74"/>
      <c r="DK316" s="74"/>
      <c r="DL316" s="74"/>
      <c r="DM316" s="74"/>
      <c r="DN316" s="74"/>
      <c r="DO316" s="74"/>
      <c r="DP316" s="74"/>
      <c r="DQ316" s="74"/>
      <c r="DR316" s="74"/>
      <c r="DS316" s="74"/>
      <c r="DT316" s="74"/>
      <c r="DU316" s="74"/>
      <c r="DV316" s="74"/>
      <c r="DW316" s="74"/>
      <c r="DX316" s="74"/>
      <c r="DY316" s="74"/>
      <c r="DZ316" s="8">
        <f t="shared" si="75"/>
        <v>37.469732931071576</v>
      </c>
      <c r="EA316" s="3" t="str">
        <f t="shared" si="76"/>
        <v>Oliver, Ryan</v>
      </c>
      <c r="EB316" s="2">
        <f t="shared" si="77"/>
        <v>1</v>
      </c>
      <c r="EC316" s="112">
        <f t="shared" si="74"/>
        <v>0</v>
      </c>
      <c r="ED316" s="29">
        <f t="shared" si="78"/>
        <v>36.865144560282936</v>
      </c>
      <c r="EE316" s="2">
        <f t="shared" si="79"/>
        <v>0</v>
      </c>
      <c r="EF316" s="46">
        <f t="shared" si="80"/>
        <v>2</v>
      </c>
      <c r="EG316" s="46">
        <f t="shared" si="81"/>
        <v>3</v>
      </c>
      <c r="EH316" s="29" t="str">
        <f t="shared" si="82"/>
        <v>WI</v>
      </c>
      <c r="EI316" s="29">
        <f>IF(COUNT(I316:Y316)&lt;5,DZ316,SUMPRODUCT(LARGE(I316:Y316,{1,2,3,4,5}))/5)</f>
        <v>37.469732931071576</v>
      </c>
      <c r="EJ316" s="29">
        <f>IF(COUNT(I316:AX316)&lt;5,DZ316,SUMPRODUCT(LARGE(I316:AX316,{1,2,3,4,5}))/5)</f>
        <v>37.469732931071576</v>
      </c>
      <c r="EK316" s="29">
        <f>IF(COUNT(I316:DY316)&lt;5,AVERAGE(I316:DY316),SUMPRODUCT(LARGE(I316:DY316,{1,2,3,4,5}))/5)</f>
        <v>37.469732931071576</v>
      </c>
      <c r="EL316" s="29">
        <f t="shared" si="83"/>
        <v>36.865144560282936</v>
      </c>
      <c r="EM316" s="116" t="str">
        <f t="shared" si="84"/>
        <v>Oliver, Ryan</v>
      </c>
      <c r="EQ316"/>
    </row>
    <row r="317" spans="1:147" x14ac:dyDescent="0.25">
      <c r="A317" s="59">
        <f t="shared" si="70"/>
        <v>314</v>
      </c>
      <c r="B317" s="4" t="s">
        <v>164</v>
      </c>
      <c r="C317" s="5" t="s">
        <v>6</v>
      </c>
      <c r="D317" s="5" t="s">
        <v>62</v>
      </c>
      <c r="E317" s="6">
        <v>67.672507412190882</v>
      </c>
      <c r="F317" s="6">
        <v>79.383543933261251</v>
      </c>
      <c r="G317" s="5">
        <f t="shared" si="73"/>
        <v>4</v>
      </c>
      <c r="H317" s="99">
        <v>67.672507412190882</v>
      </c>
      <c r="I317" s="36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227"/>
      <c r="Z317" s="228"/>
      <c r="AA317" s="7"/>
      <c r="AB317" s="7"/>
      <c r="AC317" s="7"/>
      <c r="AD317" s="7"/>
      <c r="AE317" s="7"/>
      <c r="AF317" s="7"/>
      <c r="AG317" s="74">
        <f>(INDEX('Race 25'!$E$8:$E$200,(MATCH($B317,'Race 25'!$B$8:$B$200,0)),1))*100</f>
        <v>81.507413164572043</v>
      </c>
      <c r="AH317" s="7"/>
      <c r="AI317" s="7"/>
      <c r="AJ317" s="7"/>
      <c r="AK317" s="7"/>
      <c r="AL317" s="74">
        <f>(INDEX('Race 30'!$E$8:$E$200,(MATCH($B317,'Race 30'!$B$8:$B$200,0)),1))*100</f>
        <v>77.259674701950445</v>
      </c>
      <c r="AM317" s="7"/>
      <c r="AN317" s="7"/>
      <c r="AO317" s="7"/>
      <c r="AP317" s="7"/>
      <c r="AQ317" s="74"/>
      <c r="AR317" s="70"/>
      <c r="AS317" s="7"/>
      <c r="AT317" s="70"/>
      <c r="AU317" s="7"/>
      <c r="AV317" s="70"/>
      <c r="AW317" s="7"/>
      <c r="AX317" s="183"/>
      <c r="AY317" s="10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>
        <f>(INDEX('Race 63'!$E$8:$E$200,(MATCH($B317,'Race 63'!$B$8:$B$200,0)),1))*100</f>
        <v>72.121425510119238</v>
      </c>
      <c r="BT317" s="7">
        <f>(INDEX('Race 64'!$E$8:$E$200,(MATCH($B317,'Race 64'!$B$8:$B$200,0)),1))*100</f>
        <v>67.694609188238658</v>
      </c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4"/>
      <c r="CK317" s="101"/>
      <c r="CL317" s="74"/>
      <c r="CM317" s="74"/>
      <c r="CN317" s="74"/>
      <c r="CO317" s="70"/>
      <c r="CP317" s="74"/>
      <c r="CQ317" s="7"/>
      <c r="CR317" s="74"/>
      <c r="CS317" s="74"/>
      <c r="CT317" s="74"/>
      <c r="CU317" s="74"/>
      <c r="CV317" s="74"/>
      <c r="CW317" s="7"/>
      <c r="CX317" s="7"/>
      <c r="CY317" s="7"/>
      <c r="CZ317" s="74"/>
      <c r="DA317" s="7"/>
      <c r="DB317" s="7"/>
      <c r="DC317" s="7"/>
      <c r="DD317" s="7"/>
      <c r="DE317" s="74"/>
      <c r="DF317" s="74"/>
      <c r="DG317" s="74"/>
      <c r="DH317" s="74"/>
      <c r="DI317" s="74"/>
      <c r="DJ317" s="7"/>
      <c r="DK317" s="7"/>
      <c r="DL317" s="7"/>
      <c r="DM317" s="7"/>
      <c r="DN317" s="74"/>
      <c r="DO317" s="7"/>
      <c r="DP317" s="74"/>
      <c r="DQ317" s="7"/>
      <c r="DR317" s="7"/>
      <c r="DS317" s="7"/>
      <c r="DT317" s="74"/>
      <c r="DU317" s="7"/>
      <c r="DV317" s="7"/>
      <c r="DW317" s="7"/>
      <c r="DX317" s="7"/>
      <c r="DY317" s="7"/>
      <c r="DZ317" s="8">
        <f t="shared" si="75"/>
        <v>74.645780641220099</v>
      </c>
      <c r="EA317" s="3" t="str">
        <f t="shared" si="76"/>
        <v>Olson, Kirk</v>
      </c>
      <c r="EB317" s="2">
        <f t="shared" si="77"/>
        <v>1</v>
      </c>
      <c r="EC317" s="112">
        <f t="shared" si="74"/>
        <v>67.672507412190882</v>
      </c>
      <c r="ED317" s="29">
        <f t="shared" si="78"/>
        <v>73.441342622215757</v>
      </c>
      <c r="EE317" s="2">
        <f t="shared" si="79"/>
        <v>1</v>
      </c>
      <c r="EF317" s="46">
        <f t="shared" si="80"/>
        <v>2</v>
      </c>
      <c r="EG317" s="46">
        <f t="shared" si="81"/>
        <v>4</v>
      </c>
      <c r="EH317" s="2" t="str">
        <f t="shared" si="82"/>
        <v>CO</v>
      </c>
      <c r="EI317" s="29">
        <f>IF(COUNT(I317:Y317)&lt;5,DZ317,SUMPRODUCT(LARGE(I317:Y317,{1,2,3,4,5}))/5)</f>
        <v>74.645780641220099</v>
      </c>
      <c r="EJ317" s="29">
        <f>IF(COUNT(I317:AX317)&lt;5,DZ317,SUMPRODUCT(LARGE(I317:AX317,{1,2,3,4,5}))/5)</f>
        <v>74.645780641220099</v>
      </c>
      <c r="EK317" s="29">
        <f>IF(COUNT(I317:DY317)&lt;5,AVERAGE(I317:DY317),SUMPRODUCT(LARGE(I317:DY317,{1,2,3,4,5}))/5)</f>
        <v>74.645780641220099</v>
      </c>
      <c r="EL317" s="29">
        <f t="shared" si="83"/>
        <v>73.441342622215757</v>
      </c>
      <c r="EM317" s="116" t="str">
        <f t="shared" si="84"/>
        <v>Olson, Kirk</v>
      </c>
      <c r="EQ317"/>
    </row>
    <row r="318" spans="1:147" x14ac:dyDescent="0.25">
      <c r="A318" s="59">
        <f t="shared" si="70"/>
        <v>315</v>
      </c>
      <c r="B318" s="32" t="s">
        <v>1053</v>
      </c>
      <c r="C318" s="5" t="s">
        <v>6</v>
      </c>
      <c r="D318" s="6" t="s">
        <v>59</v>
      </c>
      <c r="E318" s="6">
        <v>0</v>
      </c>
      <c r="F318" s="6">
        <v>59.90029114725499</v>
      </c>
      <c r="G318" s="5">
        <f t="shared" si="73"/>
        <v>1</v>
      </c>
      <c r="H318" s="37">
        <v>0</v>
      </c>
      <c r="I318" s="36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227"/>
      <c r="Z318" s="228"/>
      <c r="AA318" s="7"/>
      <c r="AB318" s="7"/>
      <c r="AC318" s="7"/>
      <c r="AD318" s="74">
        <f>(INDEX('Race 22'!$E$8:$E$200,(MATCH($B318,'Race 22'!$B$8:$B$200,0)),1))*100</f>
        <v>59.90029114725499</v>
      </c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4"/>
      <c r="AP318" s="7"/>
      <c r="AQ318" s="74"/>
      <c r="AR318" s="70"/>
      <c r="AS318" s="7"/>
      <c r="AT318" s="70"/>
      <c r="AU318" s="7"/>
      <c r="AV318" s="70"/>
      <c r="AW318" s="7"/>
      <c r="AX318" s="8"/>
      <c r="AY318" s="36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4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4"/>
      <c r="CF318" s="74"/>
      <c r="CG318" s="7"/>
      <c r="CH318" s="7"/>
      <c r="CI318" s="7"/>
      <c r="CJ318" s="7"/>
      <c r="CK318" s="101"/>
      <c r="CL318" s="74"/>
      <c r="CM318" s="74"/>
      <c r="CN318" s="74"/>
      <c r="CO318" s="70"/>
      <c r="CP318" s="74"/>
      <c r="CQ318" s="7"/>
      <c r="CR318" s="74"/>
      <c r="CS318" s="74"/>
      <c r="CT318" s="74"/>
      <c r="CU318" s="74"/>
      <c r="CV318" s="7"/>
      <c r="CW318" s="7"/>
      <c r="CX318" s="7"/>
      <c r="CY318" s="7"/>
      <c r="CZ318" s="7"/>
      <c r="DA318" s="7"/>
      <c r="DB318" s="7"/>
      <c r="DC318" s="7"/>
      <c r="DD318" s="7"/>
      <c r="DE318" s="74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8">
        <f t="shared" si="75"/>
        <v>59.90029114725499</v>
      </c>
      <c r="EA318" s="3" t="str">
        <f t="shared" si="76"/>
        <v>Owen, Tom</v>
      </c>
      <c r="EB318" s="2">
        <f t="shared" si="77"/>
        <v>1</v>
      </c>
      <c r="EC318" s="112">
        <f t="shared" si="74"/>
        <v>0</v>
      </c>
      <c r="ED318" s="29">
        <f t="shared" si="78"/>
        <v>58.933777201156033</v>
      </c>
      <c r="EE318" s="2">
        <f t="shared" si="79"/>
        <v>1</v>
      </c>
      <c r="EF318" s="46">
        <f t="shared" si="80"/>
        <v>1</v>
      </c>
      <c r="EG318" s="46">
        <f t="shared" si="81"/>
        <v>1</v>
      </c>
      <c r="EH318" s="2" t="str">
        <f t="shared" si="82"/>
        <v>MT</v>
      </c>
      <c r="EI318" s="29">
        <f>IF(COUNT(I318:AD318)&lt;5,DZ318,SUMPRODUCT(LARGE(I318:AD318,{1,2,3,4,5}))/5)</f>
        <v>59.90029114725499</v>
      </c>
      <c r="EJ318" s="29">
        <f>IF(COUNT(I318:AX318)&lt;5,DZ318,SUMPRODUCT(LARGE(I318:AX318,{1,2,3,4,5}))/5)</f>
        <v>59.90029114725499</v>
      </c>
      <c r="EK318" s="112">
        <f>IF(COUNT(I318:DY318)&lt;5,AVERAGE(I318:DY318),SUMPRODUCT(LARGE(I318:DY318,{1,2,3,4,5}))/5)</f>
        <v>59.90029114725499</v>
      </c>
      <c r="EL318" s="29">
        <f t="shared" si="83"/>
        <v>58.933777201156033</v>
      </c>
      <c r="EM318" s="116" t="str">
        <f t="shared" si="84"/>
        <v>Owen, Tom</v>
      </c>
      <c r="EQ318"/>
    </row>
    <row r="319" spans="1:147" x14ac:dyDescent="0.25">
      <c r="A319" s="59">
        <f t="shared" si="70"/>
        <v>316</v>
      </c>
      <c r="B319" s="32" t="s">
        <v>144</v>
      </c>
      <c r="C319" s="5" t="s">
        <v>6</v>
      </c>
      <c r="D319" s="6" t="s">
        <v>69</v>
      </c>
      <c r="E319" s="6">
        <v>54.282371717671694</v>
      </c>
      <c r="F319" s="6">
        <v>54.282371717671694</v>
      </c>
      <c r="G319" s="5">
        <f t="shared" si="73"/>
        <v>0</v>
      </c>
      <c r="H319" s="37">
        <v>54.282371717671694</v>
      </c>
      <c r="I319" s="107"/>
      <c r="J319" s="7"/>
      <c r="K319" s="74"/>
      <c r="L319" s="7"/>
      <c r="M319" s="74"/>
      <c r="N319" s="74"/>
      <c r="O319" s="7"/>
      <c r="P319" s="74"/>
      <c r="Q319" s="74"/>
      <c r="R319" s="74"/>
      <c r="S319" s="74"/>
      <c r="T319" s="7"/>
      <c r="U319" s="7"/>
      <c r="V319" s="74"/>
      <c r="W319" s="7"/>
      <c r="X319" s="74"/>
      <c r="Y319" s="227"/>
      <c r="Z319" s="228"/>
      <c r="AA319" s="74"/>
      <c r="AB319" s="74"/>
      <c r="AC319" s="74"/>
      <c r="AD319" s="74"/>
      <c r="AE319" s="7"/>
      <c r="AF319" s="74"/>
      <c r="AG319" s="74"/>
      <c r="AH319" s="7"/>
      <c r="AI319" s="7"/>
      <c r="AJ319" s="7"/>
      <c r="AK319" s="7"/>
      <c r="AL319" s="7"/>
      <c r="AM319" s="7"/>
      <c r="AN319" s="7"/>
      <c r="AO319" s="74"/>
      <c r="AP319" s="7"/>
      <c r="AQ319" s="74"/>
      <c r="AR319" s="101"/>
      <c r="AS319" s="7"/>
      <c r="AT319" s="101"/>
      <c r="AU319" s="7"/>
      <c r="AV319" s="101"/>
      <c r="AW319" s="7"/>
      <c r="AX319" s="8"/>
      <c r="AY319" s="107"/>
      <c r="AZ319" s="74"/>
      <c r="BA319" s="74"/>
      <c r="BB319" s="74"/>
      <c r="BC319" s="74"/>
      <c r="BD319" s="7"/>
      <c r="BE319" s="7"/>
      <c r="BF319" s="74"/>
      <c r="BG319" s="74"/>
      <c r="BH319" s="74"/>
      <c r="BI319" s="74"/>
      <c r="BJ319" s="7"/>
      <c r="BK319" s="7"/>
      <c r="BL319" s="7"/>
      <c r="BM319" s="7"/>
      <c r="BN319" s="74"/>
      <c r="BO319" s="74"/>
      <c r="BP319" s="7"/>
      <c r="BQ319" s="7"/>
      <c r="BR319" s="74"/>
      <c r="BS319" s="7"/>
      <c r="BT319" s="7"/>
      <c r="BU319" s="74"/>
      <c r="BV319" s="74"/>
      <c r="BW319" s="74"/>
      <c r="BX319" s="74"/>
      <c r="BY319" s="74"/>
      <c r="BZ319" s="7"/>
      <c r="CA319" s="7"/>
      <c r="CB319" s="74"/>
      <c r="CC319" s="7"/>
      <c r="CD319" s="7"/>
      <c r="CE319" s="74"/>
      <c r="CF319" s="74"/>
      <c r="CG319" s="74"/>
      <c r="CH319" s="74"/>
      <c r="CI319" s="74"/>
      <c r="CJ319" s="74"/>
      <c r="CK319" s="101"/>
      <c r="CL319" s="74"/>
      <c r="CM319" s="74"/>
      <c r="CN319" s="74"/>
      <c r="CO319" s="101"/>
      <c r="CP319" s="74"/>
      <c r="CQ319" s="74"/>
      <c r="CR319" s="74"/>
      <c r="CS319" s="74"/>
      <c r="CT319" s="74"/>
      <c r="CU319" s="74"/>
      <c r="CV319" s="74"/>
      <c r="CW319" s="74"/>
      <c r="CX319" s="7"/>
      <c r="CY319" s="7"/>
      <c r="CZ319" s="74"/>
      <c r="DA319" s="74"/>
      <c r="DB319" s="74"/>
      <c r="DC319" s="74"/>
      <c r="DD319" s="74"/>
      <c r="DE319" s="74"/>
      <c r="DF319" s="74"/>
      <c r="DG319" s="74"/>
      <c r="DH319" s="74"/>
      <c r="DI319" s="74"/>
      <c r="DJ319" s="74"/>
      <c r="DK319" s="74"/>
      <c r="DL319" s="74"/>
      <c r="DM319" s="74"/>
      <c r="DN319" s="74"/>
      <c r="DO319" s="74"/>
      <c r="DP319" s="74"/>
      <c r="DQ319" s="74"/>
      <c r="DR319" s="7"/>
      <c r="DS319" s="7"/>
      <c r="DT319" s="7"/>
      <c r="DU319" s="7"/>
      <c r="DV319" s="74"/>
      <c r="DW319" s="74"/>
      <c r="DX319" s="74"/>
      <c r="DY319" s="74"/>
      <c r="DZ319" s="8">
        <f t="shared" si="75"/>
        <v>54.282371717671694</v>
      </c>
      <c r="EA319" s="3" t="str">
        <f t="shared" si="76"/>
        <v>Palm, Brian</v>
      </c>
      <c r="EB319" s="2">
        <f t="shared" si="77"/>
        <v>0</v>
      </c>
      <c r="EC319" s="112">
        <f t="shared" si="74"/>
        <v>54.282371717671694</v>
      </c>
      <c r="ED319" s="29">
        <f t="shared" si="78"/>
        <v>0</v>
      </c>
      <c r="EE319" s="2">
        <f t="shared" si="79"/>
        <v>0</v>
      </c>
      <c r="EF319" s="46">
        <f t="shared" si="80"/>
        <v>0</v>
      </c>
      <c r="EG319" s="46">
        <f t="shared" si="81"/>
        <v>0</v>
      </c>
      <c r="EH319" s="29" t="str">
        <f t="shared" si="82"/>
        <v>WA</v>
      </c>
      <c r="EI319" s="29">
        <f>IF(COUNT(I319:Y319)&lt;5,DZ319,SUMPRODUCT(LARGE(I319:Y319,{1,2,3,4,5}))/5)</f>
        <v>54.282371717671694</v>
      </c>
      <c r="EJ319" s="29">
        <f>IF(COUNT(I319:AX319)&lt;5,DZ319,SUMPRODUCT(LARGE(I319:AX319,{1,2,3,4,5}))/5)</f>
        <v>54.282371717671694</v>
      </c>
      <c r="EK319" s="112">
        <f>IF(EG319&lt;0,AVERAGE(I319:DY319),0)</f>
        <v>0</v>
      </c>
      <c r="EL319" s="29">
        <f t="shared" si="83"/>
        <v>0</v>
      </c>
      <c r="EM319" s="116" t="str">
        <f t="shared" si="84"/>
        <v>Palm, Brian</v>
      </c>
      <c r="EQ319"/>
    </row>
    <row r="320" spans="1:147" x14ac:dyDescent="0.25">
      <c r="A320" s="59">
        <f t="shared" si="70"/>
        <v>317</v>
      </c>
      <c r="B320" s="32" t="s">
        <v>776</v>
      </c>
      <c r="C320" s="5" t="s">
        <v>6</v>
      </c>
      <c r="D320" s="6" t="s">
        <v>64</v>
      </c>
      <c r="E320" s="6">
        <v>42.647428171137975</v>
      </c>
      <c r="F320" s="6">
        <v>42.647428171137975</v>
      </c>
      <c r="G320" s="5">
        <f t="shared" si="73"/>
        <v>0</v>
      </c>
      <c r="H320" s="37">
        <v>42.647428171137975</v>
      </c>
      <c r="I320" s="36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227"/>
      <c r="Z320" s="228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4"/>
      <c r="AP320" s="7"/>
      <c r="AQ320" s="74"/>
      <c r="AR320" s="70"/>
      <c r="AS320" s="7"/>
      <c r="AT320" s="70"/>
      <c r="AU320" s="7"/>
      <c r="AV320" s="70"/>
      <c r="AW320" s="7"/>
      <c r="AX320" s="8"/>
      <c r="AY320" s="36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4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101"/>
      <c r="CL320" s="74"/>
      <c r="CM320" s="74"/>
      <c r="CN320" s="74"/>
      <c r="CO320" s="70"/>
      <c r="CP320" s="74"/>
      <c r="CQ320" s="7"/>
      <c r="CR320" s="74"/>
      <c r="CS320" s="74"/>
      <c r="CT320" s="74"/>
      <c r="CU320" s="74"/>
      <c r="CV320" s="7"/>
      <c r="CW320" s="7"/>
      <c r="CX320" s="7"/>
      <c r="CY320" s="7"/>
      <c r="CZ320" s="7"/>
      <c r="DA320" s="7"/>
      <c r="DB320" s="7"/>
      <c r="DC320" s="7"/>
      <c r="DD320" s="7"/>
      <c r="DE320" s="74"/>
      <c r="DF320" s="74"/>
      <c r="DG320" s="74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8">
        <f t="shared" si="75"/>
        <v>42.647428171137975</v>
      </c>
      <c r="EA320" s="3" t="str">
        <f t="shared" si="76"/>
        <v>Paratore, Carlo</v>
      </c>
      <c r="EB320" s="2">
        <f t="shared" si="77"/>
        <v>0</v>
      </c>
      <c r="EC320" s="112">
        <f t="shared" si="74"/>
        <v>42.647428171137975</v>
      </c>
      <c r="ED320" s="29">
        <f t="shared" si="78"/>
        <v>0</v>
      </c>
      <c r="EE320" s="2">
        <f t="shared" si="79"/>
        <v>0</v>
      </c>
      <c r="EF320" s="46">
        <f t="shared" si="80"/>
        <v>0</v>
      </c>
      <c r="EG320" s="46">
        <f t="shared" si="81"/>
        <v>0</v>
      </c>
      <c r="EH320" s="2" t="str">
        <f t="shared" si="82"/>
        <v>ME</v>
      </c>
      <c r="EI320" s="29">
        <f>IF(COUNT(I320:Y320)&lt;5,DZ320,SUMPRODUCT(LARGE(I320:Y320,{1,2,3,4,5}))/5)</f>
        <v>42.647428171137975</v>
      </c>
      <c r="EJ320" s="29">
        <f>IF(COUNT(I320:AX320)&lt;5,DZ320,SUMPRODUCT(LARGE(I320:AX320,{1,2,3,4,5}))/5)</f>
        <v>42.647428171137975</v>
      </c>
      <c r="EK320" s="112">
        <f>IF(EG320&lt;0,AVERAGE(I320:DY320),0)</f>
        <v>0</v>
      </c>
      <c r="EL320" s="29">
        <f t="shared" si="83"/>
        <v>0</v>
      </c>
      <c r="EM320" s="116" t="str">
        <f t="shared" si="84"/>
        <v>Paratore, Carlo</v>
      </c>
      <c r="EQ320"/>
    </row>
    <row r="321" spans="1:147" x14ac:dyDescent="0.25">
      <c r="A321" s="59">
        <f t="shared" si="70"/>
        <v>318</v>
      </c>
      <c r="B321" s="32" t="s">
        <v>854</v>
      </c>
      <c r="C321" s="5" t="s">
        <v>6</v>
      </c>
      <c r="D321" s="6" t="s">
        <v>66</v>
      </c>
      <c r="E321" s="6">
        <v>57.229295734546831</v>
      </c>
      <c r="F321" s="6">
        <v>57.229295734546831</v>
      </c>
      <c r="G321" s="5">
        <f t="shared" si="73"/>
        <v>0</v>
      </c>
      <c r="H321" s="37">
        <v>57.229295734546831</v>
      </c>
      <c r="I321" s="36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227"/>
      <c r="Z321" s="228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4"/>
      <c r="AP321" s="7"/>
      <c r="AQ321" s="74"/>
      <c r="AR321" s="70"/>
      <c r="AS321" s="7"/>
      <c r="AT321" s="70"/>
      <c r="AU321" s="7"/>
      <c r="AV321" s="70"/>
      <c r="AW321" s="7"/>
      <c r="AX321" s="8"/>
      <c r="AY321" s="36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4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101"/>
      <c r="CL321" s="74"/>
      <c r="CM321" s="74"/>
      <c r="CN321" s="74"/>
      <c r="CO321" s="70"/>
      <c r="CP321" s="74"/>
      <c r="CQ321" s="7"/>
      <c r="CR321" s="74"/>
      <c r="CS321" s="74"/>
      <c r="CT321" s="74"/>
      <c r="CU321" s="74"/>
      <c r="CV321" s="7"/>
      <c r="CW321" s="7"/>
      <c r="CX321" s="7"/>
      <c r="CY321" s="7"/>
      <c r="CZ321" s="7"/>
      <c r="DA321" s="7"/>
      <c r="DB321" s="7"/>
      <c r="DC321" s="7"/>
      <c r="DD321" s="7"/>
      <c r="DE321" s="74"/>
      <c r="DF321" s="74"/>
      <c r="DG321" s="74"/>
      <c r="DH321" s="7"/>
      <c r="DI321" s="74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8">
        <f t="shared" si="75"/>
        <v>57.229295734546831</v>
      </c>
      <c r="EA321" s="3" t="str">
        <f t="shared" si="76"/>
        <v>PATIK, Tyler</v>
      </c>
      <c r="EB321" s="2">
        <f t="shared" si="77"/>
        <v>0</v>
      </c>
      <c r="EC321" s="112">
        <f t="shared" si="74"/>
        <v>57.229295734546831</v>
      </c>
      <c r="ED321" s="29">
        <f t="shared" si="78"/>
        <v>0</v>
      </c>
      <c r="EE321" s="2">
        <f t="shared" si="79"/>
        <v>0</v>
      </c>
      <c r="EF321" s="46">
        <f t="shared" si="80"/>
        <v>0</v>
      </c>
      <c r="EG321" s="46">
        <f t="shared" si="81"/>
        <v>0</v>
      </c>
      <c r="EH321" s="29" t="str">
        <f t="shared" si="82"/>
        <v>WY</v>
      </c>
      <c r="EI321" s="29">
        <f>IF(COUNT(I321:Y321)&lt;5,DZ321,SUMPRODUCT(LARGE(I321:Y321,{1,2,3,4,5}))/5)</f>
        <v>57.229295734546831</v>
      </c>
      <c r="EJ321" s="29">
        <f>IF(COUNT(I321:AX321)&lt;5,DZ321,SUMPRODUCT(LARGE(I321:AX321,{1,2,3,4,5}))/5)</f>
        <v>57.229295734546831</v>
      </c>
      <c r="EK321" s="112">
        <f>IF(EG321&lt;0,AVERAGE(I321:DY321),0)</f>
        <v>0</v>
      </c>
      <c r="EL321" s="29">
        <f t="shared" si="83"/>
        <v>0</v>
      </c>
      <c r="EM321" s="116" t="str">
        <f t="shared" si="84"/>
        <v>PATIK, Tyler</v>
      </c>
      <c r="EQ321"/>
    </row>
    <row r="322" spans="1:147" x14ac:dyDescent="0.25">
      <c r="A322" s="59">
        <f t="shared" si="70"/>
        <v>319</v>
      </c>
      <c r="B322" s="32" t="s">
        <v>1094</v>
      </c>
      <c r="C322" s="5" t="s">
        <v>6</v>
      </c>
      <c r="D322" s="6" t="s">
        <v>69</v>
      </c>
      <c r="E322" s="6">
        <v>53.610747506068513</v>
      </c>
      <c r="F322" s="6">
        <v>51.469604847831192</v>
      </c>
      <c r="G322" s="5">
        <f t="shared" si="73"/>
        <v>4</v>
      </c>
      <c r="H322" s="37">
        <v>53.610747506068513</v>
      </c>
      <c r="I322" s="36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227"/>
      <c r="Z322" s="228"/>
      <c r="AA322" s="7"/>
      <c r="AB322" s="7"/>
      <c r="AC322" s="74">
        <f>(INDEX('Race 21'!$E$8:$E$200,(MATCH($B322,'Race 21'!$B$8:$B$200,0)),1))*100</f>
        <v>54.584399729026266</v>
      </c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4">
        <f>(INDEX('Race 33'!$E$8:$E$200,(MATCH($B322,'Race 33'!$B$8:$B$200,0)),1))*100</f>
        <v>48.354809966636111</v>
      </c>
      <c r="AP322" s="7"/>
      <c r="AQ322" s="74"/>
      <c r="AR322" s="7"/>
      <c r="AS322" s="7"/>
      <c r="AT322" s="70"/>
      <c r="AU322" s="7"/>
      <c r="AV322" s="70"/>
      <c r="AW322" s="7"/>
      <c r="AX322" s="183"/>
      <c r="AY322" s="107"/>
      <c r="AZ322" s="7"/>
      <c r="BA322" s="7"/>
      <c r="BB322" s="7"/>
      <c r="BC322" s="7"/>
      <c r="BD322" s="7"/>
      <c r="BE322" s="7"/>
      <c r="BF322" s="7"/>
      <c r="BG322" s="7"/>
      <c r="BH322" s="7">
        <f>(INDEX('Race 52'!$E$8:$E$200,(MATCH($B322,'Race 52'!$B$8:$B$200,0)),1))*100</f>
        <v>58.962372342171186</v>
      </c>
      <c r="BI322" s="7"/>
      <c r="BJ322" s="7"/>
      <c r="BK322" s="7"/>
      <c r="BL322" s="7"/>
      <c r="BM322" s="7"/>
      <c r="BN322" s="74"/>
      <c r="BO322" s="7">
        <f>(INDEX('Race 59'!$E$8:$E$200,(MATCH($B322,'Race 59'!$B$8:$B$200,0)),1))*100</f>
        <v>54.1145346627085</v>
      </c>
      <c r="BP322" s="7"/>
      <c r="BQ322" s="7"/>
      <c r="BR322" s="7"/>
      <c r="BS322" s="7"/>
      <c r="BT322" s="7"/>
      <c r="BU322" s="7"/>
      <c r="BV322" s="7"/>
      <c r="BW322" s="7"/>
      <c r="BX322" s="7"/>
      <c r="BY322" s="74"/>
      <c r="BZ322" s="74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101"/>
      <c r="CL322" s="74"/>
      <c r="CM322" s="74"/>
      <c r="CN322" s="74"/>
      <c r="CO322" s="70"/>
      <c r="CP322" s="74"/>
      <c r="CQ322" s="7"/>
      <c r="CR322" s="74"/>
      <c r="CS322" s="74"/>
      <c r="CT322" s="74"/>
      <c r="CU322" s="74"/>
      <c r="CV322" s="7"/>
      <c r="CW322" s="7"/>
      <c r="CX322" s="7"/>
      <c r="CY322" s="7"/>
      <c r="CZ322" s="7"/>
      <c r="DA322" s="7"/>
      <c r="DB322" s="7"/>
      <c r="DC322" s="7"/>
      <c r="DD322" s="7"/>
      <c r="DE322" s="74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8">
        <f t="shared" si="75"/>
        <v>54.004029175135521</v>
      </c>
      <c r="EA322" s="3" t="str">
        <f t="shared" si="76"/>
        <v>Pattison, Gregg</v>
      </c>
      <c r="EB322" s="2">
        <f t="shared" si="77"/>
        <v>1</v>
      </c>
      <c r="EC322" s="112">
        <f t="shared" si="74"/>
        <v>53.610747506068513</v>
      </c>
      <c r="ED322" s="29">
        <f t="shared" si="78"/>
        <v>53.132653655190396</v>
      </c>
      <c r="EE322" s="2">
        <f t="shared" si="79"/>
        <v>1</v>
      </c>
      <c r="EF322" s="46">
        <f t="shared" si="80"/>
        <v>4</v>
      </c>
      <c r="EG322" s="46">
        <f t="shared" si="81"/>
        <v>4</v>
      </c>
      <c r="EH322" s="29" t="str">
        <f t="shared" si="82"/>
        <v>WA</v>
      </c>
      <c r="EI322" s="29">
        <f>IF(COUNT(I322:Y322)&lt;5,DZ322,SUMPRODUCT(LARGE(I322:Y322,{1,2,3,4,5}))/5)</f>
        <v>54.004029175135521</v>
      </c>
      <c r="EJ322" s="29">
        <f>IF(COUNT(I322:AX322)&lt;5,DZ322,SUMPRODUCT(LARGE(I322:AX322,{1,2,3,4,5}))/5)</f>
        <v>54.004029175135521</v>
      </c>
      <c r="EK322" s="29">
        <f>IF(COUNT(I322:DY322)&lt;5,AVERAGE(I322:DY322),SUMPRODUCT(LARGE(I322:DY322,{1,2,3,4,5}))/5)</f>
        <v>54.004029175135521</v>
      </c>
      <c r="EL322" s="29">
        <f t="shared" si="83"/>
        <v>53.132653655190396</v>
      </c>
      <c r="EM322" s="116" t="str">
        <f t="shared" si="84"/>
        <v>Pattison, Gregg</v>
      </c>
      <c r="EQ322"/>
    </row>
    <row r="323" spans="1:147" x14ac:dyDescent="0.25">
      <c r="A323" s="59">
        <f t="shared" si="70"/>
        <v>320</v>
      </c>
      <c r="B323" s="32" t="s">
        <v>796</v>
      </c>
      <c r="C323" s="5" t="s">
        <v>16</v>
      </c>
      <c r="D323" s="6" t="s">
        <v>66</v>
      </c>
      <c r="E323" s="6">
        <v>81.31811191337728</v>
      </c>
      <c r="F323" s="6">
        <v>81.31811191337728</v>
      </c>
      <c r="G323" s="5">
        <f t="shared" si="73"/>
        <v>6</v>
      </c>
      <c r="H323" s="37">
        <v>76.976708986449907</v>
      </c>
      <c r="I323" s="107"/>
      <c r="J323" s="7"/>
      <c r="K323" s="7"/>
      <c r="L323" s="7"/>
      <c r="M323" s="7"/>
      <c r="N323" s="7"/>
      <c r="O323" s="7"/>
      <c r="P323" s="7"/>
      <c r="Q323" s="7"/>
      <c r="R323" s="7"/>
      <c r="S323" s="7">
        <f>(INDEX('Race 11'!$E$8:$E$200,(MATCH($B323,'Race 11'!$B$8:$B$200,0)),1))*100</f>
        <v>74.705138124671038</v>
      </c>
      <c r="T323" s="7">
        <f>(INDEX('Race 12'!$E$8:$E$200,(MATCH($B323,'Race 12'!$B$8:$B$200,0)),1))*100</f>
        <v>76.694479282817213</v>
      </c>
      <c r="U323" s="7"/>
      <c r="V323" s="7"/>
      <c r="W323" s="7"/>
      <c r="X323" s="7">
        <f>(INDEX('Race 16'!$E$8:$E$200,(MATCH($B323,'Race 16'!$B$8:$B$200,0)),1))*100</f>
        <v>88.715793704267014</v>
      </c>
      <c r="Y323" s="227">
        <f>(INDEX('Race 17'!$E$8:$E$200,(MATCH($B323,'Race 17'!$B$8:$B$200,0)),1))*100</f>
        <v>85.15703654175384</v>
      </c>
      <c r="Z323" s="228"/>
      <c r="AA323" s="7"/>
      <c r="AB323" s="7"/>
      <c r="AC323" s="7"/>
      <c r="AD323" s="7"/>
      <c r="AE323" s="74"/>
      <c r="AF323" s="7"/>
      <c r="AG323" s="7"/>
      <c r="AH323" s="7"/>
      <c r="AI323" s="7"/>
      <c r="AJ323" s="7"/>
      <c r="AK323" s="7"/>
      <c r="AL323" s="7"/>
      <c r="AM323" s="7"/>
      <c r="AN323" s="7"/>
      <c r="AO323" s="74"/>
      <c r="AP323" s="7"/>
      <c r="AQ323" s="74"/>
      <c r="AR323" s="70"/>
      <c r="AS323" s="7"/>
      <c r="AT323" s="7"/>
      <c r="AU323" s="7"/>
      <c r="AV323" s="7"/>
      <c r="AW323" s="7"/>
      <c r="AX323" s="8"/>
      <c r="AY323" s="36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4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>
        <f>(INDEX('Race 69'!$E$8:$E$200,(MATCH($B323,'Race 69'!$B$8:$B$200,0)),1))*100</f>
        <v>74.420020227664963</v>
      </c>
      <c r="BZ323" s="7"/>
      <c r="CA323" s="7"/>
      <c r="CB323" s="7">
        <f>(INDEX('Race 72'!$E$8:$E$200,(MATCH($B323,'Race 72'!$B$8:$B$200,0)),1))*100</f>
        <v>78.712478479839049</v>
      </c>
      <c r="CC323" s="7"/>
      <c r="CD323" s="7"/>
      <c r="CE323" s="7"/>
      <c r="CF323" s="7"/>
      <c r="CG323" s="7"/>
      <c r="CH323" s="7"/>
      <c r="CI323" s="7"/>
      <c r="CJ323" s="7"/>
      <c r="CK323" s="70"/>
      <c r="CL323" s="74"/>
      <c r="CM323" s="74"/>
      <c r="CN323" s="74"/>
      <c r="CO323" s="70"/>
      <c r="CP323" s="74"/>
      <c r="CQ323" s="7"/>
      <c r="CR323" s="74"/>
      <c r="CS323" s="74"/>
      <c r="CT323" s="74"/>
      <c r="CU323" s="74"/>
      <c r="CV323" s="7"/>
      <c r="CW323" s="7"/>
      <c r="CX323" s="7"/>
      <c r="CY323" s="7"/>
      <c r="CZ323" s="7"/>
      <c r="DA323" s="7"/>
      <c r="DB323" s="7"/>
      <c r="DC323" s="7"/>
      <c r="DD323" s="7"/>
      <c r="DE323" s="74"/>
      <c r="DF323" s="74"/>
      <c r="DG323" s="74"/>
      <c r="DH323" s="7"/>
      <c r="DI323" s="74"/>
      <c r="DJ323" s="74"/>
      <c r="DK323" s="74"/>
      <c r="DL323" s="74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8">
        <f t="shared" si="75"/>
        <v>79.734157726835519</v>
      </c>
      <c r="EA323" s="3" t="str">
        <f t="shared" si="76"/>
        <v>Pearson, Jacob</v>
      </c>
      <c r="EB323" s="2">
        <f t="shared" si="77"/>
        <v>1</v>
      </c>
      <c r="EC323" s="112">
        <f t="shared" si="74"/>
        <v>76.976708986449907</v>
      </c>
      <c r="ED323" s="29">
        <f t="shared" si="78"/>
        <v>79.493295185625371</v>
      </c>
      <c r="EE323" s="2">
        <f t="shared" si="79"/>
        <v>4</v>
      </c>
      <c r="EF323" s="46">
        <f t="shared" si="80"/>
        <v>4</v>
      </c>
      <c r="EG323" s="46">
        <f t="shared" si="81"/>
        <v>6</v>
      </c>
      <c r="EH323" s="2" t="str">
        <f t="shared" si="82"/>
        <v>WY</v>
      </c>
      <c r="EI323" s="29">
        <f>IF(COUNT(I323:Y323)&lt;5,DZ323,SUMPRODUCT(LARGE(I323:Y323,{1,2,3,4,5}))/5)</f>
        <v>79.734157726835519</v>
      </c>
      <c r="EJ323" s="29">
        <f>IF(COUNT(I323:AX323)&lt;5,DZ323,SUMPRODUCT(LARGE(I323:AX323,{1,2,3,4,5}))/5)</f>
        <v>79.734157726835519</v>
      </c>
      <c r="EK323" s="29">
        <f>IF(COUNT(I323:DY323)&lt;5,AVERAGE(I323:DY323),SUMPRODUCT(LARGE(I323:DY323,{1,2,3,4,5}))/5)</f>
        <v>80.796985226669634</v>
      </c>
      <c r="EL323" s="29">
        <f t="shared" si="83"/>
        <v>79.493295185625371</v>
      </c>
      <c r="EM323" s="116" t="str">
        <f t="shared" si="84"/>
        <v>Pearson, Jacob</v>
      </c>
      <c r="EQ323"/>
    </row>
    <row r="324" spans="1:147" x14ac:dyDescent="0.25">
      <c r="A324" s="59">
        <f t="shared" si="70"/>
        <v>321</v>
      </c>
      <c r="B324" s="32" t="s">
        <v>1202</v>
      </c>
      <c r="C324" s="5" t="s">
        <v>6</v>
      </c>
      <c r="D324" s="6" t="s">
        <v>62</v>
      </c>
      <c r="E324" s="6">
        <v>0</v>
      </c>
      <c r="F324" s="6">
        <v>0</v>
      </c>
      <c r="G324" s="5">
        <f t="shared" si="73"/>
        <v>1</v>
      </c>
      <c r="H324" s="37">
        <v>0</v>
      </c>
      <c r="I324" s="36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227"/>
      <c r="Z324" s="228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4"/>
      <c r="AP324" s="7"/>
      <c r="AQ324" s="74"/>
      <c r="AR324" s="7"/>
      <c r="AS324" s="7"/>
      <c r="AT324" s="70"/>
      <c r="AU324" s="7"/>
      <c r="AV324" s="70"/>
      <c r="AW324" s="7"/>
      <c r="AX324" s="8"/>
      <c r="AY324" s="36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4"/>
      <c r="BO324" s="7"/>
      <c r="BP324" s="7"/>
      <c r="BQ324" s="7"/>
      <c r="BR324" s="7"/>
      <c r="BS324" s="7"/>
      <c r="BT324" s="7">
        <f>(INDEX('Race 64'!$E$8:$E$200,(MATCH($B324,'Race 64'!$B$8:$B$200,0)),1))*100</f>
        <v>34.115301655960209</v>
      </c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4"/>
      <c r="CI324" s="74"/>
      <c r="CJ324" s="7"/>
      <c r="CK324" s="101"/>
      <c r="CL324" s="74"/>
      <c r="CM324" s="74"/>
      <c r="CN324" s="74"/>
      <c r="CO324" s="70"/>
      <c r="CP324" s="74"/>
      <c r="CQ324" s="7"/>
      <c r="CR324" s="74"/>
      <c r="CS324" s="74"/>
      <c r="CT324" s="74"/>
      <c r="CU324" s="74"/>
      <c r="CV324" s="7"/>
      <c r="CW324" s="7"/>
      <c r="CX324" s="7"/>
      <c r="CY324" s="7"/>
      <c r="CZ324" s="7"/>
      <c r="DA324" s="7"/>
      <c r="DB324" s="7"/>
      <c r="DC324" s="7"/>
      <c r="DD324" s="7"/>
      <c r="DE324" s="74"/>
      <c r="DF324" s="74"/>
      <c r="DG324" s="74"/>
      <c r="DH324" s="7"/>
      <c r="DI324" s="74"/>
      <c r="DJ324" s="7"/>
      <c r="DK324" s="7"/>
      <c r="DL324" s="7"/>
      <c r="DM324" s="7"/>
      <c r="DN324" s="7"/>
      <c r="DO324" s="7"/>
      <c r="DP324" s="7"/>
      <c r="DQ324" s="14"/>
      <c r="DR324" s="7"/>
      <c r="DS324" s="7"/>
      <c r="DT324" s="7"/>
      <c r="DU324" s="7"/>
      <c r="DV324" s="7"/>
      <c r="DW324" s="7"/>
      <c r="DX324" s="7"/>
      <c r="DY324" s="7"/>
      <c r="DZ324" s="8">
        <f t="shared" si="75"/>
        <v>34.115301655960209</v>
      </c>
      <c r="EA324" s="3" t="str">
        <f t="shared" si="76"/>
        <v>Pearson, Seth</v>
      </c>
      <c r="EB324" s="2">
        <f t="shared" si="77"/>
        <v>1</v>
      </c>
      <c r="EC324" s="112">
        <f t="shared" si="74"/>
        <v>0</v>
      </c>
      <c r="ED324" s="29">
        <f t="shared" si="78"/>
        <v>33.564838307713707</v>
      </c>
      <c r="EE324" s="2">
        <f t="shared" si="79"/>
        <v>0</v>
      </c>
      <c r="EF324" s="46">
        <f t="shared" si="80"/>
        <v>0</v>
      </c>
      <c r="EG324" s="46">
        <f t="shared" si="81"/>
        <v>1</v>
      </c>
      <c r="EH324" s="2" t="str">
        <f t="shared" si="82"/>
        <v>CO</v>
      </c>
      <c r="EI324" s="29">
        <f>IF(COUNT(I324:AD324)&lt;5,DZ324,SUMPRODUCT(LARGE(I324:AD324,{1,2,3,4,5}))/5)</f>
        <v>34.115301655960209</v>
      </c>
      <c r="EJ324" s="29">
        <f>IF(COUNT(I324:BE324)&lt;5,DZ324,SUMPRODUCT(LARGE(I324:BE324,{1,2,3,4,5}))/5)</f>
        <v>34.115301655960209</v>
      </c>
      <c r="EK324" s="29">
        <f>IF(COUNT(I324:DY324)&lt;5,AVERAGE(I324:DY324),SUMPRODUCT(LARGE(I324:DY324,{1,2,3,4,5}))/5)</f>
        <v>34.115301655960209</v>
      </c>
      <c r="EL324" s="29">
        <f t="shared" si="83"/>
        <v>33.564838307713707</v>
      </c>
      <c r="EM324" s="116" t="str">
        <f t="shared" si="84"/>
        <v>Pearson, Seth</v>
      </c>
      <c r="EQ324"/>
    </row>
    <row r="325" spans="1:147" x14ac:dyDescent="0.25">
      <c r="A325" s="59">
        <f t="shared" si="70"/>
        <v>322</v>
      </c>
      <c r="B325" s="32" t="s">
        <v>815</v>
      </c>
      <c r="C325" s="5" t="s">
        <v>6</v>
      </c>
      <c r="D325" s="6" t="s">
        <v>88</v>
      </c>
      <c r="E325" s="6">
        <v>53.711512965544983</v>
      </c>
      <c r="F325" s="6">
        <v>54.310602177213042</v>
      </c>
      <c r="G325" s="5">
        <f t="shared" si="73"/>
        <v>3</v>
      </c>
      <c r="H325" s="37">
        <v>53.711512965544983</v>
      </c>
      <c r="I325" s="36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227"/>
      <c r="Z325" s="228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4">
        <f>(INDEX('Race 33'!$E$8:$E$200,(MATCH($B325,'Race 33'!$B$8:$B$200,0)),1))*100</f>
        <v>54.310602177213042</v>
      </c>
      <c r="AP325" s="7"/>
      <c r="AQ325" s="74"/>
      <c r="AR325" s="70"/>
      <c r="AS325" s="7"/>
      <c r="AT325" s="70"/>
      <c r="AU325" s="7"/>
      <c r="AV325" s="70"/>
      <c r="AW325" s="7"/>
      <c r="AX325" s="8"/>
      <c r="AY325" s="36"/>
      <c r="AZ325" s="7"/>
      <c r="BA325" s="7"/>
      <c r="BB325" s="7"/>
      <c r="BC325" s="7"/>
      <c r="BD325" s="7"/>
      <c r="BE325" s="7"/>
      <c r="BF325" s="7"/>
      <c r="BG325" s="7"/>
      <c r="BH325" s="7">
        <f>(INDEX('Race 52'!$E$8:$E$200,(MATCH($B325,'Race 52'!$B$8:$B$200,0)),1))*100</f>
        <v>53.895163673711842</v>
      </c>
      <c r="BI325" s="7"/>
      <c r="BJ325" s="7"/>
      <c r="BK325" s="7"/>
      <c r="BL325" s="7"/>
      <c r="BM325" s="7"/>
      <c r="BN325" s="74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4"/>
      <c r="BZ325" s="74"/>
      <c r="CA325" s="7"/>
      <c r="CB325" s="7"/>
      <c r="CC325" s="7"/>
      <c r="CD325" s="7">
        <f>(INDEX('Race 74'!$E$8:$E$200,(MATCH($B325,'Race 74'!$B$8:$B$200,0)),1))*100</f>
        <v>56.562704453689669</v>
      </c>
      <c r="CE325" s="7"/>
      <c r="CF325" s="7"/>
      <c r="CG325" s="7"/>
      <c r="CH325" s="7"/>
      <c r="CI325" s="7"/>
      <c r="CJ325" s="7"/>
      <c r="CK325" s="101"/>
      <c r="CL325" s="74"/>
      <c r="CM325" s="74"/>
      <c r="CN325" s="74"/>
      <c r="CO325" s="70"/>
      <c r="CP325" s="74"/>
      <c r="CQ325" s="7"/>
      <c r="CR325" s="74"/>
      <c r="CS325" s="74"/>
      <c r="CT325" s="74"/>
      <c r="CU325" s="74"/>
      <c r="CV325" s="7"/>
      <c r="CW325" s="7"/>
      <c r="CX325" s="7"/>
      <c r="CY325" s="7"/>
      <c r="CZ325" s="7"/>
      <c r="DA325" s="7"/>
      <c r="DB325" s="7"/>
      <c r="DC325" s="7"/>
      <c r="DD325" s="7"/>
      <c r="DE325" s="74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8">
        <f t="shared" si="75"/>
        <v>54.922823434871511</v>
      </c>
      <c r="EA325" s="3" t="str">
        <f t="shared" si="76"/>
        <v>Pentinmaki, Oliver</v>
      </c>
      <c r="EB325" s="2">
        <f t="shared" si="77"/>
        <v>1</v>
      </c>
      <c r="EC325" s="112">
        <f t="shared" si="74"/>
        <v>53.711512965544983</v>
      </c>
      <c r="ED325" s="29">
        <f t="shared" si="78"/>
        <v>54.036622820613445</v>
      </c>
      <c r="EE325" s="2">
        <f t="shared" si="79"/>
        <v>0</v>
      </c>
      <c r="EF325" s="46">
        <f t="shared" si="80"/>
        <v>2</v>
      </c>
      <c r="EG325" s="46">
        <f t="shared" si="81"/>
        <v>3</v>
      </c>
      <c r="EH325" s="29" t="str">
        <f t="shared" si="82"/>
        <v>WI</v>
      </c>
      <c r="EI325" s="29">
        <f>IF(COUNT(I325:Y325)&lt;5,DZ325,SUMPRODUCT(LARGE(I325:Y325,{1,2,3,4,5}))/5)</f>
        <v>54.922823434871511</v>
      </c>
      <c r="EJ325" s="29">
        <f>IF(COUNT(I325:AX325)&lt;5,DZ325,SUMPRODUCT(LARGE(I325:AX325,{1,2,3,4,5}))/5)</f>
        <v>54.922823434871511</v>
      </c>
      <c r="EK325" s="29">
        <f>IF(COUNT(I325:DY325)&lt;5,AVERAGE(I325:DY325),SUMPRODUCT(LARGE(I325:DY325,{1,2,3,4,5}))/5)</f>
        <v>54.922823434871511</v>
      </c>
      <c r="EL325" s="29">
        <f t="shared" si="83"/>
        <v>54.036622820613445</v>
      </c>
      <c r="EM325" s="116" t="str">
        <f t="shared" si="84"/>
        <v>Pentinmaki, Oliver</v>
      </c>
      <c r="EQ325"/>
    </row>
    <row r="326" spans="1:147" x14ac:dyDescent="0.25">
      <c r="A326" s="59">
        <f t="shared" ref="A326:A389" si="85">A325+1</f>
        <v>323</v>
      </c>
      <c r="B326" s="32" t="s">
        <v>150</v>
      </c>
      <c r="C326" s="5" t="s">
        <v>6</v>
      </c>
      <c r="D326" s="6" t="s">
        <v>58</v>
      </c>
      <c r="E326" s="6">
        <v>63.580104613969013</v>
      </c>
      <c r="F326" s="6">
        <v>68.67926480485005</v>
      </c>
      <c r="G326" s="5">
        <f t="shared" si="73"/>
        <v>5</v>
      </c>
      <c r="H326" s="99">
        <v>67.09322222607787</v>
      </c>
      <c r="I326" s="107">
        <f>(INDEX('Race 1'!$E$8:$E$200,(MATCH($B326,'Race 1'!$B$8:$B$200,0)),1))*100</f>
        <v>63.580104613969013</v>
      </c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227"/>
      <c r="Z326" s="228"/>
      <c r="AA326" s="7"/>
      <c r="AB326" s="7"/>
      <c r="AC326" s="7"/>
      <c r="AD326" s="74"/>
      <c r="AE326" s="74"/>
      <c r="AF326" s="7"/>
      <c r="AG326" s="7"/>
      <c r="AH326" s="7"/>
      <c r="AI326" s="7"/>
      <c r="AJ326" s="7"/>
      <c r="AK326" s="7"/>
      <c r="AL326" s="7"/>
      <c r="AM326" s="7"/>
      <c r="AN326" s="7"/>
      <c r="AO326" s="74"/>
      <c r="AP326" s="7"/>
      <c r="AQ326" s="74"/>
      <c r="AR326" s="70"/>
      <c r="AS326" s="7"/>
      <c r="AT326" s="70"/>
      <c r="AU326" s="7"/>
      <c r="AV326" s="70"/>
      <c r="AW326" s="7">
        <f>(INDEX('Race 41'!$E$8:$E$200,(MATCH($B326,'Race 41'!$B$8:$B$200,0)),1))*100</f>
        <v>70.341247757876573</v>
      </c>
      <c r="AX326" s="8">
        <f>(INDEX('Race 42'!$E$8:$E$200,(MATCH($B326,'Race 42'!$B$8:$B$200,0)),1))*100</f>
        <v>72.116442042704548</v>
      </c>
      <c r="AY326" s="36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>
        <f>(INDEX('Race 75'!$E$8:$E$200,(MATCH($B326,'Race 75'!$B$8:$B$200,0)),1))*100</f>
        <v>66.385836686285842</v>
      </c>
      <c r="CF326" s="7">
        <f>(INDEX('Race 76'!$E$8:$E$200,(MATCH($B326,'Race 76'!$B$8:$B$200,0)),1))*100</f>
        <v>66.608377069980662</v>
      </c>
      <c r="CG326" s="74"/>
      <c r="CH326" s="74"/>
      <c r="CI326" s="7"/>
      <c r="CJ326" s="7"/>
      <c r="CK326" s="101"/>
      <c r="CL326" s="74"/>
      <c r="CM326" s="74"/>
      <c r="CN326" s="74"/>
      <c r="CO326" s="101"/>
      <c r="CP326" s="74"/>
      <c r="CQ326" s="7"/>
      <c r="CR326" s="74"/>
      <c r="CS326" s="74"/>
      <c r="CT326" s="74"/>
      <c r="CU326" s="74"/>
      <c r="CV326" s="74"/>
      <c r="CW326" s="7"/>
      <c r="CX326" s="7"/>
      <c r="CY326" s="7"/>
      <c r="CZ326" s="74"/>
      <c r="DA326" s="7"/>
      <c r="DB326" s="7"/>
      <c r="DC326" s="7"/>
      <c r="DD326" s="7"/>
      <c r="DE326" s="74"/>
      <c r="DF326" s="74"/>
      <c r="DG326" s="74"/>
      <c r="DH326" s="74"/>
      <c r="DI326" s="74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8">
        <f t="shared" si="75"/>
        <v>67.806401634163336</v>
      </c>
      <c r="EA326" s="3" t="str">
        <f t="shared" si="76"/>
        <v>Peterson, Paul</v>
      </c>
      <c r="EB326" s="2">
        <f t="shared" si="77"/>
        <v>1</v>
      </c>
      <c r="EC326" s="112">
        <f t="shared" si="74"/>
        <v>67.09322222607787</v>
      </c>
      <c r="ED326" s="29">
        <f t="shared" si="78"/>
        <v>66.712319592840757</v>
      </c>
      <c r="EE326" s="2">
        <f t="shared" si="79"/>
        <v>1</v>
      </c>
      <c r="EF326" s="46">
        <f t="shared" si="80"/>
        <v>3</v>
      </c>
      <c r="EG326" s="46">
        <f t="shared" si="81"/>
        <v>5</v>
      </c>
      <c r="EH326" s="2" t="str">
        <f t="shared" si="82"/>
        <v>MN</v>
      </c>
      <c r="EI326" s="29">
        <f>IF(COUNT(I326:Y326)&lt;5,DZ326,SUMPRODUCT(LARGE(I326:Y326,{1,2,3,4,5}))/5)</f>
        <v>67.806401634163336</v>
      </c>
      <c r="EJ326" s="29">
        <f>IF(COUNT(I326:AX326)&lt;5,DZ326,SUMPRODUCT(LARGE(I326:AX326,{1,2,3,4,5}))/5)</f>
        <v>67.806401634163336</v>
      </c>
      <c r="EK326" s="29">
        <f>IF(COUNT(I326:DY326)&lt;5,AVERAGE(I326:DY326),SUMPRODUCT(LARGE(I326:DY326,{1,2,3,4,5}))/5)</f>
        <v>67.806401634163336</v>
      </c>
      <c r="EL326" s="29">
        <f t="shared" si="83"/>
        <v>66.712319592840757</v>
      </c>
      <c r="EM326" s="116" t="str">
        <f t="shared" si="84"/>
        <v>Peterson, Paul</v>
      </c>
      <c r="EQ326"/>
    </row>
    <row r="327" spans="1:147" x14ac:dyDescent="0.25">
      <c r="A327" s="59">
        <f t="shared" si="85"/>
        <v>324</v>
      </c>
      <c r="B327" s="32" t="s">
        <v>1190</v>
      </c>
      <c r="C327" s="5" t="s">
        <v>6</v>
      </c>
      <c r="D327" s="6" t="s">
        <v>63</v>
      </c>
      <c r="E327" s="6">
        <v>0</v>
      </c>
      <c r="F327" s="6">
        <v>0</v>
      </c>
      <c r="G327" s="5">
        <f t="shared" si="73"/>
        <v>1</v>
      </c>
      <c r="H327" s="37">
        <v>0</v>
      </c>
      <c r="I327" s="36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227"/>
      <c r="Z327" s="228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4"/>
      <c r="AP327" s="7"/>
      <c r="AQ327" s="74"/>
      <c r="AR327" s="70"/>
      <c r="AS327" s="7"/>
      <c r="AT327" s="70"/>
      <c r="AU327" s="7"/>
      <c r="AV327" s="70"/>
      <c r="AW327" s="7"/>
      <c r="AX327" s="8"/>
      <c r="AY327" s="10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4"/>
      <c r="BO327" s="7"/>
      <c r="BP327" s="7"/>
      <c r="BQ327" s="7">
        <f>(INDEX('Race 61'!$E$8:$E$200,(MATCH($B327,'Race 61'!$B$8:$B$200,0)),1))*100</f>
        <v>48.632429816605011</v>
      </c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4"/>
      <c r="CF327" s="74"/>
      <c r="CG327" s="7"/>
      <c r="CH327" s="7"/>
      <c r="CI327" s="7"/>
      <c r="CJ327" s="7"/>
      <c r="CK327" s="101"/>
      <c r="CL327" s="74"/>
      <c r="CM327" s="74"/>
      <c r="CN327" s="74"/>
      <c r="CO327" s="70"/>
      <c r="CP327" s="74"/>
      <c r="CQ327" s="7"/>
      <c r="CR327" s="74"/>
      <c r="CS327" s="74"/>
      <c r="CT327" s="74"/>
      <c r="CU327" s="74"/>
      <c r="CV327" s="7"/>
      <c r="CW327" s="7"/>
      <c r="CX327" s="7"/>
      <c r="CY327" s="7"/>
      <c r="CZ327" s="7"/>
      <c r="DA327" s="7"/>
      <c r="DB327" s="7"/>
      <c r="DC327" s="7"/>
      <c r="DD327" s="7"/>
      <c r="DE327" s="74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8">
        <f t="shared" si="75"/>
        <v>48.632429816605011</v>
      </c>
      <c r="EA327" s="3" t="str">
        <f t="shared" si="76"/>
        <v>Peterson, Wayne</v>
      </c>
      <c r="EB327" s="2">
        <f t="shared" si="77"/>
        <v>1</v>
      </c>
      <c r="EC327" s="112">
        <f t="shared" si="74"/>
        <v>0</v>
      </c>
      <c r="ED327" s="29">
        <f t="shared" si="78"/>
        <v>47.847727092291429</v>
      </c>
      <c r="EE327" s="2">
        <f t="shared" si="79"/>
        <v>0</v>
      </c>
      <c r="EF327" s="46">
        <f t="shared" si="80"/>
        <v>1</v>
      </c>
      <c r="EG327" s="46">
        <f t="shared" si="81"/>
        <v>1</v>
      </c>
      <c r="EH327" s="2" t="str">
        <f t="shared" si="82"/>
        <v>VT</v>
      </c>
      <c r="EI327" s="29">
        <f>IF(COUNT(I327:AD327)&lt;5,DZ327,SUMPRODUCT(LARGE(I327:AD327,{1,2,3,4,5}))/5)</f>
        <v>48.632429816605011</v>
      </c>
      <c r="EJ327" s="29">
        <f>IF(COUNT(I327:AX327)&lt;5,DZ327,SUMPRODUCT(LARGE(I327:AX327,{1,2,3,4,5}))/5)</f>
        <v>48.632429816605011</v>
      </c>
      <c r="EK327" s="29">
        <f>IF(COUNT(I327:DY327)&lt;5,AVERAGE(I327:DY327),SUMPRODUCT(LARGE(I327:DY327,{1,2,3,4,5}))/5)</f>
        <v>48.632429816605011</v>
      </c>
      <c r="EL327" s="29">
        <f t="shared" si="83"/>
        <v>47.847727092291429</v>
      </c>
      <c r="EM327" s="116" t="str">
        <f t="shared" si="84"/>
        <v>Peterson, Wayne</v>
      </c>
      <c r="EQ327"/>
    </row>
    <row r="328" spans="1:147" x14ac:dyDescent="0.25">
      <c r="A328" s="59">
        <f t="shared" si="85"/>
        <v>325</v>
      </c>
      <c r="B328" s="32" t="s">
        <v>895</v>
      </c>
      <c r="C328" s="5" t="s">
        <v>6</v>
      </c>
      <c r="D328" s="6" t="s">
        <v>69</v>
      </c>
      <c r="E328" s="6">
        <v>44.888541806094175</v>
      </c>
      <c r="F328" s="6">
        <v>44.888541806094175</v>
      </c>
      <c r="G328" s="5">
        <f t="shared" si="73"/>
        <v>0</v>
      </c>
      <c r="H328" s="37">
        <v>44.888541806094175</v>
      </c>
      <c r="I328" s="36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227"/>
      <c r="Z328" s="228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4"/>
      <c r="AP328" s="7"/>
      <c r="AQ328" s="74"/>
      <c r="AR328" s="70"/>
      <c r="AS328" s="7"/>
      <c r="AT328" s="70"/>
      <c r="AU328" s="7"/>
      <c r="AV328" s="70"/>
      <c r="AW328" s="7"/>
      <c r="AX328" s="8"/>
      <c r="AY328" s="36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4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4"/>
      <c r="CG328" s="74"/>
      <c r="CH328" s="7"/>
      <c r="CI328" s="7"/>
      <c r="CJ328" s="7"/>
      <c r="CK328" s="101"/>
      <c r="CL328" s="74"/>
      <c r="CM328" s="74"/>
      <c r="CN328" s="74"/>
      <c r="CO328" s="70"/>
      <c r="CP328" s="74"/>
      <c r="CQ328" s="7"/>
      <c r="CR328" s="74"/>
      <c r="CS328" s="74"/>
      <c r="CT328" s="74"/>
      <c r="CU328" s="74"/>
      <c r="CV328" s="7"/>
      <c r="CW328" s="7"/>
      <c r="CX328" s="7"/>
      <c r="CY328" s="7"/>
      <c r="CZ328" s="7"/>
      <c r="DA328" s="7"/>
      <c r="DB328" s="7"/>
      <c r="DC328" s="7"/>
      <c r="DD328" s="7"/>
      <c r="DE328" s="74"/>
      <c r="DF328" s="74"/>
      <c r="DG328" s="74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8">
        <f t="shared" si="75"/>
        <v>44.888541806094175</v>
      </c>
      <c r="EA328" s="3" t="str">
        <f t="shared" si="76"/>
        <v>Philipson, Erik</v>
      </c>
      <c r="EB328" s="2">
        <f t="shared" si="77"/>
        <v>0</v>
      </c>
      <c r="EC328" s="112">
        <f t="shared" si="74"/>
        <v>44.888541806094175</v>
      </c>
      <c r="ED328" s="29">
        <f t="shared" si="78"/>
        <v>0</v>
      </c>
      <c r="EE328" s="2">
        <f t="shared" si="79"/>
        <v>0</v>
      </c>
      <c r="EF328" s="46">
        <f t="shared" si="80"/>
        <v>0</v>
      </c>
      <c r="EG328" s="46">
        <f t="shared" si="81"/>
        <v>0</v>
      </c>
      <c r="EH328" s="2" t="str">
        <f t="shared" si="82"/>
        <v>WA</v>
      </c>
      <c r="EI328" s="29">
        <f>IF(COUNT(I328:Y328)&lt;5,DZ328,SUMPRODUCT(LARGE(I328:Y328,{1,2,3,4,5}))/5)</f>
        <v>44.888541806094175</v>
      </c>
      <c r="EJ328" s="29">
        <f>IF(COUNT(I328:AX328)&lt;5,DZ328,SUMPRODUCT(LARGE(I328:AX328,{1,2,3,4,5}))/5)</f>
        <v>44.888541806094175</v>
      </c>
      <c r="EK328" s="112">
        <f>IF(EG328&lt;0,AVERAGE(I328:DY328),0)</f>
        <v>0</v>
      </c>
      <c r="EL328" s="29">
        <f t="shared" si="83"/>
        <v>0</v>
      </c>
      <c r="EM328" s="116" t="str">
        <f t="shared" si="84"/>
        <v>Philipson, Erik</v>
      </c>
      <c r="EQ328"/>
    </row>
    <row r="329" spans="1:147" x14ac:dyDescent="0.25">
      <c r="A329" s="59">
        <f t="shared" si="85"/>
        <v>326</v>
      </c>
      <c r="B329" s="32" t="s">
        <v>886</v>
      </c>
      <c r="C329" s="5" t="s">
        <v>6</v>
      </c>
      <c r="D329" s="6" t="s">
        <v>64</v>
      </c>
      <c r="E329" s="6">
        <v>59.774999352344693</v>
      </c>
      <c r="F329" s="6">
        <v>59.774999352344693</v>
      </c>
      <c r="G329" s="5">
        <f t="shared" si="73"/>
        <v>2</v>
      </c>
      <c r="H329" s="37">
        <v>59.774999352344693</v>
      </c>
      <c r="I329" s="36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227"/>
      <c r="Z329" s="228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4"/>
      <c r="AP329" s="7"/>
      <c r="AQ329" s="74"/>
      <c r="AR329" s="70"/>
      <c r="AS329" s="7"/>
      <c r="AT329" s="70"/>
      <c r="AU329" s="7"/>
      <c r="AV329" s="70"/>
      <c r="AW329" s="7"/>
      <c r="AX329" s="8"/>
      <c r="AY329" s="36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4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>
        <f>(INDEX('Race 75'!$E$8:$E$200,(MATCH($B329,'Race 75'!$B$8:$B$200,0)),1))*100</f>
        <v>58.466062817244271</v>
      </c>
      <c r="CF329" s="7">
        <f>(INDEX('Race 76'!$E$8:$E$200,(MATCH($B329,'Race 76'!$B$8:$B$200,0)),1))*100</f>
        <v>58.261097757747926</v>
      </c>
      <c r="CG329" s="7"/>
      <c r="CH329" s="7"/>
      <c r="CI329" s="7"/>
      <c r="CJ329" s="7"/>
      <c r="CK329" s="101"/>
      <c r="CL329" s="74"/>
      <c r="CM329" s="74"/>
      <c r="CN329" s="74"/>
      <c r="CO329" s="70"/>
      <c r="CP329" s="74"/>
      <c r="CQ329" s="7"/>
      <c r="CR329" s="74"/>
      <c r="CS329" s="74"/>
      <c r="CT329" s="74"/>
      <c r="CU329" s="74"/>
      <c r="CV329" s="7"/>
      <c r="CW329" s="7"/>
      <c r="CX329" s="7"/>
      <c r="CY329" s="7"/>
      <c r="CZ329" s="7"/>
      <c r="DA329" s="7"/>
      <c r="DB329" s="7"/>
      <c r="DC329" s="7"/>
      <c r="DD329" s="7"/>
      <c r="DE329" s="74"/>
      <c r="DF329" s="74"/>
      <c r="DG329" s="74"/>
      <c r="DH329" s="7"/>
      <c r="DI329" s="74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8">
        <f t="shared" si="75"/>
        <v>58.363580287496099</v>
      </c>
      <c r="EA329" s="3" t="str">
        <f t="shared" si="76"/>
        <v>Picard, Matthew</v>
      </c>
      <c r="EB329" s="2">
        <f t="shared" si="77"/>
        <v>1</v>
      </c>
      <c r="EC329" s="112">
        <f t="shared" si="74"/>
        <v>59.774999352344693</v>
      </c>
      <c r="ED329" s="29">
        <f t="shared" si="78"/>
        <v>57.421861754718712</v>
      </c>
      <c r="EE329" s="2">
        <f t="shared" si="79"/>
        <v>0</v>
      </c>
      <c r="EF329" s="46">
        <f t="shared" si="80"/>
        <v>0</v>
      </c>
      <c r="EG329" s="46">
        <f t="shared" si="81"/>
        <v>2</v>
      </c>
      <c r="EH329" s="29" t="str">
        <f t="shared" si="82"/>
        <v>ME</v>
      </c>
      <c r="EI329" s="29">
        <f>IF(COUNT(I329:Y329)&lt;5,DZ329,SUMPRODUCT(LARGE(I329:Y329,{1,2,3,4,5}))/5)</f>
        <v>58.363580287496099</v>
      </c>
      <c r="EJ329" s="29">
        <f>IF(COUNT(I329:AX329)&lt;5,DZ329,SUMPRODUCT(LARGE(I329:AX329,{1,2,3,4,5}))/5)</f>
        <v>58.363580287496099</v>
      </c>
      <c r="EK329" s="29">
        <f>IF(COUNT(I329:DY329)&lt;5,AVERAGE(I329:DY329),SUMPRODUCT(LARGE(I329:DY329,{1,2,3,4,5}))/5)</f>
        <v>58.363580287496099</v>
      </c>
      <c r="EL329" s="29">
        <f t="shared" si="83"/>
        <v>57.421861754718712</v>
      </c>
      <c r="EM329" s="116" t="str">
        <f t="shared" si="84"/>
        <v>Picard, Matthew</v>
      </c>
      <c r="EQ329"/>
    </row>
    <row r="330" spans="1:147" x14ac:dyDescent="0.25">
      <c r="A330" s="59">
        <f t="shared" si="85"/>
        <v>327</v>
      </c>
      <c r="B330" s="32" t="s">
        <v>1132</v>
      </c>
      <c r="C330" s="5" t="s">
        <v>6</v>
      </c>
      <c r="D330" s="6" t="s">
        <v>58</v>
      </c>
      <c r="E330" s="6">
        <v>0</v>
      </c>
      <c r="F330" s="6">
        <v>56.689987157321418</v>
      </c>
      <c r="G330" s="5">
        <f t="shared" si="73"/>
        <v>4</v>
      </c>
      <c r="H330" s="37">
        <v>0</v>
      </c>
      <c r="I330" s="10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227"/>
      <c r="Z330" s="228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4"/>
      <c r="AP330" s="7"/>
      <c r="AQ330" s="7"/>
      <c r="AR330" s="70"/>
      <c r="AS330" s="7"/>
      <c r="AT330" s="70"/>
      <c r="AU330" s="7"/>
      <c r="AV330" s="70"/>
      <c r="AW330" s="7">
        <f>(INDEX('Race 41'!$E$8:$E$200,(MATCH($B330,'Race 41'!$B$8:$B$200,0)),1))*100</f>
        <v>55.551549511348675</v>
      </c>
      <c r="AX330" s="8">
        <f>(INDEX('Race 42'!$E$8:$E$200,(MATCH($B330,'Race 42'!$B$8:$B$200,0)),1))*100</f>
        <v>57.828424803294162</v>
      </c>
      <c r="AY330" s="36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4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4"/>
      <c r="CD330" s="7"/>
      <c r="CE330" s="7">
        <f>(INDEX('Race 75'!$E$8:$E$200,(MATCH($B330,'Race 75'!$B$8:$B$200,0)),1))*100</f>
        <v>58.829865126711177</v>
      </c>
      <c r="CF330" s="74">
        <f>(INDEX('Race 76'!$E$8:$E$200,(MATCH($B330,'Race 76'!$B$8:$B$200,0)),1))*100</f>
        <v>59.651888603137124</v>
      </c>
      <c r="CG330" s="74"/>
      <c r="CH330" s="7"/>
      <c r="CI330" s="7"/>
      <c r="CJ330" s="74"/>
      <c r="CK330" s="101"/>
      <c r="CL330" s="74"/>
      <c r="CM330" s="74"/>
      <c r="CN330" s="74"/>
      <c r="CO330" s="70"/>
      <c r="CP330" s="74"/>
      <c r="CQ330" s="7"/>
      <c r="CR330" s="74"/>
      <c r="CS330" s="74"/>
      <c r="CT330" s="74"/>
      <c r="CU330" s="74"/>
      <c r="CV330" s="7"/>
      <c r="CW330" s="74"/>
      <c r="CX330" s="7"/>
      <c r="CY330" s="7"/>
      <c r="CZ330" s="74"/>
      <c r="DA330" s="7"/>
      <c r="DB330" s="7"/>
      <c r="DC330" s="7"/>
      <c r="DD330" s="7"/>
      <c r="DE330" s="74"/>
      <c r="DF330" s="74"/>
      <c r="DG330" s="74"/>
      <c r="DH330" s="7"/>
      <c r="DI330" s="74"/>
      <c r="DJ330" s="7"/>
      <c r="DK330" s="74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8">
        <f t="shared" si="75"/>
        <v>57.965432011122786</v>
      </c>
      <c r="EA330" s="3" t="str">
        <f t="shared" si="76"/>
        <v>Plantenberg, Kort</v>
      </c>
      <c r="EB330" s="2">
        <f t="shared" si="77"/>
        <v>1</v>
      </c>
      <c r="EC330" s="112">
        <f t="shared" si="74"/>
        <v>0</v>
      </c>
      <c r="ED330" s="29">
        <f t="shared" si="78"/>
        <v>57.030137751990146</v>
      </c>
      <c r="EE330" s="2">
        <f t="shared" si="79"/>
        <v>0</v>
      </c>
      <c r="EF330" s="46">
        <f t="shared" si="80"/>
        <v>2</v>
      </c>
      <c r="EG330" s="46">
        <f t="shared" si="81"/>
        <v>4</v>
      </c>
      <c r="EH330" s="2" t="str">
        <f t="shared" si="82"/>
        <v>MN</v>
      </c>
      <c r="EI330" s="29">
        <f>IF(COUNT(I330:AD330)&lt;5,DZ330,SUMPRODUCT(LARGE(I330:AD330,{1,2,3,4,5}))/5)</f>
        <v>57.965432011122786</v>
      </c>
      <c r="EJ330" s="29">
        <f>IF(COUNT(I330:AX330)&lt;5,DZ330,SUMPRODUCT(LARGE(I330:AX330,{1,2,3,4,5}))/5)</f>
        <v>57.965432011122786</v>
      </c>
      <c r="EK330" s="29">
        <f>IF(COUNT(I330:DY330)&lt;5,AVERAGE(I330:DY330),SUMPRODUCT(LARGE(I330:DY330,{1,2,3,4,5}))/5)</f>
        <v>57.965432011122786</v>
      </c>
      <c r="EL330" s="29">
        <f t="shared" si="83"/>
        <v>57.030137751990146</v>
      </c>
      <c r="EM330" s="116" t="str">
        <f t="shared" si="84"/>
        <v>Plantenberg, Kort</v>
      </c>
      <c r="EQ330"/>
    </row>
    <row r="331" spans="1:147" x14ac:dyDescent="0.25">
      <c r="A331" s="59">
        <f t="shared" si="85"/>
        <v>328</v>
      </c>
      <c r="B331" s="32" t="s">
        <v>783</v>
      </c>
      <c r="C331" s="5" t="s">
        <v>6</v>
      </c>
      <c r="D331" s="6" t="s">
        <v>87</v>
      </c>
      <c r="E331" s="6">
        <v>52.397236396258847</v>
      </c>
      <c r="F331" s="6">
        <v>52.397236396258847</v>
      </c>
      <c r="G331" s="5">
        <f t="shared" si="73"/>
        <v>5</v>
      </c>
      <c r="H331" s="37">
        <v>52.397236396258847</v>
      </c>
      <c r="I331" s="36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227"/>
      <c r="Z331" s="228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4"/>
      <c r="AP331" s="7"/>
      <c r="AQ331" s="74"/>
      <c r="AR331" s="70"/>
      <c r="AS331" s="7"/>
      <c r="AT331" s="70"/>
      <c r="AU331" s="7"/>
      <c r="AV331" s="70"/>
      <c r="AW331" s="7"/>
      <c r="AX331" s="8"/>
      <c r="AY331" s="36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4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4"/>
      <c r="CD331" s="7"/>
      <c r="CE331" s="7"/>
      <c r="CF331" s="7"/>
      <c r="CG331" s="7"/>
      <c r="CH331" s="7"/>
      <c r="CI331" s="7"/>
      <c r="CJ331" s="7"/>
      <c r="CK331" s="101"/>
      <c r="CL331" s="74"/>
      <c r="CM331" s="74"/>
      <c r="CN331" s="74"/>
      <c r="CO331" s="70">
        <f>(INDEX('Race 85'!$E$8:$E$200,(MATCH($B331,'Race 85'!$B$8:$B$200,0)),1))*100</f>
        <v>54.537970799181487</v>
      </c>
      <c r="CP331" s="74"/>
      <c r="CQ331" s="7">
        <f>(INDEX('Race 87'!$E$8:$E$200,(MATCH($B331,'Race 87'!$B$8:$B$200,0)),1))*100</f>
        <v>47.475514837318514</v>
      </c>
      <c r="CR331" s="74">
        <f>(INDEX('Race 88'!$E$8:$E$200,(MATCH($B331,'Race 88'!$B$8:$B$200,0)),1))*100</f>
        <v>58.965970661622571</v>
      </c>
      <c r="CS331" s="74">
        <f>(INDEX('Race 89'!$E$8:$E$200,(MATCH($B331,'Race 89'!$B$8:$B$200,0)),1))*100</f>
        <v>59.251696156438669</v>
      </c>
      <c r="CT331" s="74"/>
      <c r="CU331" s="74"/>
      <c r="CV331" s="7">
        <f>(INDEX('Race 92'!$E$8:$E$200,(MATCH($B331,'Race 92'!$B$8:$B$200,0)),1))*100</f>
        <v>48.670813178683687</v>
      </c>
      <c r="CW331" s="7"/>
      <c r="CX331" s="7"/>
      <c r="CY331" s="7"/>
      <c r="CZ331" s="7"/>
      <c r="DA331" s="7"/>
      <c r="DB331" s="7"/>
      <c r="DC331" s="7"/>
      <c r="DD331" s="7"/>
      <c r="DE331" s="74"/>
      <c r="DF331" s="74"/>
      <c r="DG331" s="74"/>
      <c r="DH331" s="7"/>
      <c r="DI331" s="7"/>
      <c r="DJ331" s="7"/>
      <c r="DK331" s="7"/>
      <c r="DL331" s="7"/>
      <c r="DM331" s="74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8">
        <f t="shared" si="75"/>
        <v>53.780393126648981</v>
      </c>
      <c r="EA331" s="3" t="str">
        <f t="shared" si="76"/>
        <v>Plummer, Allen</v>
      </c>
      <c r="EB331" s="2">
        <f t="shared" si="77"/>
        <v>1</v>
      </c>
      <c r="EC331" s="112">
        <f t="shared" si="74"/>
        <v>52.397236396258847</v>
      </c>
      <c r="ED331" s="29">
        <f t="shared" si="78"/>
        <v>52.912626059276839</v>
      </c>
      <c r="EE331" s="2">
        <f t="shared" si="79"/>
        <v>0</v>
      </c>
      <c r="EF331" s="46">
        <f t="shared" si="80"/>
        <v>0</v>
      </c>
      <c r="EG331" s="46">
        <f t="shared" si="81"/>
        <v>5</v>
      </c>
      <c r="EH331" s="2" t="str">
        <f t="shared" si="82"/>
        <v>CA</v>
      </c>
      <c r="EI331" s="29">
        <f>IF(COUNT(I331:Y331)&lt;5,DZ331,SUMPRODUCT(LARGE(I331:Y331,{1,2,3,4,5}))/5)</f>
        <v>53.780393126648981</v>
      </c>
      <c r="EJ331" s="29">
        <f>IF(COUNT(I331:AX331)&lt;5,DZ331,SUMPRODUCT(LARGE(I331:AX331,{1,2,3,4,5}))/5)</f>
        <v>53.780393126648981</v>
      </c>
      <c r="EK331" s="29">
        <f>IF(COUNT(I331:DY331)&lt;5,AVERAGE(I331:DY331),SUMPRODUCT(LARGE(I331:DY331,{1,2,3,4,5}))/5)</f>
        <v>53.780393126648981</v>
      </c>
      <c r="EL331" s="29">
        <f t="shared" si="83"/>
        <v>52.912626059276839</v>
      </c>
      <c r="EM331" s="116" t="str">
        <f t="shared" si="84"/>
        <v>Plummer, Allen</v>
      </c>
      <c r="EQ331"/>
    </row>
    <row r="332" spans="1:147" x14ac:dyDescent="0.25">
      <c r="A332" s="59">
        <f t="shared" si="85"/>
        <v>329</v>
      </c>
      <c r="B332" s="4" t="s">
        <v>1186</v>
      </c>
      <c r="C332" s="5" t="s">
        <v>6</v>
      </c>
      <c r="D332" s="5" t="s">
        <v>88</v>
      </c>
      <c r="E332" s="6">
        <v>0</v>
      </c>
      <c r="F332" s="6">
        <v>0</v>
      </c>
      <c r="G332" s="5">
        <f t="shared" si="73"/>
        <v>1</v>
      </c>
      <c r="H332" s="37">
        <v>0</v>
      </c>
      <c r="I332" s="107"/>
      <c r="J332" s="7"/>
      <c r="K332" s="74"/>
      <c r="L332" s="7"/>
      <c r="M332" s="7"/>
      <c r="N332" s="74"/>
      <c r="O332" s="7"/>
      <c r="P332" s="7"/>
      <c r="Q332" s="74"/>
      <c r="R332" s="7"/>
      <c r="S332" s="74"/>
      <c r="T332" s="7"/>
      <c r="U332" s="7"/>
      <c r="V332" s="7"/>
      <c r="W332" s="7"/>
      <c r="X332" s="7"/>
      <c r="Y332" s="227"/>
      <c r="Z332" s="228"/>
      <c r="AA332" s="7"/>
      <c r="AB332" s="7"/>
      <c r="AC332" s="7"/>
      <c r="AD332" s="74"/>
      <c r="AE332" s="74"/>
      <c r="AF332" s="7"/>
      <c r="AG332" s="7"/>
      <c r="AH332" s="7"/>
      <c r="AI332" s="7"/>
      <c r="AJ332" s="7"/>
      <c r="AK332" s="7"/>
      <c r="AL332" s="74"/>
      <c r="AM332" s="7"/>
      <c r="AN332" s="74"/>
      <c r="AO332" s="7"/>
      <c r="AP332" s="7"/>
      <c r="AQ332" s="7"/>
      <c r="AR332" s="70"/>
      <c r="AS332" s="7"/>
      <c r="AT332" s="101"/>
      <c r="AU332" s="7"/>
      <c r="AV332" s="101"/>
      <c r="AW332" s="7"/>
      <c r="AX332" s="8"/>
      <c r="AY332" s="36"/>
      <c r="AZ332" s="74"/>
      <c r="BA332" s="7"/>
      <c r="BB332" s="74"/>
      <c r="BC332" s="74"/>
      <c r="BD332" s="7"/>
      <c r="BE332" s="7"/>
      <c r="BF332" s="74"/>
      <c r="BG332" s="7"/>
      <c r="BH332" s="74"/>
      <c r="BI332" s="74"/>
      <c r="BJ332" s="74"/>
      <c r="BK332" s="7"/>
      <c r="BL332" s="74"/>
      <c r="BM332" s="7"/>
      <c r="BN332" s="74"/>
      <c r="BO332" s="74">
        <f>(INDEX('Race 59'!$E$8:$E$200,(MATCH($B332,'Race 59'!$B$8:$B$200,0)),1))*100</f>
        <v>51.921097390305427</v>
      </c>
      <c r="BP332" s="7"/>
      <c r="BQ332" s="7"/>
      <c r="BR332" s="74"/>
      <c r="BS332" s="7"/>
      <c r="BT332" s="7"/>
      <c r="BU332" s="74"/>
      <c r="BV332" s="74"/>
      <c r="BW332" s="74"/>
      <c r="BX332" s="74"/>
      <c r="BY332" s="74"/>
      <c r="BZ332" s="74"/>
      <c r="CA332" s="7"/>
      <c r="CB332" s="74"/>
      <c r="CC332" s="74"/>
      <c r="CD332" s="74"/>
      <c r="CE332" s="7"/>
      <c r="CF332" s="74"/>
      <c r="CG332" s="74"/>
      <c r="CH332" s="7"/>
      <c r="CI332" s="74"/>
      <c r="CJ332" s="74"/>
      <c r="CK332" s="101"/>
      <c r="CL332" s="74"/>
      <c r="CM332" s="74"/>
      <c r="CN332" s="74"/>
      <c r="CO332" s="101"/>
      <c r="CP332" s="74"/>
      <c r="CQ332" s="74"/>
      <c r="CR332" s="74"/>
      <c r="CS332" s="74"/>
      <c r="CT332" s="74"/>
      <c r="CU332" s="74"/>
      <c r="CV332" s="74"/>
      <c r="CW332" s="74"/>
      <c r="CX332" s="7"/>
      <c r="CY332" s="7"/>
      <c r="CZ332" s="74"/>
      <c r="DA332" s="74"/>
      <c r="DB332" s="74"/>
      <c r="DC332" s="74"/>
      <c r="DD332" s="7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8">
        <f t="shared" si="75"/>
        <v>51.921097390305427</v>
      </c>
      <c r="EA332" s="3" t="str">
        <f t="shared" si="76"/>
        <v>Popkey, Aaron</v>
      </c>
      <c r="EB332" s="2">
        <f t="shared" si="77"/>
        <v>1</v>
      </c>
      <c r="EC332" s="112">
        <f t="shared" si="74"/>
        <v>0</v>
      </c>
      <c r="ED332" s="29">
        <f t="shared" si="78"/>
        <v>51.083330765747178</v>
      </c>
      <c r="EE332" s="2">
        <f t="shared" si="79"/>
        <v>0</v>
      </c>
      <c r="EF332" s="46">
        <f t="shared" si="80"/>
        <v>1</v>
      </c>
      <c r="EG332" s="46">
        <f t="shared" si="81"/>
        <v>1</v>
      </c>
      <c r="EH332" s="29" t="str">
        <f t="shared" si="82"/>
        <v>WI</v>
      </c>
      <c r="EI332" s="29">
        <f>IF(COUNT(I332:AD332)&lt;5,DZ332,SUMPRODUCT(LARGE(I332:AD332,{1,2,3,4,5}))/5)</f>
        <v>51.921097390305427</v>
      </c>
      <c r="EJ332" s="29">
        <f>IF(COUNT(I332:AX332)&lt;5,DZ332,SUMPRODUCT(LARGE(I332:AX332,{1,2,3,4,5}))/5)</f>
        <v>51.921097390305427</v>
      </c>
      <c r="EK332" s="112">
        <f>IF(COUNT(I332:DY332)&lt;5,AVERAGE(I332:DY332),SUMPRODUCT(LARGE(I332:DY332,{1,2,3,4,5}))/5)</f>
        <v>51.921097390305427</v>
      </c>
      <c r="EL332" s="29">
        <f t="shared" si="83"/>
        <v>51.083330765747178</v>
      </c>
      <c r="EM332" s="116" t="str">
        <f t="shared" si="84"/>
        <v>Popkey, Aaron</v>
      </c>
      <c r="EQ332"/>
    </row>
    <row r="333" spans="1:147" x14ac:dyDescent="0.25">
      <c r="A333" s="59">
        <f t="shared" si="85"/>
        <v>330</v>
      </c>
      <c r="B333" s="32" t="s">
        <v>936</v>
      </c>
      <c r="C333" s="5" t="s">
        <v>6</v>
      </c>
      <c r="D333" s="6" t="s">
        <v>88</v>
      </c>
      <c r="E333" s="6">
        <v>79.76105334129258</v>
      </c>
      <c r="F333" s="6">
        <v>79.76105334129258</v>
      </c>
      <c r="G333" s="5">
        <f t="shared" si="73"/>
        <v>6</v>
      </c>
      <c r="H333" s="37">
        <v>79.01318682809638</v>
      </c>
      <c r="I333" s="36"/>
      <c r="J333" s="7"/>
      <c r="K333" s="7"/>
      <c r="L333" s="7"/>
      <c r="M333" s="7"/>
      <c r="N333" s="7"/>
      <c r="O333" s="7"/>
      <c r="P333" s="7"/>
      <c r="Q333" s="7">
        <f>(INDEX('Race 9'!$E$8:$E$200,(MATCH($B333,'Race 9'!$B$8:$B$200,0)),1))*100</f>
        <v>80.085286047747289</v>
      </c>
      <c r="R333" s="7"/>
      <c r="S333" s="7">
        <f>(INDEX('Race 11'!$E$8:$E$200,(MATCH($B333,'Race 11'!$B$8:$B$200,0)),1))*100</f>
        <v>78.070273007242633</v>
      </c>
      <c r="T333" s="7">
        <f>(INDEX('Race 12'!$E$8:$E$200,(MATCH($B333,'Race 12'!$B$8:$B$200,0)),1))*100</f>
        <v>78.69079572504846</v>
      </c>
      <c r="U333" s="7"/>
      <c r="V333" s="7">
        <f>(INDEX('Race 14'!$E$8:$E$200,(MATCH($B333,'Race 14'!$B$8:$B$200,0)),1))*100</f>
        <v>82.197858585131954</v>
      </c>
      <c r="W333" s="7"/>
      <c r="X333" s="7"/>
      <c r="Y333" s="227"/>
      <c r="Z333" s="228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4"/>
      <c r="AP333" s="7"/>
      <c r="AQ333" s="74"/>
      <c r="AR333" s="70"/>
      <c r="AS333" s="7"/>
      <c r="AT333" s="7"/>
      <c r="AU333" s="7"/>
      <c r="AV333" s="7"/>
      <c r="AW333" s="7"/>
      <c r="AX333" s="8"/>
      <c r="AY333" s="36"/>
      <c r="AZ333" s="7"/>
      <c r="BA333" s="7">
        <f>(INDEX('Race 45'!$E$8:$E$200,(MATCH($B333,'Race 45'!$B$8:$B$200,0)),1))*100</f>
        <v>82.389128305460105</v>
      </c>
      <c r="BB333" s="7"/>
      <c r="BC333" s="7"/>
      <c r="BD333" s="7">
        <f>(INDEX('Race 48'!$E$8:$E$200,(MATCH($B333,'Race 48'!$B$8:$B$200,0)),1))*100</f>
        <v>80.884471041183687</v>
      </c>
      <c r="BE333" s="7"/>
      <c r="BF333" s="7"/>
      <c r="BG333" s="7"/>
      <c r="BH333" s="7"/>
      <c r="BI333" s="7"/>
      <c r="BJ333" s="7"/>
      <c r="BK333" s="7"/>
      <c r="BL333" s="7"/>
      <c r="BM333" s="7"/>
      <c r="BN333" s="74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101"/>
      <c r="CL333" s="74"/>
      <c r="CM333" s="74"/>
      <c r="CN333" s="74"/>
      <c r="CO333" s="70"/>
      <c r="CP333" s="74"/>
      <c r="CQ333" s="7"/>
      <c r="CR333" s="74"/>
      <c r="CS333" s="74"/>
      <c r="CT333" s="74"/>
      <c r="CU333" s="74"/>
      <c r="CV333" s="7"/>
      <c r="CW333" s="7"/>
      <c r="CX333" s="7"/>
      <c r="CY333" s="7"/>
      <c r="CZ333" s="7"/>
      <c r="DA333" s="7"/>
      <c r="DB333" s="74"/>
      <c r="DC333" s="7"/>
      <c r="DD333" s="7"/>
      <c r="DE333" s="74"/>
      <c r="DF333" s="74"/>
      <c r="DG333" s="74"/>
      <c r="DH333" s="74"/>
      <c r="DI333" s="74"/>
      <c r="DJ333" s="7"/>
      <c r="DK333" s="7"/>
      <c r="DL333" s="7"/>
      <c r="DM333" s="74"/>
      <c r="DN333" s="7"/>
      <c r="DO333" s="74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8">
        <f t="shared" si="75"/>
        <v>80.386302118635683</v>
      </c>
      <c r="EA333" s="3" t="str">
        <f t="shared" si="76"/>
        <v>Premoze, Simon</v>
      </c>
      <c r="EB333" s="2">
        <f t="shared" si="77"/>
        <v>1</v>
      </c>
      <c r="EC333" s="112">
        <f t="shared" si="74"/>
        <v>79.01318682809638</v>
      </c>
      <c r="ED333" s="29">
        <f t="shared" si="78"/>
        <v>79.544970425929066</v>
      </c>
      <c r="EE333" s="2">
        <f t="shared" si="79"/>
        <v>4</v>
      </c>
      <c r="EF333" s="46">
        <f t="shared" si="80"/>
        <v>6</v>
      </c>
      <c r="EG333" s="46">
        <f t="shared" si="81"/>
        <v>6</v>
      </c>
      <c r="EH333" s="29" t="str">
        <f t="shared" si="82"/>
        <v>WI</v>
      </c>
      <c r="EI333" s="29">
        <f>IF(COUNT(I333:Y333)&lt;5,DZ333,SUMPRODUCT(LARGE(I333:Y333,{1,2,3,4,5}))/5)</f>
        <v>80.386302118635683</v>
      </c>
      <c r="EJ333" s="29">
        <f>IF(COUNT(I333:AX333)&lt;5,DZ333,SUMPRODUCT(LARGE(I333:AX333,{1,2,3,4,5}))/5)</f>
        <v>80.386302118635683</v>
      </c>
      <c r="EK333" s="29">
        <f>IF(COUNT(I333:DY333)&lt;5,AVERAGE(I333:DY333),SUMPRODUCT(LARGE(I333:DY333,{1,2,3,4,5}))/5)</f>
        <v>80.849507940914307</v>
      </c>
      <c r="EL333" s="29">
        <f t="shared" si="83"/>
        <v>79.544970425929066</v>
      </c>
      <c r="EM333" s="116" t="str">
        <f t="shared" si="84"/>
        <v>Premoze, Simon</v>
      </c>
      <c r="EQ333"/>
    </row>
    <row r="334" spans="1:147" x14ac:dyDescent="0.25">
      <c r="A334" s="59">
        <f t="shared" si="85"/>
        <v>331</v>
      </c>
      <c r="B334" s="32" t="s">
        <v>1078</v>
      </c>
      <c r="C334" s="5" t="s">
        <v>6</v>
      </c>
      <c r="D334" s="6" t="s">
        <v>69</v>
      </c>
      <c r="E334" s="6">
        <v>0</v>
      </c>
      <c r="F334" s="6">
        <v>51.168424552719763</v>
      </c>
      <c r="G334" s="5">
        <f t="shared" si="73"/>
        <v>1</v>
      </c>
      <c r="H334" s="37">
        <v>0</v>
      </c>
      <c r="I334" s="36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227"/>
      <c r="Z334" s="228"/>
      <c r="AA334" s="7"/>
      <c r="AB334" s="7"/>
      <c r="AC334" s="7"/>
      <c r="AD334" s="7"/>
      <c r="AE334" s="74"/>
      <c r="AF334" s="7"/>
      <c r="AG334" s="7"/>
      <c r="AH334" s="7"/>
      <c r="AI334" s="7"/>
      <c r="AJ334" s="7"/>
      <c r="AK334" s="7"/>
      <c r="AL334" s="7"/>
      <c r="AM334" s="74">
        <f>(INDEX('Race 31'!$E$8:$E$200,(MATCH($B334,'Race 31'!$B$8:$B$200,0)),1))*100</f>
        <v>51.168424552719763</v>
      </c>
      <c r="AN334" s="74"/>
      <c r="AO334" s="74"/>
      <c r="AP334" s="7"/>
      <c r="AQ334" s="74"/>
      <c r="AR334" s="70"/>
      <c r="AS334" s="7"/>
      <c r="AT334" s="70"/>
      <c r="AU334" s="7"/>
      <c r="AV334" s="70"/>
      <c r="AW334" s="7"/>
      <c r="AX334" s="8"/>
      <c r="AY334" s="36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101"/>
      <c r="CL334" s="74"/>
      <c r="CM334" s="74"/>
      <c r="CN334" s="74"/>
      <c r="CO334" s="70"/>
      <c r="CP334" s="74"/>
      <c r="CQ334" s="7"/>
      <c r="CR334" s="74"/>
      <c r="CS334" s="74"/>
      <c r="CT334" s="74"/>
      <c r="CU334" s="74"/>
      <c r="CV334" s="7"/>
      <c r="CW334" s="7"/>
      <c r="CX334" s="7"/>
      <c r="CY334" s="7"/>
      <c r="CZ334" s="7"/>
      <c r="DA334" s="7"/>
      <c r="DB334" s="7"/>
      <c r="DC334" s="7"/>
      <c r="DD334" s="7"/>
      <c r="DE334" s="74"/>
      <c r="DF334" s="74"/>
      <c r="DG334" s="74"/>
      <c r="DH334" s="7"/>
      <c r="DI334" s="74"/>
      <c r="DJ334" s="74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8">
        <f t="shared" si="75"/>
        <v>51.168424552719763</v>
      </c>
      <c r="EA334" s="3" t="str">
        <f t="shared" si="76"/>
        <v>PULEO, Vincent</v>
      </c>
      <c r="EB334" s="2">
        <f t="shared" si="77"/>
        <v>1</v>
      </c>
      <c r="EC334" s="112">
        <f t="shared" si="74"/>
        <v>0</v>
      </c>
      <c r="ED334" s="29">
        <f t="shared" si="78"/>
        <v>50.342802590239828</v>
      </c>
      <c r="EE334" s="2">
        <f t="shared" si="79"/>
        <v>0</v>
      </c>
      <c r="EF334" s="46">
        <f t="shared" si="80"/>
        <v>1</v>
      </c>
      <c r="EG334" s="46">
        <f t="shared" si="81"/>
        <v>1</v>
      </c>
      <c r="EH334" s="2" t="str">
        <f t="shared" si="82"/>
        <v>WA</v>
      </c>
      <c r="EI334" s="29">
        <f>IF(COUNT(I334:AD334)&lt;5,DZ334,SUMPRODUCT(LARGE(I334:AD334,{1,2,3,4,5}))/5)</f>
        <v>51.168424552719763</v>
      </c>
      <c r="EJ334" s="29">
        <f>IF(COUNT(I334:AX334)&lt;5,DZ334,SUMPRODUCT(LARGE(I334:AX334,{1,2,3,4,5}))/5)</f>
        <v>51.168424552719763</v>
      </c>
      <c r="EK334" s="29">
        <f>IF(COUNT(I334:DY334)&lt;5,AVERAGE(I334:DY334),SUMPRODUCT(LARGE(I334:DY334,{1,2,3,4,5}))/5)</f>
        <v>51.168424552719763</v>
      </c>
      <c r="EL334" s="29">
        <f t="shared" si="83"/>
        <v>50.342802590239828</v>
      </c>
      <c r="EM334" s="116" t="str">
        <f t="shared" si="84"/>
        <v>PULEO, Vincent</v>
      </c>
      <c r="EQ334"/>
    </row>
    <row r="335" spans="1:147" x14ac:dyDescent="0.25">
      <c r="A335" s="59">
        <f t="shared" si="85"/>
        <v>332</v>
      </c>
      <c r="B335" s="32" t="s">
        <v>119</v>
      </c>
      <c r="C335" s="5" t="s">
        <v>6</v>
      </c>
      <c r="D335" s="6" t="s">
        <v>122</v>
      </c>
      <c r="E335" s="6">
        <v>52.034414050964813</v>
      </c>
      <c r="F335" s="6">
        <v>53.183668553886193</v>
      </c>
      <c r="G335" s="5">
        <f t="shared" si="73"/>
        <v>2</v>
      </c>
      <c r="H335" s="37">
        <v>52.034414050964813</v>
      </c>
      <c r="I335" s="107"/>
      <c r="J335" s="7"/>
      <c r="K335" s="74"/>
      <c r="L335" s="7"/>
      <c r="M335" s="74"/>
      <c r="N335" s="74"/>
      <c r="O335" s="7"/>
      <c r="P335" s="74"/>
      <c r="Q335" s="74"/>
      <c r="R335" s="74"/>
      <c r="S335" s="74"/>
      <c r="T335" s="7"/>
      <c r="U335" s="7"/>
      <c r="V335" s="74"/>
      <c r="W335" s="7"/>
      <c r="X335" s="74"/>
      <c r="Y335" s="227"/>
      <c r="Z335" s="228"/>
      <c r="AA335" s="74"/>
      <c r="AB335" s="74"/>
      <c r="AC335" s="74"/>
      <c r="AD335" s="74"/>
      <c r="AE335" s="7"/>
      <c r="AF335" s="74"/>
      <c r="AG335" s="74"/>
      <c r="AH335" s="7"/>
      <c r="AI335" s="7"/>
      <c r="AJ335" s="7"/>
      <c r="AK335" s="7"/>
      <c r="AL335" s="7"/>
      <c r="AM335" s="7"/>
      <c r="AN335" s="7"/>
      <c r="AO335" s="74"/>
      <c r="AP335" s="7"/>
      <c r="AQ335" s="74"/>
      <c r="AR335" s="101"/>
      <c r="AS335" s="7"/>
      <c r="AT335" s="101"/>
      <c r="AU335" s="7"/>
      <c r="AV335" s="101"/>
      <c r="AW335" s="7">
        <f>(INDEX('Race 41'!$E$8:$E$200,(MATCH($B335,'Race 41'!$B$8:$B$200,0)),1))*100</f>
        <v>48.243637550965715</v>
      </c>
      <c r="AX335" s="8">
        <f>(INDEX('Race 42'!$E$8:$E$200,(MATCH($B335,'Race 42'!$B$8:$B$200,0)),1))*100</f>
        <v>58.12369955680667</v>
      </c>
      <c r="AY335" s="36"/>
      <c r="AZ335" s="74"/>
      <c r="BA335" s="74"/>
      <c r="BB335" s="74"/>
      <c r="BC335" s="74"/>
      <c r="BD335" s="7"/>
      <c r="BE335" s="7"/>
      <c r="BF335" s="74"/>
      <c r="BG335" s="74"/>
      <c r="BH335" s="74"/>
      <c r="BI335" s="74"/>
      <c r="BJ335" s="74"/>
      <c r="BK335" s="7"/>
      <c r="BL335" s="74"/>
      <c r="BM335" s="7"/>
      <c r="BN335" s="74"/>
      <c r="BO335" s="74"/>
      <c r="BP335" s="7"/>
      <c r="BQ335" s="7"/>
      <c r="BR335" s="7"/>
      <c r="BS335" s="7"/>
      <c r="BT335" s="7"/>
      <c r="BU335" s="74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101"/>
      <c r="CL335" s="74"/>
      <c r="CM335" s="74"/>
      <c r="CN335" s="74"/>
      <c r="CO335" s="70"/>
      <c r="CP335" s="74"/>
      <c r="CQ335" s="7"/>
      <c r="CR335" s="74"/>
      <c r="CS335" s="74"/>
      <c r="CT335" s="74"/>
      <c r="CU335" s="74"/>
      <c r="CV335" s="74"/>
      <c r="CW335" s="7"/>
      <c r="CX335" s="7"/>
      <c r="CY335" s="7"/>
      <c r="CZ335" s="7"/>
      <c r="DA335" s="7"/>
      <c r="DB335" s="7"/>
      <c r="DC335" s="7"/>
      <c r="DD335" s="7"/>
      <c r="DE335" s="74"/>
      <c r="DF335" s="74"/>
      <c r="DG335" s="74"/>
      <c r="DH335" s="74"/>
      <c r="DI335" s="74"/>
      <c r="DJ335" s="7"/>
      <c r="DK335" s="74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8">
        <f t="shared" si="75"/>
        <v>53.183668553886193</v>
      </c>
      <c r="EA335" s="3" t="str">
        <f t="shared" si="76"/>
        <v>Pulst, Brandon</v>
      </c>
      <c r="EB335" s="2">
        <f t="shared" si="77"/>
        <v>1</v>
      </c>
      <c r="EC335" s="112">
        <f t="shared" si="74"/>
        <v>52.034414050964813</v>
      </c>
      <c r="ED335" s="29">
        <f t="shared" si="78"/>
        <v>52.325529864114706</v>
      </c>
      <c r="EE335" s="2">
        <f t="shared" si="79"/>
        <v>0</v>
      </c>
      <c r="EF335" s="46">
        <f t="shared" si="80"/>
        <v>2</v>
      </c>
      <c r="EG335" s="46">
        <f t="shared" si="81"/>
        <v>2</v>
      </c>
      <c r="EH335" s="29" t="str">
        <f t="shared" si="82"/>
        <v>ND</v>
      </c>
      <c r="EI335" s="29">
        <f>IF(COUNT(I335:Y335)&lt;5,DZ335,SUMPRODUCT(LARGE(I335:Y335,{1,2,3,4,5}))/5)</f>
        <v>53.183668553886193</v>
      </c>
      <c r="EJ335" s="29">
        <f>IF(COUNT(I335:AX335)&lt;5,DZ335,SUMPRODUCT(LARGE(I335:AX335,{1,2,3,4,5}))/5)</f>
        <v>53.183668553886193</v>
      </c>
      <c r="EK335" s="112">
        <f>IF(COUNT(I335:DY335)&lt;5,AVERAGE(I335:DY335),SUMPRODUCT(LARGE(I335:DY335,{1,2,3,4,5}))/5)</f>
        <v>53.183668553886193</v>
      </c>
      <c r="EL335" s="29">
        <f t="shared" si="83"/>
        <v>52.325529864114706</v>
      </c>
      <c r="EM335" s="116" t="str">
        <f t="shared" si="84"/>
        <v>Pulst, Brandon</v>
      </c>
      <c r="EQ335"/>
    </row>
    <row r="336" spans="1:147" x14ac:dyDescent="0.25">
      <c r="A336" s="59">
        <f t="shared" si="85"/>
        <v>333</v>
      </c>
      <c r="B336" s="32" t="s">
        <v>1344</v>
      </c>
      <c r="C336" s="106" t="s">
        <v>6</v>
      </c>
      <c r="D336" s="5" t="s">
        <v>87</v>
      </c>
      <c r="E336" s="6">
        <v>0</v>
      </c>
      <c r="F336" s="6">
        <v>0</v>
      </c>
      <c r="G336" s="5">
        <f t="shared" si="73"/>
        <v>1</v>
      </c>
      <c r="H336" s="37">
        <v>0</v>
      </c>
      <c r="I336" s="107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229"/>
      <c r="Z336" s="230"/>
      <c r="AA336" s="74"/>
      <c r="AB336" s="74"/>
      <c r="AC336" s="74"/>
      <c r="AD336" s="74"/>
      <c r="AE336" s="74"/>
      <c r="AF336" s="74"/>
      <c r="AG336" s="74"/>
      <c r="AH336" s="74"/>
      <c r="AI336" s="74"/>
      <c r="AJ336" s="74"/>
      <c r="AK336" s="74"/>
      <c r="AL336" s="74"/>
      <c r="AM336" s="74"/>
      <c r="AN336" s="74"/>
      <c r="AO336" s="74"/>
      <c r="AP336" s="74"/>
      <c r="AQ336" s="74"/>
      <c r="AR336" s="101"/>
      <c r="AS336" s="74"/>
      <c r="AT336" s="101"/>
      <c r="AU336" s="74"/>
      <c r="AV336" s="101"/>
      <c r="AW336" s="74"/>
      <c r="AX336" s="8"/>
      <c r="AY336" s="36"/>
      <c r="AZ336" s="74"/>
      <c r="BA336" s="74"/>
      <c r="BB336" s="74"/>
      <c r="BC336" s="74"/>
      <c r="BD336" s="7"/>
      <c r="BE336" s="7"/>
      <c r="BF336" s="74"/>
      <c r="BG336" s="74"/>
      <c r="BH336" s="74"/>
      <c r="BI336" s="74"/>
      <c r="BJ336" s="74"/>
      <c r="BK336" s="74"/>
      <c r="BL336" s="74"/>
      <c r="BM336" s="74"/>
      <c r="BN336" s="74"/>
      <c r="BO336" s="74"/>
      <c r="BP336" s="7"/>
      <c r="BQ336" s="7"/>
      <c r="BR336" s="74"/>
      <c r="BS336" s="7"/>
      <c r="BT336" s="7"/>
      <c r="BU336" s="74"/>
      <c r="BV336" s="74"/>
      <c r="BW336" s="74"/>
      <c r="BX336" s="74"/>
      <c r="BY336" s="74"/>
      <c r="BZ336" s="74"/>
      <c r="CA336" s="7"/>
      <c r="CB336" s="74"/>
      <c r="CC336" s="74"/>
      <c r="CD336" s="74"/>
      <c r="CE336" s="74"/>
      <c r="CF336" s="74"/>
      <c r="CG336" s="74"/>
      <c r="CH336" s="74"/>
      <c r="CI336" s="74"/>
      <c r="CJ336" s="74"/>
      <c r="CK336" s="101"/>
      <c r="CL336" s="74"/>
      <c r="CM336" s="74"/>
      <c r="CN336" s="74"/>
      <c r="CO336" s="101"/>
      <c r="CP336" s="74"/>
      <c r="CQ336" s="74"/>
      <c r="CR336" s="74">
        <f>(INDEX('Race 88'!$E$8:$E$200,(MATCH($B336,'Race 88'!$B$8:$B$200,0)),1))*100</f>
        <v>54.99227869532227</v>
      </c>
      <c r="CS336" s="74"/>
      <c r="CT336" s="74"/>
      <c r="CU336" s="74"/>
      <c r="CV336" s="74"/>
      <c r="CW336" s="74"/>
      <c r="CX336" s="7"/>
      <c r="CY336" s="7"/>
      <c r="CZ336" s="74"/>
      <c r="DA336" s="74"/>
      <c r="DB336" s="74"/>
      <c r="DC336" s="74"/>
      <c r="DD336" s="74"/>
      <c r="DE336" s="74"/>
      <c r="DF336" s="74"/>
      <c r="DG336" s="74"/>
      <c r="DH336" s="74"/>
      <c r="DI336" s="74"/>
      <c r="DJ336" s="74"/>
      <c r="DK336" s="74"/>
      <c r="DL336" s="74"/>
      <c r="DM336" s="74"/>
      <c r="DN336" s="74"/>
      <c r="DO336" s="74"/>
      <c r="DP336" s="74"/>
      <c r="DQ336" s="74"/>
      <c r="DR336" s="74"/>
      <c r="DS336" s="74"/>
      <c r="DT336" s="74"/>
      <c r="DU336" s="74"/>
      <c r="DV336" s="74"/>
      <c r="DW336" s="74"/>
      <c r="DX336" s="74"/>
      <c r="DY336" s="74"/>
      <c r="DZ336" s="183">
        <f t="shared" si="75"/>
        <v>54.99227869532227</v>
      </c>
      <c r="EA336" s="213" t="str">
        <f t="shared" si="76"/>
        <v>Quinlan, Pat</v>
      </c>
      <c r="EB336" s="214">
        <f t="shared" si="77"/>
        <v>1</v>
      </c>
      <c r="EC336" s="215">
        <f t="shared" si="74"/>
        <v>0</v>
      </c>
      <c r="ED336" s="215">
        <f t="shared" si="78"/>
        <v>54.104957394059689</v>
      </c>
      <c r="EE336" s="214">
        <f t="shared" si="79"/>
        <v>0</v>
      </c>
      <c r="EF336" s="216">
        <f t="shared" si="80"/>
        <v>0</v>
      </c>
      <c r="EG336" s="216">
        <f t="shared" si="81"/>
        <v>1</v>
      </c>
      <c r="EH336" s="215" t="str">
        <f t="shared" si="82"/>
        <v>CA</v>
      </c>
      <c r="EI336" s="215">
        <f>IF(COUNT(I336:AD336)&lt;5,DZ336,SUMPRODUCT(LARGE(I336:AD336,{1,2,3,4,5}))/5)</f>
        <v>54.99227869532227</v>
      </c>
      <c r="EJ336" s="215">
        <f>IF(COUNT(I336:BQ336)&lt;5,DZ336,SUMPRODUCT(LARGE(I336:BQ336,{1,2,3,4,5}))/5)</f>
        <v>54.99227869532227</v>
      </c>
      <c r="EK336" s="112">
        <f>IF(COUNT(I336:DY336)&lt;5,AVERAGE(I336:DY336),SUMPRODUCT(LARGE(I336:DY336,{1,2,3,4,5}))/5)</f>
        <v>54.99227869532227</v>
      </c>
      <c r="EL336" s="215">
        <f t="shared" si="83"/>
        <v>54.104957394059689</v>
      </c>
      <c r="EM336" s="217" t="str">
        <f t="shared" si="84"/>
        <v>Quinlan, Pat</v>
      </c>
      <c r="EQ336"/>
    </row>
    <row r="337" spans="1:147" x14ac:dyDescent="0.25">
      <c r="A337" s="59">
        <f t="shared" si="85"/>
        <v>334</v>
      </c>
      <c r="B337" s="32" t="s">
        <v>90</v>
      </c>
      <c r="C337" s="5" t="s">
        <v>6</v>
      </c>
      <c r="D337" s="6" t="s">
        <v>62</v>
      </c>
      <c r="E337" s="6">
        <v>63.907800818021407</v>
      </c>
      <c r="F337" s="6">
        <v>64.679230598182357</v>
      </c>
      <c r="G337" s="5">
        <f t="shared" si="73"/>
        <v>5</v>
      </c>
      <c r="H337" s="99">
        <v>63.907800818021407</v>
      </c>
      <c r="I337" s="36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227"/>
      <c r="Z337" s="228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4"/>
      <c r="AM337" s="7"/>
      <c r="AN337" s="7"/>
      <c r="AO337" s="7"/>
      <c r="AP337" s="7"/>
      <c r="AQ337" s="74"/>
      <c r="AR337" s="7"/>
      <c r="AS337" s="7"/>
      <c r="AT337" s="70"/>
      <c r="AU337" s="7"/>
      <c r="AV337" s="70"/>
      <c r="AW337" s="7"/>
      <c r="AX337" s="8"/>
      <c r="AY337" s="36"/>
      <c r="AZ337" s="7"/>
      <c r="BA337" s="7"/>
      <c r="BB337" s="7"/>
      <c r="BC337" s="74"/>
      <c r="BD337" s="7"/>
      <c r="BE337" s="7"/>
      <c r="BF337" s="7"/>
      <c r="BG337" s="7"/>
      <c r="BH337" s="7"/>
      <c r="BI337" s="7"/>
      <c r="BJ337" s="74"/>
      <c r="BK337" s="14"/>
      <c r="BL337" s="74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101"/>
      <c r="CL337" s="74"/>
      <c r="CM337" s="74"/>
      <c r="CN337" s="74"/>
      <c r="CO337" s="70">
        <f>(INDEX('Race 85'!$E$8:$E$200,(MATCH($B337,'Race 85'!$B$8:$B$200,0)),1))*100</f>
        <v>57.145151842264305</v>
      </c>
      <c r="CP337" s="74"/>
      <c r="CQ337" s="7">
        <f>(INDEX('Race 87'!$E$8:$E$200,(MATCH($B337,'Race 87'!$B$8:$B$200,0)),1))*100</f>
        <v>60.379165861017391</v>
      </c>
      <c r="CR337" s="74"/>
      <c r="CS337" s="74"/>
      <c r="CT337" s="74"/>
      <c r="CU337" s="74"/>
      <c r="CV337" s="74">
        <f>(INDEX('Race 92'!$E$8:$E$200,(MATCH($B337,'Race 92'!$B$8:$B$200,0)),1))*100</f>
        <v>56.343059591087027</v>
      </c>
      <c r="CW337" s="7"/>
      <c r="CX337" s="7">
        <f>(INDEX('Race 94'!$E$8:$E$200,(MATCH($B337,'Race 94'!$B$8:$B$200,0)),1))*100</f>
        <v>67.903257486516182</v>
      </c>
      <c r="CY337" s="7">
        <f>(INDEX('Race 95'!$E$8:$E$200,(MATCH($B337,'Race 95'!$B$8:$B$200,0)),1))*100</f>
        <v>65.823863633864306</v>
      </c>
      <c r="CZ337" s="74"/>
      <c r="DA337" s="7"/>
      <c r="DB337" s="7"/>
      <c r="DC337" s="7"/>
      <c r="DD337" s="7"/>
      <c r="DE337" s="74"/>
      <c r="DF337" s="74"/>
      <c r="DG337" s="74"/>
      <c r="DH337" s="74"/>
      <c r="DI337" s="74"/>
      <c r="DJ337" s="74"/>
      <c r="DK337" s="7"/>
      <c r="DL337" s="74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8">
        <f t="shared" si="75"/>
        <v>61.518899682949836</v>
      </c>
      <c r="EA337" s="3" t="str">
        <f t="shared" si="76"/>
        <v>Quinlan, William</v>
      </c>
      <c r="EB337" s="2">
        <f t="shared" si="77"/>
        <v>1</v>
      </c>
      <c r="EC337" s="112">
        <f t="shared" si="74"/>
        <v>63.907800818021407</v>
      </c>
      <c r="ED337" s="29">
        <f t="shared" si="78"/>
        <v>60.526268873425671</v>
      </c>
      <c r="EE337" s="2">
        <f t="shared" si="79"/>
        <v>0</v>
      </c>
      <c r="EF337" s="46">
        <f t="shared" si="80"/>
        <v>0</v>
      </c>
      <c r="EG337" s="46">
        <f t="shared" si="81"/>
        <v>5</v>
      </c>
      <c r="EH337" s="2" t="str">
        <f t="shared" si="82"/>
        <v>CO</v>
      </c>
      <c r="EI337" s="29">
        <f>IF(COUNT(I337:Y337)&lt;5,DZ337,SUMPRODUCT(LARGE(I337:Y337,{1,2,3,4,5}))/5)</f>
        <v>61.518899682949836</v>
      </c>
      <c r="EJ337" s="29">
        <f>IF(COUNT(I337:AX337)&lt;5,DZ337,SUMPRODUCT(LARGE(I337:AX337,{1,2,3,4,5}))/5)</f>
        <v>61.518899682949836</v>
      </c>
      <c r="EK337" s="29">
        <f>IF(COUNT(I337:DY337)&lt;5,AVERAGE(I337:DY337),SUMPRODUCT(LARGE(I337:DY337,{1,2,3,4,5}))/5)</f>
        <v>61.518899682949851</v>
      </c>
      <c r="EL337" s="29">
        <f t="shared" si="83"/>
        <v>60.526268873425671</v>
      </c>
      <c r="EM337" s="116" t="str">
        <f t="shared" si="84"/>
        <v>Quinlan, William</v>
      </c>
      <c r="EQ337"/>
    </row>
    <row r="338" spans="1:147" x14ac:dyDescent="0.25">
      <c r="A338" s="59">
        <f t="shared" si="85"/>
        <v>335</v>
      </c>
      <c r="B338" s="32" t="s">
        <v>1063</v>
      </c>
      <c r="C338" s="5" t="s">
        <v>6</v>
      </c>
      <c r="D338" s="6" t="s">
        <v>62</v>
      </c>
      <c r="E338" s="6">
        <v>0</v>
      </c>
      <c r="F338" s="6">
        <v>66.718029002082559</v>
      </c>
      <c r="G338" s="5">
        <f t="shared" si="73"/>
        <v>1</v>
      </c>
      <c r="H338" s="37">
        <v>0</v>
      </c>
      <c r="I338" s="36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227"/>
      <c r="Z338" s="228"/>
      <c r="AA338" s="7"/>
      <c r="AB338" s="7"/>
      <c r="AC338" s="7"/>
      <c r="AD338" s="7"/>
      <c r="AE338" s="7"/>
      <c r="AF338" s="7"/>
      <c r="AG338" s="74">
        <f>(INDEX('Race 25'!$E$8:$E$200,(MATCH($B338,'Race 25'!$B$8:$B$200,0)),1))*100</f>
        <v>66.718029002082559</v>
      </c>
      <c r="AH338" s="7"/>
      <c r="AI338" s="7"/>
      <c r="AJ338" s="7"/>
      <c r="AK338" s="7"/>
      <c r="AL338" s="7"/>
      <c r="AM338" s="7"/>
      <c r="AN338" s="7"/>
      <c r="AO338" s="74"/>
      <c r="AP338" s="7"/>
      <c r="AQ338" s="74"/>
      <c r="AR338" s="70"/>
      <c r="AS338" s="7"/>
      <c r="AT338" s="70"/>
      <c r="AU338" s="7"/>
      <c r="AV338" s="70"/>
      <c r="AW338" s="7"/>
      <c r="AX338" s="8"/>
      <c r="AY338" s="36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14"/>
      <c r="BL338" s="7"/>
      <c r="BM338" s="7"/>
      <c r="BN338" s="74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4"/>
      <c r="CF338" s="74"/>
      <c r="CG338" s="7"/>
      <c r="CH338" s="7"/>
      <c r="CI338" s="7"/>
      <c r="CJ338" s="7"/>
      <c r="CK338" s="101"/>
      <c r="CL338" s="74"/>
      <c r="CM338" s="74"/>
      <c r="CN338" s="74"/>
      <c r="CO338" s="70"/>
      <c r="CP338" s="74"/>
      <c r="CQ338" s="7"/>
      <c r="CR338" s="74"/>
      <c r="CS338" s="74"/>
      <c r="CT338" s="74"/>
      <c r="CU338" s="74"/>
      <c r="CV338" s="7"/>
      <c r="CW338" s="7"/>
      <c r="CX338" s="7"/>
      <c r="CY338" s="7"/>
      <c r="CZ338" s="7"/>
      <c r="DA338" s="7"/>
      <c r="DB338" s="7"/>
      <c r="DC338" s="7"/>
      <c r="DD338" s="7"/>
      <c r="DE338" s="74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8">
        <f t="shared" si="75"/>
        <v>66.718029002082559</v>
      </c>
      <c r="EA338" s="3" t="str">
        <f t="shared" si="76"/>
        <v>Quinter, Geoff</v>
      </c>
      <c r="EB338" s="2">
        <f t="shared" si="77"/>
        <v>1</v>
      </c>
      <c r="EC338" s="112">
        <f t="shared" si="74"/>
        <v>0</v>
      </c>
      <c r="ED338" s="29">
        <f t="shared" si="78"/>
        <v>65.641508266511764</v>
      </c>
      <c r="EE338" s="2">
        <f t="shared" si="79"/>
        <v>1</v>
      </c>
      <c r="EF338" s="46">
        <f t="shared" si="80"/>
        <v>1</v>
      </c>
      <c r="EG338" s="46">
        <f t="shared" si="81"/>
        <v>1</v>
      </c>
      <c r="EH338" s="2" t="str">
        <f t="shared" si="82"/>
        <v>CO</v>
      </c>
      <c r="EI338" s="29">
        <f>IF(COUNT(I338:AD338)&lt;5,DZ338,SUMPRODUCT(LARGE(I338:AD338,{1,2,3,4,5}))/5)</f>
        <v>66.718029002082559</v>
      </c>
      <c r="EJ338" s="29">
        <f>IF(COUNT(I338:AX338)&lt;5,DZ338,SUMPRODUCT(LARGE(I338:AX338,{1,2,3,4,5}))/5)</f>
        <v>66.718029002082559</v>
      </c>
      <c r="EK338" s="112">
        <f>IF(COUNT(I338:DY338)&lt;5,AVERAGE(I338:DY338),SUMPRODUCT(LARGE(I338:DY338,{1,2,3,4,5}))/5)</f>
        <v>66.718029002082559</v>
      </c>
      <c r="EL338" s="29">
        <f t="shared" si="83"/>
        <v>65.641508266511764</v>
      </c>
      <c r="EM338" s="116" t="str">
        <f t="shared" si="84"/>
        <v>Quinter, Geoff</v>
      </c>
      <c r="EQ338"/>
    </row>
    <row r="339" spans="1:147" x14ac:dyDescent="0.25">
      <c r="A339" s="59">
        <f t="shared" si="85"/>
        <v>336</v>
      </c>
      <c r="B339" s="32" t="s">
        <v>831</v>
      </c>
      <c r="C339" s="5" t="s">
        <v>6</v>
      </c>
      <c r="D339" s="6" t="s">
        <v>159</v>
      </c>
      <c r="E339" s="6">
        <v>17.831036228916076</v>
      </c>
      <c r="F339" s="6">
        <v>17.831036228916076</v>
      </c>
      <c r="G339" s="5">
        <f t="shared" si="73"/>
        <v>0</v>
      </c>
      <c r="H339" s="37">
        <v>17.831036228916076</v>
      </c>
      <c r="I339" s="36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227"/>
      <c r="Z339" s="228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4"/>
      <c r="AP339" s="7"/>
      <c r="AQ339" s="74"/>
      <c r="AR339" s="70"/>
      <c r="AS339" s="7"/>
      <c r="AT339" s="70"/>
      <c r="AU339" s="7"/>
      <c r="AV339" s="70"/>
      <c r="AW339" s="7"/>
      <c r="AX339" s="183"/>
      <c r="AY339" s="10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14"/>
      <c r="BL339" s="7"/>
      <c r="BM339" s="7"/>
      <c r="BN339" s="74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4"/>
      <c r="CF339" s="74"/>
      <c r="CG339" s="7"/>
      <c r="CH339" s="7"/>
      <c r="CI339" s="7"/>
      <c r="CJ339" s="7"/>
      <c r="CK339" s="101"/>
      <c r="CL339" s="74"/>
      <c r="CM339" s="74"/>
      <c r="CN339" s="74"/>
      <c r="CO339" s="70"/>
      <c r="CP339" s="74"/>
      <c r="CQ339" s="7"/>
      <c r="CR339" s="74"/>
      <c r="CS339" s="74"/>
      <c r="CT339" s="74"/>
      <c r="CU339" s="74"/>
      <c r="CV339" s="7"/>
      <c r="CW339" s="7"/>
      <c r="CX339" s="7"/>
      <c r="CY339" s="7"/>
      <c r="CZ339" s="7"/>
      <c r="DA339" s="7"/>
      <c r="DB339" s="7"/>
      <c r="DC339" s="7"/>
      <c r="DD339" s="7"/>
      <c r="DE339" s="74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8">
        <f t="shared" si="75"/>
        <v>17.831036228916076</v>
      </c>
      <c r="EA339" s="3" t="str">
        <f t="shared" si="76"/>
        <v>QUIROZ, ROBINSON</v>
      </c>
      <c r="EB339" s="2">
        <f t="shared" si="77"/>
        <v>0</v>
      </c>
      <c r="EC339" s="29">
        <v>0</v>
      </c>
      <c r="ED339" s="29">
        <f t="shared" si="78"/>
        <v>0</v>
      </c>
      <c r="EE339" s="2">
        <f t="shared" si="79"/>
        <v>0</v>
      </c>
      <c r="EF339" s="46">
        <f t="shared" si="80"/>
        <v>0</v>
      </c>
      <c r="EG339" s="46">
        <f t="shared" si="81"/>
        <v>0</v>
      </c>
      <c r="EH339" s="29" t="str">
        <f t="shared" si="82"/>
        <v>RI</v>
      </c>
      <c r="EI339" s="29">
        <f>IF(COUNT(I339:Y339)&lt;5,DZ339,SUMPRODUCT(LARGE(I339:Y339,{1,2,3,4,5}))/5)</f>
        <v>17.831036228916076</v>
      </c>
      <c r="EJ339" s="29">
        <f>IF(COUNT(I339:AX339)&lt;5,DZ339,SUMPRODUCT(LARGE(I339:AX339,{1,2,3,4,5}))/5)</f>
        <v>17.831036228916076</v>
      </c>
      <c r="EK339" s="112">
        <f>IF(EG339&lt;0,AVERAGE(I339:DY339),0)</f>
        <v>0</v>
      </c>
      <c r="EL339" s="29">
        <f t="shared" si="83"/>
        <v>0</v>
      </c>
      <c r="EM339" s="116" t="str">
        <f t="shared" si="84"/>
        <v>QUIROZ, ROBINSON</v>
      </c>
      <c r="EQ339"/>
    </row>
    <row r="340" spans="1:147" x14ac:dyDescent="0.25">
      <c r="A340" s="59">
        <f t="shared" si="85"/>
        <v>337</v>
      </c>
      <c r="B340" s="32" t="s">
        <v>760</v>
      </c>
      <c r="C340" s="5" t="s">
        <v>6</v>
      </c>
      <c r="D340" s="6" t="s">
        <v>62</v>
      </c>
      <c r="E340" s="6">
        <v>67.2926081091029</v>
      </c>
      <c r="F340" s="6">
        <v>69.297287718197794</v>
      </c>
      <c r="G340" s="5">
        <f t="shared" si="73"/>
        <v>4</v>
      </c>
      <c r="H340" s="37">
        <v>67.2926081091029</v>
      </c>
      <c r="I340" s="36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227"/>
      <c r="Z340" s="228"/>
      <c r="AA340" s="7"/>
      <c r="AB340" s="7"/>
      <c r="AC340" s="7"/>
      <c r="AD340" s="74">
        <f>(INDEX('Race 22'!$E$8:$E$200,(MATCH($B340,'Race 22'!$B$8:$B$200,0)),1))*100</f>
        <v>71.569944457018664</v>
      </c>
      <c r="AE340" s="7"/>
      <c r="AF340" s="7"/>
      <c r="AG340" s="7"/>
      <c r="AH340" s="7"/>
      <c r="AI340" s="7"/>
      <c r="AJ340" s="7"/>
      <c r="AK340" s="7"/>
      <c r="AL340" s="74">
        <f>(INDEX('Race 30'!$E$8:$E$200,(MATCH($B340,'Race 30'!$B$8:$B$200,0)),1))*100</f>
        <v>67.024630979376937</v>
      </c>
      <c r="AM340" s="7"/>
      <c r="AN340" s="7"/>
      <c r="AO340" s="7"/>
      <c r="AP340" s="7"/>
      <c r="AQ340" s="74"/>
      <c r="AR340" s="7"/>
      <c r="AS340" s="7"/>
      <c r="AT340" s="70"/>
      <c r="AU340" s="7"/>
      <c r="AV340" s="70"/>
      <c r="AW340" s="7"/>
      <c r="AX340" s="8"/>
      <c r="AY340" s="36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14"/>
      <c r="BL340" s="7"/>
      <c r="BM340" s="7"/>
      <c r="BN340" s="74"/>
      <c r="BO340" s="7"/>
      <c r="BP340" s="7"/>
      <c r="BQ340" s="7"/>
      <c r="BR340" s="7"/>
      <c r="BS340" s="7">
        <f>(INDEX('Race 63'!$E$8:$E$200,(MATCH($B340,'Race 63'!$B$8:$B$200,0)),1))*100</f>
        <v>75.902457586683639</v>
      </c>
      <c r="BT340" s="7">
        <f>(INDEX('Race 64'!$E$8:$E$200,(MATCH($B340,'Race 64'!$B$8:$B$200,0)),1))*100</f>
        <v>75.02155512390685</v>
      </c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4"/>
      <c r="CG340" s="7"/>
      <c r="CH340" s="7"/>
      <c r="CI340" s="7"/>
      <c r="CJ340" s="74"/>
      <c r="CK340" s="101"/>
      <c r="CL340" s="74"/>
      <c r="CM340" s="74"/>
      <c r="CN340" s="74"/>
      <c r="CO340" s="70"/>
      <c r="CP340" s="74"/>
      <c r="CQ340" s="7"/>
      <c r="CR340" s="74"/>
      <c r="CS340" s="74"/>
      <c r="CT340" s="74"/>
      <c r="CU340" s="74"/>
      <c r="CV340" s="7"/>
      <c r="CW340" s="7"/>
      <c r="CX340" s="7"/>
      <c r="CY340" s="7"/>
      <c r="CZ340" s="7"/>
      <c r="DA340" s="7"/>
      <c r="DB340" s="7"/>
      <c r="DC340" s="7"/>
      <c r="DD340" s="7"/>
      <c r="DE340" s="74"/>
      <c r="DF340" s="74"/>
      <c r="DG340" s="74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8">
        <f t="shared" si="75"/>
        <v>72.379647036746519</v>
      </c>
      <c r="EA340" s="3" t="str">
        <f t="shared" si="76"/>
        <v>Regnier, Philip</v>
      </c>
      <c r="EB340" s="2">
        <f t="shared" si="77"/>
        <v>1</v>
      </c>
      <c r="EC340" s="112">
        <f>H340</f>
        <v>67.2926081091029</v>
      </c>
      <c r="ED340" s="29">
        <f t="shared" si="78"/>
        <v>71.211773944063864</v>
      </c>
      <c r="EE340" s="2">
        <f t="shared" si="79"/>
        <v>1</v>
      </c>
      <c r="EF340" s="46">
        <f t="shared" si="80"/>
        <v>2</v>
      </c>
      <c r="EG340" s="46">
        <f t="shared" si="81"/>
        <v>4</v>
      </c>
      <c r="EH340" s="2" t="str">
        <f t="shared" si="82"/>
        <v>CO</v>
      </c>
      <c r="EI340" s="29">
        <f>IF(COUNT(I340:Y340)&lt;5,DZ340,SUMPRODUCT(LARGE(I340:Y340,{1,2,3,4,5}))/5)</f>
        <v>72.379647036746519</v>
      </c>
      <c r="EJ340" s="29">
        <f>IF(COUNT(I340:AX340)&lt;5,DZ340,SUMPRODUCT(LARGE(I340:AX340,{1,2,3,4,5}))/5)</f>
        <v>72.379647036746519</v>
      </c>
      <c r="EK340" s="29">
        <f>IF(COUNT(I340:DY340)&lt;5,AVERAGE(I340:DY340),SUMPRODUCT(LARGE(I340:DY340,{1,2,3,4,5}))/5)</f>
        <v>72.379647036746519</v>
      </c>
      <c r="EL340" s="29">
        <f t="shared" si="83"/>
        <v>71.211773944063864</v>
      </c>
      <c r="EM340" s="116" t="str">
        <f t="shared" si="84"/>
        <v>Regnier, Philip</v>
      </c>
      <c r="EQ340"/>
    </row>
    <row r="341" spans="1:147" x14ac:dyDescent="0.25">
      <c r="A341" s="59">
        <f t="shared" si="85"/>
        <v>338</v>
      </c>
      <c r="B341" s="32" t="s">
        <v>784</v>
      </c>
      <c r="C341" s="5" t="s">
        <v>6</v>
      </c>
      <c r="D341" s="6" t="s">
        <v>87</v>
      </c>
      <c r="E341" s="6">
        <v>48.676270052437225</v>
      </c>
      <c r="F341" s="6">
        <v>48.676270052437225</v>
      </c>
      <c r="G341" s="5">
        <f t="shared" si="73"/>
        <v>2</v>
      </c>
      <c r="H341" s="37">
        <v>48.676270052437225</v>
      </c>
      <c r="I341" s="36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227"/>
      <c r="Z341" s="228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4"/>
      <c r="AP341" s="7"/>
      <c r="AQ341" s="74"/>
      <c r="AR341" s="70"/>
      <c r="AS341" s="7"/>
      <c r="AT341" s="70"/>
      <c r="AU341" s="7"/>
      <c r="AV341" s="70"/>
      <c r="AW341" s="7"/>
      <c r="AX341" s="8"/>
      <c r="AY341" s="36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14"/>
      <c r="BL341" s="7"/>
      <c r="BM341" s="7"/>
      <c r="BN341" s="74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4"/>
      <c r="CD341" s="7"/>
      <c r="CE341" s="7"/>
      <c r="CF341" s="7"/>
      <c r="CG341" s="7"/>
      <c r="CH341" s="7"/>
      <c r="CI341" s="7"/>
      <c r="CJ341" s="7"/>
      <c r="CK341" s="101"/>
      <c r="CL341" s="74"/>
      <c r="CM341" s="74"/>
      <c r="CN341" s="74"/>
      <c r="CO341" s="70"/>
      <c r="CP341" s="74"/>
      <c r="CQ341" s="7"/>
      <c r="CR341" s="74"/>
      <c r="CS341" s="74"/>
      <c r="CT341" s="74">
        <f>(INDEX('Race 90'!$E$8:$E$200,(MATCH($B341,'Race 90'!$B$8:$B$200,0)),1))*100</f>
        <v>47.536710942311231</v>
      </c>
      <c r="CU341" s="74">
        <f>(INDEX('Race 91'!$E$8:$E$200,(MATCH($B341,'Race 91'!$B$8:$B$200,0)),1))*100</f>
        <v>44.702644532931799</v>
      </c>
      <c r="CV341" s="7"/>
      <c r="CW341" s="7"/>
      <c r="CX341" s="7"/>
      <c r="CY341" s="7"/>
      <c r="CZ341" s="7"/>
      <c r="DA341" s="7"/>
      <c r="DB341" s="7"/>
      <c r="DC341" s="7"/>
      <c r="DD341" s="7"/>
      <c r="DE341" s="74"/>
      <c r="DF341" s="74"/>
      <c r="DG341" s="74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8">
        <f t="shared" si="75"/>
        <v>46.119677737621515</v>
      </c>
      <c r="EA341" s="3" t="str">
        <f t="shared" si="76"/>
        <v>Reid, Thomas</v>
      </c>
      <c r="EB341" s="2">
        <f t="shared" si="77"/>
        <v>1</v>
      </c>
      <c r="EC341" s="112">
        <f>H341</f>
        <v>48.676270052437225</v>
      </c>
      <c r="ED341" s="29">
        <f t="shared" si="78"/>
        <v>45.375519222374571</v>
      </c>
      <c r="EE341" s="2">
        <f t="shared" si="79"/>
        <v>0</v>
      </c>
      <c r="EF341" s="46">
        <f t="shared" si="80"/>
        <v>0</v>
      </c>
      <c r="EG341" s="46">
        <f t="shared" si="81"/>
        <v>2</v>
      </c>
      <c r="EH341" s="2" t="str">
        <f t="shared" si="82"/>
        <v>CA</v>
      </c>
      <c r="EI341" s="29">
        <f>IF(COUNT(I341:Y341)&lt;5,DZ341,SUMPRODUCT(LARGE(I341:Y341,{1,2,3,4,5}))/5)</f>
        <v>46.119677737621515</v>
      </c>
      <c r="EJ341" s="29">
        <f>IF(COUNT(I341:AX341)&lt;5,DZ341,SUMPRODUCT(LARGE(I341:AX341,{1,2,3,4,5}))/5)</f>
        <v>46.119677737621515</v>
      </c>
      <c r="EK341" s="29">
        <f>IF(COUNT(I341:DY341)&lt;5,AVERAGE(I341:DY341),SUMPRODUCT(LARGE(I341:DY341,{1,2,3,4,5}))/5)</f>
        <v>46.119677737621515</v>
      </c>
      <c r="EL341" s="29">
        <f t="shared" si="83"/>
        <v>45.375519222374571</v>
      </c>
      <c r="EM341" s="116" t="str">
        <f t="shared" si="84"/>
        <v>Reid, Thomas</v>
      </c>
      <c r="EQ341"/>
    </row>
    <row r="342" spans="1:147" x14ac:dyDescent="0.25">
      <c r="A342" s="59">
        <f t="shared" si="85"/>
        <v>339</v>
      </c>
      <c r="B342" s="32" t="s">
        <v>1309</v>
      </c>
      <c r="C342" s="5" t="s">
        <v>6</v>
      </c>
      <c r="D342" s="6" t="s">
        <v>69</v>
      </c>
      <c r="E342" s="6">
        <v>0</v>
      </c>
      <c r="F342" s="6">
        <v>0</v>
      </c>
      <c r="G342" s="5">
        <f t="shared" si="73"/>
        <v>1</v>
      </c>
      <c r="H342" s="37">
        <v>0</v>
      </c>
      <c r="I342" s="36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227"/>
      <c r="Z342" s="228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4"/>
      <c r="AP342" s="7"/>
      <c r="AQ342" s="74"/>
      <c r="AR342" s="70"/>
      <c r="AS342" s="7"/>
      <c r="AT342" s="70"/>
      <c r="AU342" s="7"/>
      <c r="AV342" s="70"/>
      <c r="AW342" s="7"/>
      <c r="AX342" s="8"/>
      <c r="AY342" s="36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14"/>
      <c r="BL342" s="7"/>
      <c r="BM342" s="7"/>
      <c r="BN342" s="74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4"/>
      <c r="CG342" s="7"/>
      <c r="CH342" s="7"/>
      <c r="CI342" s="7"/>
      <c r="CJ342" s="7"/>
      <c r="CK342" s="101">
        <f>(INDEX('Race 81'!$E$8:$E$200,(MATCH($B342,'Race 81'!$B$8:$B$200,0)),1))*100</f>
        <v>45.769527607356636</v>
      </c>
      <c r="CL342" s="74"/>
      <c r="CM342" s="74"/>
      <c r="CN342" s="74"/>
      <c r="CO342" s="70"/>
      <c r="CP342" s="74"/>
      <c r="CQ342" s="7"/>
      <c r="CR342" s="74"/>
      <c r="CS342" s="74"/>
      <c r="CT342" s="74"/>
      <c r="CU342" s="74"/>
      <c r="CV342" s="7"/>
      <c r="CW342" s="7"/>
      <c r="CX342" s="7"/>
      <c r="CY342" s="7"/>
      <c r="CZ342" s="7"/>
      <c r="DA342" s="7"/>
      <c r="DB342" s="7"/>
      <c r="DC342" s="7"/>
      <c r="DD342" s="7"/>
      <c r="DE342" s="74"/>
      <c r="DF342" s="74"/>
      <c r="DG342" s="74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8">
        <f t="shared" si="75"/>
        <v>45.769527607356636</v>
      </c>
      <c r="EA342" s="3" t="str">
        <f t="shared" si="76"/>
        <v>RENES, Mike</v>
      </c>
      <c r="EB342" s="2">
        <f t="shared" si="77"/>
        <v>1</v>
      </c>
      <c r="EC342" s="112">
        <f>H342</f>
        <v>0</v>
      </c>
      <c r="ED342" s="29">
        <f t="shared" si="78"/>
        <v>45.031018897438649</v>
      </c>
      <c r="EE342" s="2">
        <f t="shared" si="79"/>
        <v>0</v>
      </c>
      <c r="EF342" s="46">
        <f t="shared" si="80"/>
        <v>0</v>
      </c>
      <c r="EG342" s="46">
        <f t="shared" si="81"/>
        <v>1</v>
      </c>
      <c r="EH342" s="2" t="str">
        <f t="shared" si="82"/>
        <v>WA</v>
      </c>
      <c r="EI342" s="29">
        <f>IF(COUNT(I342:AD342)&lt;5,DZ342,SUMPRODUCT(LARGE(I342:AD342,{1,2,3,4,5}))/5)</f>
        <v>45.769527607356636</v>
      </c>
      <c r="EJ342" s="29">
        <f>IF(COUNT(I342:BE342)&lt;5,DZ342,SUMPRODUCT(LARGE(I342:BE342,{1,2,3,4,5}))/5)</f>
        <v>45.769527607356636</v>
      </c>
      <c r="EK342" s="112">
        <f>IF(COUNT(I342:DY342)&lt;5,AVERAGE(I342:DY342),SUMPRODUCT(LARGE(I342:DY342,{1,2,3,4,5}))/5)</f>
        <v>45.769527607356636</v>
      </c>
      <c r="EL342" s="29">
        <f t="shared" si="83"/>
        <v>45.031018897438649</v>
      </c>
      <c r="EM342" s="116" t="str">
        <f t="shared" si="84"/>
        <v>RENES, Mike</v>
      </c>
      <c r="EQ342"/>
    </row>
    <row r="343" spans="1:147" x14ac:dyDescent="0.25">
      <c r="A343" s="59">
        <f t="shared" si="85"/>
        <v>340</v>
      </c>
      <c r="B343" s="32" t="s">
        <v>1081</v>
      </c>
      <c r="C343" s="5" t="s">
        <v>6</v>
      </c>
      <c r="D343" s="6" t="s">
        <v>69</v>
      </c>
      <c r="E343" s="6">
        <v>0</v>
      </c>
      <c r="F343" s="6">
        <v>48.537069013954969</v>
      </c>
      <c r="G343" s="5">
        <f t="shared" si="73"/>
        <v>2</v>
      </c>
      <c r="H343" s="37">
        <v>0</v>
      </c>
      <c r="I343" s="36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227"/>
      <c r="Z343" s="228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4">
        <f>(INDEX('Race 31'!$E$8:$E$200,(MATCH($B343,'Race 31'!$B$8:$B$200,0)),1))*100</f>
        <v>48.537069013954969</v>
      </c>
      <c r="AN343" s="74"/>
      <c r="AO343" s="74"/>
      <c r="AP343" s="7"/>
      <c r="AQ343" s="74"/>
      <c r="AR343" s="70"/>
      <c r="AS343" s="7"/>
      <c r="AT343" s="70"/>
      <c r="AU343" s="7"/>
      <c r="AV343" s="70"/>
      <c r="AW343" s="7"/>
      <c r="AX343" s="8"/>
      <c r="AY343" s="36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14"/>
      <c r="BL343" s="7"/>
      <c r="BM343" s="7"/>
      <c r="BN343" s="74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>
        <f>(INDEX('Race 71'!$E$8:$E$200,(MATCH($B343,'Race 71'!$B$8:$B$200,0)),1))*100</f>
        <v>45.676478945034127</v>
      </c>
      <c r="CB343" s="7"/>
      <c r="CC343" s="7"/>
      <c r="CD343" s="7"/>
      <c r="CE343" s="74"/>
      <c r="CF343" s="74"/>
      <c r="CG343" s="7"/>
      <c r="CH343" s="7"/>
      <c r="CI343" s="7"/>
      <c r="CJ343" s="7"/>
      <c r="CK343" s="101"/>
      <c r="CL343" s="74"/>
      <c r="CM343" s="74"/>
      <c r="CN343" s="74"/>
      <c r="CO343" s="70"/>
      <c r="CP343" s="74"/>
      <c r="CQ343" s="7"/>
      <c r="CR343" s="74"/>
      <c r="CS343" s="74"/>
      <c r="CT343" s="74"/>
      <c r="CU343" s="74"/>
      <c r="CV343" s="7"/>
      <c r="CW343" s="7"/>
      <c r="CX343" s="7"/>
      <c r="CY343" s="7"/>
      <c r="CZ343" s="7"/>
      <c r="DA343" s="7"/>
      <c r="DB343" s="7"/>
      <c r="DC343" s="7"/>
      <c r="DD343" s="7"/>
      <c r="DE343" s="74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8">
        <f t="shared" si="75"/>
        <v>47.106773979494548</v>
      </c>
      <c r="EA343" s="3" t="str">
        <f t="shared" si="76"/>
        <v>RENFROW, Dan</v>
      </c>
      <c r="EB343" s="2">
        <f t="shared" si="77"/>
        <v>1</v>
      </c>
      <c r="EC343" s="29">
        <v>0</v>
      </c>
      <c r="ED343" s="29">
        <f t="shared" si="78"/>
        <v>46.346688291513722</v>
      </c>
      <c r="EE343" s="2">
        <f t="shared" si="79"/>
        <v>0</v>
      </c>
      <c r="EF343" s="46">
        <f t="shared" si="80"/>
        <v>1</v>
      </c>
      <c r="EG343" s="46">
        <f t="shared" si="81"/>
        <v>2</v>
      </c>
      <c r="EH343" s="29" t="str">
        <f t="shared" si="82"/>
        <v>WA</v>
      </c>
      <c r="EI343" s="29">
        <f>IF(COUNT(I343:AD343)&lt;5,DZ343,SUMPRODUCT(LARGE(I343:AD343,{1,2,3,4,5}))/5)</f>
        <v>47.106773979494548</v>
      </c>
      <c r="EJ343" s="29">
        <f>IF(COUNT(I343:AX343)&lt;5,DZ343,SUMPRODUCT(LARGE(I343:AX343,{1,2,3,4,5}))/5)</f>
        <v>47.106773979494548</v>
      </c>
      <c r="EK343" s="112">
        <f>IF(COUNT(I343:DY343)&lt;5,AVERAGE(I343:DY343),SUMPRODUCT(LARGE(I343:DY343,{1,2,3,4,5}))/5)</f>
        <v>47.106773979494548</v>
      </c>
      <c r="EL343" s="29">
        <f t="shared" si="83"/>
        <v>46.346688291513722</v>
      </c>
      <c r="EM343" s="116" t="str">
        <f t="shared" si="84"/>
        <v>RENFROW, Dan</v>
      </c>
      <c r="EQ343"/>
    </row>
    <row r="344" spans="1:147" x14ac:dyDescent="0.25">
      <c r="A344" s="59">
        <f t="shared" si="85"/>
        <v>341</v>
      </c>
      <c r="B344" s="32" t="s">
        <v>1150</v>
      </c>
      <c r="C344" s="5" t="s">
        <v>6</v>
      </c>
      <c r="D344" s="6" t="s">
        <v>87</v>
      </c>
      <c r="E344" s="6">
        <v>0</v>
      </c>
      <c r="F344" s="6">
        <v>47.85477580473799</v>
      </c>
      <c r="G344" s="5">
        <f t="shared" si="73"/>
        <v>4</v>
      </c>
      <c r="H344" s="37">
        <v>0</v>
      </c>
      <c r="I344" s="36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227"/>
      <c r="Z344" s="228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4"/>
      <c r="AP344" s="7"/>
      <c r="AQ344" s="74"/>
      <c r="AR344" s="70"/>
      <c r="AS344" s="7"/>
      <c r="AT344" s="70"/>
      <c r="AU344" s="7"/>
      <c r="AV344" s="70"/>
      <c r="AW344" s="7">
        <f>(INDEX('Race 41'!$E$8:$E$200,(MATCH($B344,'Race 41'!$B$8:$B$200,0)),1))*100</f>
        <v>42.933895735142961</v>
      </c>
      <c r="AX344" s="8">
        <f>(INDEX('Race 42'!$E$8:$E$200,(MATCH($B344,'Race 42'!$B$8:$B$200,0)),1))*100</f>
        <v>52.775655874333019</v>
      </c>
      <c r="AY344" s="36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14"/>
      <c r="BL344" s="7"/>
      <c r="BM344" s="7"/>
      <c r="BN344" s="74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4">
        <f>(INDEX('Race 75'!$E$8:$E$200,(MATCH($B344,'Race 75'!$B$8:$B$200,0)),1))*100</f>
        <v>54.692149487496387</v>
      </c>
      <c r="CF344" s="74">
        <f>(INDEX('Race 76'!$E$8:$E$200,(MATCH($B344,'Race 76'!$B$8:$B$200,0)),1))*100</f>
        <v>51.47303294014386</v>
      </c>
      <c r="CG344" s="7"/>
      <c r="CH344" s="7"/>
      <c r="CI344" s="7"/>
      <c r="CJ344" s="7"/>
      <c r="CK344" s="101"/>
      <c r="CL344" s="74"/>
      <c r="CM344" s="74"/>
      <c r="CN344" s="74"/>
      <c r="CO344" s="70"/>
      <c r="CP344" s="74"/>
      <c r="CQ344" s="7"/>
      <c r="CR344" s="74"/>
      <c r="CS344" s="74"/>
      <c r="CT344" s="74"/>
      <c r="CU344" s="74"/>
      <c r="CV344" s="7"/>
      <c r="CW344" s="7"/>
      <c r="CX344" s="7"/>
      <c r="CY344" s="7"/>
      <c r="CZ344" s="7"/>
      <c r="DA344" s="7"/>
      <c r="DB344" s="7"/>
      <c r="DC344" s="7"/>
      <c r="DD344" s="7"/>
      <c r="DE344" s="74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8">
        <f t="shared" si="75"/>
        <v>50.46868350927906</v>
      </c>
      <c r="EA344" s="3" t="str">
        <f t="shared" si="76"/>
        <v>Renner, Christopher</v>
      </c>
      <c r="EB344" s="2">
        <f t="shared" si="77"/>
        <v>1</v>
      </c>
      <c r="EC344" s="112">
        <f t="shared" ref="EC344:EC351" si="86">H344</f>
        <v>0</v>
      </c>
      <c r="ED344" s="29">
        <f t="shared" si="78"/>
        <v>49.65435213427692</v>
      </c>
      <c r="EE344" s="2">
        <f t="shared" si="79"/>
        <v>0</v>
      </c>
      <c r="EF344" s="46">
        <f t="shared" si="80"/>
        <v>2</v>
      </c>
      <c r="EG344" s="46">
        <f t="shared" si="81"/>
        <v>4</v>
      </c>
      <c r="EH344" s="2" t="str">
        <f t="shared" si="82"/>
        <v>CA</v>
      </c>
      <c r="EI344" s="29">
        <f>IF(COUNT(I344:AD344)&lt;5,DZ344,SUMPRODUCT(LARGE(I344:AD344,{1,2,3,4,5}))/5)</f>
        <v>50.46868350927906</v>
      </c>
      <c r="EJ344" s="29">
        <f>IF(COUNT(I344:AX344)&lt;5,DZ344,SUMPRODUCT(LARGE(I344:AX344,{1,2,3,4,5}))/5)</f>
        <v>50.46868350927906</v>
      </c>
      <c r="EK344" s="112">
        <f>IF(COUNT(I344:DY344)&lt;5,AVERAGE(I344:DY344),SUMPRODUCT(LARGE(I344:DY344,{1,2,3,4,5}))/5)</f>
        <v>50.46868350927906</v>
      </c>
      <c r="EL344" s="29">
        <f t="shared" si="83"/>
        <v>49.65435213427692</v>
      </c>
      <c r="EM344" s="116" t="str">
        <f t="shared" si="84"/>
        <v>Renner, Christopher</v>
      </c>
      <c r="EQ344"/>
    </row>
    <row r="345" spans="1:147" x14ac:dyDescent="0.25">
      <c r="A345" s="59">
        <f t="shared" si="85"/>
        <v>342</v>
      </c>
      <c r="B345" s="32" t="s">
        <v>822</v>
      </c>
      <c r="C345" s="5" t="s">
        <v>6</v>
      </c>
      <c r="D345" s="6" t="s">
        <v>88</v>
      </c>
      <c r="E345" s="6">
        <v>31.829904729434844</v>
      </c>
      <c r="F345" s="6">
        <v>36.723324737738345</v>
      </c>
      <c r="G345" s="5">
        <f t="shared" si="73"/>
        <v>2</v>
      </c>
      <c r="H345" s="37">
        <v>31.829904729434844</v>
      </c>
      <c r="I345" s="36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227"/>
      <c r="Z345" s="228"/>
      <c r="AA345" s="7"/>
      <c r="AB345" s="7"/>
      <c r="AC345" s="74">
        <f>(INDEX('Race 21'!$E$8:$E$200,(MATCH($B345,'Race 21'!$B$8:$B$200,0)),1))*100</f>
        <v>36.257064459755426</v>
      </c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4">
        <f>(INDEX('Race 33'!$E$8:$E$200,(MATCH($B345,'Race 33'!$B$8:$B$200,0)),1))*100</f>
        <v>37.189585015721264</v>
      </c>
      <c r="AP345" s="7"/>
      <c r="AQ345" s="74"/>
      <c r="AR345" s="70"/>
      <c r="AS345" s="7"/>
      <c r="AT345" s="70"/>
      <c r="AU345" s="7"/>
      <c r="AV345" s="70"/>
      <c r="AW345" s="7"/>
      <c r="AX345" s="8"/>
      <c r="AY345" s="36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14"/>
      <c r="BL345" s="7"/>
      <c r="BM345" s="7"/>
      <c r="BN345" s="74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4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101"/>
      <c r="CL345" s="74"/>
      <c r="CM345" s="74"/>
      <c r="CN345" s="74"/>
      <c r="CO345" s="70"/>
      <c r="CP345" s="74"/>
      <c r="CQ345" s="7"/>
      <c r="CR345" s="74"/>
      <c r="CS345" s="74"/>
      <c r="CT345" s="74"/>
      <c r="CU345" s="74"/>
      <c r="CV345" s="7"/>
      <c r="CW345" s="7"/>
      <c r="CX345" s="7"/>
      <c r="CY345" s="7"/>
      <c r="CZ345" s="7"/>
      <c r="DA345" s="7"/>
      <c r="DB345" s="7"/>
      <c r="DC345" s="7"/>
      <c r="DD345" s="7"/>
      <c r="DE345" s="74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8">
        <f t="shared" si="75"/>
        <v>36.723324737738345</v>
      </c>
      <c r="EA345" s="3" t="str">
        <f t="shared" si="76"/>
        <v>Renner, Ken</v>
      </c>
      <c r="EB345" s="2">
        <f t="shared" si="77"/>
        <v>1</v>
      </c>
      <c r="EC345" s="112">
        <f t="shared" si="86"/>
        <v>31.829904729434844</v>
      </c>
      <c r="ED345" s="29">
        <f t="shared" si="78"/>
        <v>36.130779946613877</v>
      </c>
      <c r="EE345" s="2">
        <f t="shared" si="79"/>
        <v>1</v>
      </c>
      <c r="EF345" s="46">
        <f t="shared" si="80"/>
        <v>2</v>
      </c>
      <c r="EG345" s="46">
        <f t="shared" si="81"/>
        <v>2</v>
      </c>
      <c r="EH345" s="29" t="str">
        <f t="shared" si="82"/>
        <v>WI</v>
      </c>
      <c r="EI345" s="29">
        <f>IF(COUNT(I345:Y345)&lt;5,DZ345,SUMPRODUCT(LARGE(I345:Y345,{1,2,3,4,5}))/5)</f>
        <v>36.723324737738345</v>
      </c>
      <c r="EJ345" s="29">
        <f>IF(COUNT(I345:AX345)&lt;5,DZ345,SUMPRODUCT(LARGE(I345:AX345,{1,2,3,4,5}))/5)</f>
        <v>36.723324737738345</v>
      </c>
      <c r="EK345" s="29">
        <f>IF(COUNT(I345:DY345)&lt;5,AVERAGE(I345:DY345),SUMPRODUCT(LARGE(I345:DY345,{1,2,3,4,5}))/5)</f>
        <v>36.723324737738345</v>
      </c>
      <c r="EL345" s="29">
        <f t="shared" si="83"/>
        <v>36.130779946613877</v>
      </c>
      <c r="EM345" s="116" t="str">
        <f t="shared" si="84"/>
        <v>Renner, Ken</v>
      </c>
      <c r="EQ345"/>
    </row>
    <row r="346" spans="1:147" x14ac:dyDescent="0.25">
      <c r="A346" s="59">
        <f t="shared" si="85"/>
        <v>343</v>
      </c>
      <c r="B346" s="32" t="s">
        <v>1039</v>
      </c>
      <c r="C346" s="5" t="s">
        <v>16</v>
      </c>
      <c r="D346" s="6" t="s">
        <v>61</v>
      </c>
      <c r="E346" s="6">
        <v>76.063957123595685</v>
      </c>
      <c r="F346" s="6">
        <v>76.063957123595685</v>
      </c>
      <c r="G346" s="5">
        <f t="shared" si="73"/>
        <v>2</v>
      </c>
      <c r="H346" s="37">
        <v>0</v>
      </c>
      <c r="I346" s="36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>
        <f>(INDEX('Race 16'!$E$8:$E$200,(MATCH($B346,'Race 16'!$B$8:$B$200,0)),1))*100</f>
        <v>74.721676294246308</v>
      </c>
      <c r="Y346" s="227">
        <f>(INDEX('Race 17'!$E$8:$E$200,(MATCH($B346,'Race 17'!$B$8:$B$200,0)),1))*100</f>
        <v>77.406237952945062</v>
      </c>
      <c r="Z346" s="228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0"/>
      <c r="AS346" s="7"/>
      <c r="AT346" s="70"/>
      <c r="AU346" s="7"/>
      <c r="AV346" s="70"/>
      <c r="AW346" s="7"/>
      <c r="AX346" s="8"/>
      <c r="AY346" s="36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14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0"/>
      <c r="CL346" s="7"/>
      <c r="CM346" s="7"/>
      <c r="CN346" s="7"/>
      <c r="CO346" s="70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4"/>
      <c r="DM346" s="7"/>
      <c r="DN346" s="7"/>
      <c r="DO346" s="7"/>
      <c r="DP346" s="7"/>
      <c r="DQ346" s="7"/>
      <c r="DR346" s="7"/>
      <c r="DS346" s="7"/>
      <c r="DT346" s="7"/>
      <c r="DU346" s="7"/>
      <c r="DV346" s="74"/>
      <c r="DW346" s="7"/>
      <c r="DX346" s="74"/>
      <c r="DY346" s="74"/>
      <c r="DZ346" s="8">
        <f t="shared" si="75"/>
        <v>76.063957123595685</v>
      </c>
      <c r="EA346" s="152" t="str">
        <f t="shared" si="76"/>
        <v>Renner, Torsten</v>
      </c>
      <c r="EB346" s="153">
        <f t="shared" si="77"/>
        <v>1</v>
      </c>
      <c r="EC346" s="112">
        <f t="shared" si="86"/>
        <v>0</v>
      </c>
      <c r="ED346" s="146">
        <f t="shared" si="78"/>
        <v>74.836636288464859</v>
      </c>
      <c r="EE346" s="2">
        <f t="shared" si="79"/>
        <v>2</v>
      </c>
      <c r="EF346" s="46">
        <f t="shared" si="80"/>
        <v>2</v>
      </c>
      <c r="EG346" s="46">
        <f t="shared" si="81"/>
        <v>2</v>
      </c>
      <c r="EH346" s="146" t="str">
        <f t="shared" si="82"/>
        <v>AK</v>
      </c>
      <c r="EI346" s="146">
        <f>IF(COUNT(I346:Y346)&lt;5,DZ346,SUMPRODUCT(LARGE(I346:Y346,{1,2,3,4,5}))/5)</f>
        <v>76.063957123595685</v>
      </c>
      <c r="EJ346" s="146">
        <f>IF(COUNT(I346:AX346)&lt;5,DZ346,SUMPRODUCT(LARGE(I346:AX346,{1,2,3,4,5}))/5)</f>
        <v>76.063957123595685</v>
      </c>
      <c r="EK346" s="29">
        <f>IF(COUNT(I346:DY346)&lt;5,AVERAGE(I346:DY346),SUMPRODUCT(LARGE(I346:DY346,{1,2,3,4,5}))/5)</f>
        <v>76.063957123595685</v>
      </c>
      <c r="EL346" s="146">
        <f t="shared" si="83"/>
        <v>74.836636288464859</v>
      </c>
      <c r="EM346" s="152" t="str">
        <f t="shared" si="84"/>
        <v>Renner, Torsten</v>
      </c>
      <c r="EQ346"/>
    </row>
    <row r="347" spans="1:147" x14ac:dyDescent="0.25">
      <c r="A347" s="59">
        <f t="shared" si="85"/>
        <v>344</v>
      </c>
      <c r="B347" s="32" t="s">
        <v>771</v>
      </c>
      <c r="C347" s="5" t="s">
        <v>6</v>
      </c>
      <c r="D347" s="6" t="s">
        <v>62</v>
      </c>
      <c r="E347" s="6">
        <v>40.260450989066918</v>
      </c>
      <c r="F347" s="6">
        <v>45.900812024178478</v>
      </c>
      <c r="G347" s="5">
        <f t="shared" si="73"/>
        <v>3</v>
      </c>
      <c r="H347" s="37">
        <v>40.260450989066918</v>
      </c>
      <c r="I347" s="36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227"/>
      <c r="Z347" s="228"/>
      <c r="AA347" s="7"/>
      <c r="AB347" s="7"/>
      <c r="AC347" s="7"/>
      <c r="AD347" s="14"/>
      <c r="AE347" s="7"/>
      <c r="AF347" s="7"/>
      <c r="AG347" s="74">
        <f>(INDEX('Race 25'!$E$8:$E$200,(MATCH($B347,'Race 25'!$B$8:$B$200,0)),1))*100</f>
        <v>47.881143149523773</v>
      </c>
      <c r="AH347" s="7"/>
      <c r="AI347" s="7"/>
      <c r="AJ347" s="7"/>
      <c r="AK347" s="7"/>
      <c r="AL347" s="74">
        <f>(INDEX('Race 30'!$E$8:$E$200,(MATCH($B347,'Race 30'!$B$8:$B$200,0)),1))*100</f>
        <v>43.920480898833183</v>
      </c>
      <c r="AM347" s="7"/>
      <c r="AN347" s="7"/>
      <c r="AO347" s="74"/>
      <c r="AP347" s="7"/>
      <c r="AQ347" s="74"/>
      <c r="AR347" s="7"/>
      <c r="AS347" s="7"/>
      <c r="AT347" s="70"/>
      <c r="AU347" s="7"/>
      <c r="AV347" s="70"/>
      <c r="AW347" s="7"/>
      <c r="AX347" s="8"/>
      <c r="AY347" s="36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14"/>
      <c r="BL347" s="7"/>
      <c r="BM347" s="7"/>
      <c r="BN347" s="74"/>
      <c r="BO347" s="7"/>
      <c r="BP347" s="7"/>
      <c r="BQ347" s="7"/>
      <c r="BR347" s="7"/>
      <c r="BS347" s="7"/>
      <c r="BT347" s="7">
        <f>(INDEX('Race 64'!$E$8:$E$200,(MATCH($B347,'Race 64'!$B$8:$B$200,0)),1))*100</f>
        <v>58.204017757686046</v>
      </c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4"/>
      <c r="CG347" s="7"/>
      <c r="CH347" s="7"/>
      <c r="CI347" s="7"/>
      <c r="CJ347" s="7"/>
      <c r="CK347" s="101"/>
      <c r="CL347" s="74"/>
      <c r="CM347" s="74"/>
      <c r="CN347" s="74"/>
      <c r="CO347" s="70"/>
      <c r="CP347" s="74"/>
      <c r="CQ347" s="7"/>
      <c r="CR347" s="74"/>
      <c r="CS347" s="74"/>
      <c r="CT347" s="74"/>
      <c r="CU347" s="74"/>
      <c r="CV347" s="7"/>
      <c r="CW347" s="7"/>
      <c r="CX347" s="7"/>
      <c r="CY347" s="7"/>
      <c r="CZ347" s="7"/>
      <c r="DA347" s="7"/>
      <c r="DB347" s="7"/>
      <c r="DC347" s="7"/>
      <c r="DD347" s="7"/>
      <c r="DE347" s="74"/>
      <c r="DF347" s="74"/>
      <c r="DG347" s="74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8">
        <f t="shared" si="75"/>
        <v>50.001880602014332</v>
      </c>
      <c r="EA347" s="3" t="str">
        <f t="shared" si="76"/>
        <v>Reyher, Marc</v>
      </c>
      <c r="EB347" s="2">
        <f t="shared" si="77"/>
        <v>1</v>
      </c>
      <c r="EC347" s="112">
        <f t="shared" si="86"/>
        <v>40.260450989066918</v>
      </c>
      <c r="ED347" s="29">
        <f t="shared" si="78"/>
        <v>49.195081269199463</v>
      </c>
      <c r="EE347" s="2">
        <f t="shared" si="79"/>
        <v>1</v>
      </c>
      <c r="EF347" s="46">
        <f t="shared" si="80"/>
        <v>2</v>
      </c>
      <c r="EG347" s="46">
        <f t="shared" si="81"/>
        <v>3</v>
      </c>
      <c r="EH347" s="2" t="str">
        <f t="shared" si="82"/>
        <v>CO</v>
      </c>
      <c r="EI347" s="29">
        <f>IF(COUNT(I347:Y347)&lt;5,DZ347,SUMPRODUCT(LARGE(I347:Y347,{1,2,3,4,5}))/5)</f>
        <v>50.001880602014332</v>
      </c>
      <c r="EJ347" s="29">
        <f>IF(COUNT(I347:AX347)&lt;5,DZ347,SUMPRODUCT(LARGE(I347:AX347,{1,2,3,4,5}))/5)</f>
        <v>50.001880602014332</v>
      </c>
      <c r="EK347" s="29">
        <f>IF(COUNT(I347:DY347)&lt;5,AVERAGE(I347:DY347),SUMPRODUCT(LARGE(I347:DY347,{1,2,3,4,5}))/5)</f>
        <v>50.001880602014332</v>
      </c>
      <c r="EL347" s="29">
        <f t="shared" si="83"/>
        <v>49.195081269199463</v>
      </c>
      <c r="EM347" s="116" t="str">
        <f t="shared" si="84"/>
        <v>Reyher, Marc</v>
      </c>
      <c r="EQ347"/>
    </row>
    <row r="348" spans="1:147" x14ac:dyDescent="0.25">
      <c r="A348" s="59">
        <f t="shared" si="85"/>
        <v>345</v>
      </c>
      <c r="B348" s="32" t="s">
        <v>990</v>
      </c>
      <c r="C348" s="5" t="s">
        <v>6</v>
      </c>
      <c r="D348" s="6" t="s">
        <v>87</v>
      </c>
      <c r="E348" s="6">
        <v>0</v>
      </c>
      <c r="F348" s="6">
        <v>0</v>
      </c>
      <c r="G348" s="5">
        <f t="shared" si="73"/>
        <v>2</v>
      </c>
      <c r="H348" s="37">
        <v>0</v>
      </c>
      <c r="I348" s="36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227"/>
      <c r="Z348" s="228"/>
      <c r="AA348" s="7"/>
      <c r="AB348" s="7"/>
      <c r="AC348" s="7"/>
      <c r="AD348" s="14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4"/>
      <c r="AP348" s="7"/>
      <c r="AQ348" s="74"/>
      <c r="AR348" s="70"/>
      <c r="AS348" s="7"/>
      <c r="AT348" s="70"/>
      <c r="AU348" s="7"/>
      <c r="AV348" s="70"/>
      <c r="AW348" s="7"/>
      <c r="AX348" s="183"/>
      <c r="AY348" s="10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14"/>
      <c r="BL348" s="7"/>
      <c r="BM348" s="7"/>
      <c r="BN348" s="74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101"/>
      <c r="CL348" s="74"/>
      <c r="CM348" s="74"/>
      <c r="CN348" s="74"/>
      <c r="CO348" s="70"/>
      <c r="CP348" s="74"/>
      <c r="CQ348" s="7"/>
      <c r="CR348" s="74"/>
      <c r="CS348" s="74"/>
      <c r="CT348" s="74">
        <f>(INDEX('Race 90'!$E$8:$E$200,(MATCH($B348,'Race 90'!$B$8:$B$200,0)),1))*100</f>
        <v>36.540386085814028</v>
      </c>
      <c r="CU348" s="74">
        <f>(INDEX('Race 91'!$E$8:$E$200,(MATCH($B348,'Race 91'!$B$8:$B$200,0)),1))*100</f>
        <v>39.267822632742579</v>
      </c>
      <c r="CV348" s="7"/>
      <c r="CW348" s="7"/>
      <c r="CX348" s="7"/>
      <c r="CY348" s="7"/>
      <c r="CZ348" s="7"/>
      <c r="DA348" s="7"/>
      <c r="DB348" s="7"/>
      <c r="DC348" s="7"/>
      <c r="DD348" s="7"/>
      <c r="DE348" s="74"/>
      <c r="DF348" s="74"/>
      <c r="DG348" s="74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8">
        <f t="shared" si="75"/>
        <v>37.904104359278307</v>
      </c>
      <c r="EA348" s="3" t="str">
        <f t="shared" si="76"/>
        <v>Richardson, Gordon</v>
      </c>
      <c r="EB348" s="2">
        <f t="shared" si="77"/>
        <v>1</v>
      </c>
      <c r="EC348" s="112">
        <f t="shared" si="86"/>
        <v>0</v>
      </c>
      <c r="ED348" s="29">
        <f t="shared" si="78"/>
        <v>37.29250724053356</v>
      </c>
      <c r="EE348" s="2">
        <f t="shared" si="79"/>
        <v>0</v>
      </c>
      <c r="EF348" s="46">
        <f t="shared" si="80"/>
        <v>0</v>
      </c>
      <c r="EG348" s="46">
        <f t="shared" si="81"/>
        <v>2</v>
      </c>
      <c r="EH348" s="2" t="str">
        <f t="shared" si="82"/>
        <v>CA</v>
      </c>
      <c r="EI348" s="29">
        <f>IF(COUNT(I348:AD348)&lt;5,DZ348,SUMPRODUCT(LARGE(I348:AD348,{1,2,3,4,5}))/5)</f>
        <v>37.904104359278307</v>
      </c>
      <c r="EJ348" s="29">
        <f>IF(COUNT(I348:BE348)&lt;5,DZ348,SUMPRODUCT(LARGE(I348:BE348,{1,2,3,4,5}))/5)</f>
        <v>37.904104359278307</v>
      </c>
      <c r="EK348" s="112">
        <f>IF(COUNT(I348:DY348)&lt;5,AVERAGE(I348:DY348),SUMPRODUCT(LARGE(I348:DY348,{1,2,3,4,5}))/5)</f>
        <v>37.904104359278307</v>
      </c>
      <c r="EL348" s="29">
        <f t="shared" si="83"/>
        <v>37.29250724053356</v>
      </c>
      <c r="EM348" s="116" t="str">
        <f t="shared" si="84"/>
        <v>Richardson, Gordon</v>
      </c>
      <c r="EQ348"/>
    </row>
    <row r="349" spans="1:147" x14ac:dyDescent="0.25">
      <c r="A349" s="59">
        <f t="shared" si="85"/>
        <v>346</v>
      </c>
      <c r="B349" s="32" t="s">
        <v>184</v>
      </c>
      <c r="C349" s="5" t="s">
        <v>6</v>
      </c>
      <c r="D349" s="6" t="s">
        <v>57</v>
      </c>
      <c r="E349" s="6">
        <v>52.046323388447334</v>
      </c>
      <c r="F349" s="6">
        <v>54.64347683246401</v>
      </c>
      <c r="G349" s="5">
        <f t="shared" si="73"/>
        <v>2</v>
      </c>
      <c r="H349" s="37">
        <v>52.046323388447334</v>
      </c>
      <c r="I349" s="36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227"/>
      <c r="Z349" s="228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4"/>
      <c r="AR349" s="101">
        <f>(INDEX('Race 36'!$E$8:$E$200,(MATCH($B349,'Race 36'!$B$8:$B$200,0)),1))*100</f>
        <v>54.64347683246401</v>
      </c>
      <c r="AS349" s="7"/>
      <c r="AT349" s="70"/>
      <c r="AU349" s="7"/>
      <c r="AV349" s="70"/>
      <c r="AW349" s="7"/>
      <c r="AX349" s="8"/>
      <c r="AY349" s="36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14"/>
      <c r="BL349" s="7"/>
      <c r="BM349" s="7"/>
      <c r="BN349" s="7"/>
      <c r="BO349" s="7"/>
      <c r="BP349" s="7"/>
      <c r="BQ349" s="7"/>
      <c r="BR349" s="7">
        <f>(INDEX('Race 62'!$E$8:$E$200,(MATCH($B349,'Race 62'!$B$8:$B$200,0)),1))*100</f>
        <v>56.809659873930684</v>
      </c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101"/>
      <c r="CL349" s="7"/>
      <c r="CM349" s="74"/>
      <c r="CN349" s="74"/>
      <c r="CO349" s="70"/>
      <c r="CP349" s="74"/>
      <c r="CQ349" s="7"/>
      <c r="CR349" s="74"/>
      <c r="CS349" s="74"/>
      <c r="CT349" s="74"/>
      <c r="CU349" s="74"/>
      <c r="CV349" s="74"/>
      <c r="CW349" s="7"/>
      <c r="CX349" s="7"/>
      <c r="CY349" s="7"/>
      <c r="CZ349" s="7"/>
      <c r="DA349" s="7"/>
      <c r="DB349" s="7"/>
      <c r="DC349" s="7"/>
      <c r="DD349" s="7"/>
      <c r="DE349" s="74"/>
      <c r="DF349" s="74"/>
      <c r="DG349" s="74"/>
      <c r="DH349" s="74"/>
      <c r="DI349" s="74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8">
        <f t="shared" si="75"/>
        <v>55.726568353197351</v>
      </c>
      <c r="EA349" s="3" t="str">
        <f t="shared" si="76"/>
        <v>Rikert, Darrell</v>
      </c>
      <c r="EB349" s="2">
        <f t="shared" si="77"/>
        <v>1</v>
      </c>
      <c r="EC349" s="112">
        <f t="shared" si="86"/>
        <v>52.046323388447334</v>
      </c>
      <c r="ED349" s="29">
        <f t="shared" si="78"/>
        <v>54.827399009442495</v>
      </c>
      <c r="EE349" s="2">
        <f t="shared" si="79"/>
        <v>0</v>
      </c>
      <c r="EF349" s="46">
        <f t="shared" si="80"/>
        <v>1</v>
      </c>
      <c r="EG349" s="46">
        <f t="shared" si="81"/>
        <v>2</v>
      </c>
      <c r="EH349" s="2" t="str">
        <f t="shared" si="82"/>
        <v>NY</v>
      </c>
      <c r="EI349" s="29">
        <f>IF(COUNT(I349:Y349)&lt;5,DZ349,SUMPRODUCT(LARGE(I349:Y349,{1,2,3,4,5}))/5)</f>
        <v>55.726568353197351</v>
      </c>
      <c r="EJ349" s="29">
        <f>IF(COUNT(I349:AX349)&lt;5,DZ349,SUMPRODUCT(LARGE(I349:AX349,{1,2,3,4,5}))/5)</f>
        <v>55.726568353197351</v>
      </c>
      <c r="EK349" s="29">
        <f>IF(COUNT(I349:DY349)&lt;5,AVERAGE(I349:DY349),SUMPRODUCT(LARGE(I349:DY349,{1,2,3,4,5}))/5)</f>
        <v>55.726568353197351</v>
      </c>
      <c r="EL349" s="29">
        <f t="shared" si="83"/>
        <v>54.827399009442495</v>
      </c>
      <c r="EM349" s="116" t="str">
        <f t="shared" si="84"/>
        <v>Rikert, Darrell</v>
      </c>
      <c r="EQ349"/>
    </row>
    <row r="350" spans="1:147" x14ac:dyDescent="0.25">
      <c r="A350" s="59">
        <f t="shared" si="85"/>
        <v>347</v>
      </c>
      <c r="B350" s="4" t="s">
        <v>99</v>
      </c>
      <c r="C350" s="5" t="s">
        <v>6</v>
      </c>
      <c r="D350" s="5" t="s">
        <v>58</v>
      </c>
      <c r="E350" s="6">
        <v>65.219156740599729</v>
      </c>
      <c r="F350" s="6">
        <v>65.219156740599729</v>
      </c>
      <c r="G350" s="5">
        <f t="shared" si="73"/>
        <v>0</v>
      </c>
      <c r="H350" s="99">
        <v>65.219156740599729</v>
      </c>
      <c r="I350" s="36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227"/>
      <c r="Z350" s="228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4"/>
      <c r="AP350" s="7"/>
      <c r="AQ350" s="74"/>
      <c r="AR350" s="70"/>
      <c r="AS350" s="7"/>
      <c r="AT350" s="70"/>
      <c r="AU350" s="7"/>
      <c r="AV350" s="70"/>
      <c r="AW350" s="7"/>
      <c r="AX350" s="8"/>
      <c r="AY350" s="36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4"/>
      <c r="BK350" s="14"/>
      <c r="BL350" s="74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4"/>
      <c r="CE350" s="7"/>
      <c r="CF350" s="14"/>
      <c r="CG350" s="74"/>
      <c r="CH350" s="7"/>
      <c r="CI350" s="7"/>
      <c r="CJ350" s="7"/>
      <c r="CK350" s="101"/>
      <c r="CL350" s="74"/>
      <c r="CM350" s="74"/>
      <c r="CN350" s="74"/>
      <c r="CO350" s="70"/>
      <c r="CP350" s="74"/>
      <c r="CQ350" s="7"/>
      <c r="CR350" s="74"/>
      <c r="CS350" s="74"/>
      <c r="CT350" s="74"/>
      <c r="CU350" s="74"/>
      <c r="CV350" s="74"/>
      <c r="CW350" s="7"/>
      <c r="CX350" s="7"/>
      <c r="CY350" s="7"/>
      <c r="CZ350" s="7"/>
      <c r="DA350" s="7"/>
      <c r="DB350" s="7"/>
      <c r="DC350" s="7"/>
      <c r="DD350" s="7"/>
      <c r="DE350" s="74"/>
      <c r="DF350" s="74"/>
      <c r="DG350" s="74"/>
      <c r="DH350" s="74"/>
      <c r="DI350" s="74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8">
        <f t="shared" si="75"/>
        <v>65.219156740599729</v>
      </c>
      <c r="EA350" s="3" t="str">
        <f t="shared" si="76"/>
        <v>Roberts, Conrad</v>
      </c>
      <c r="EB350" s="2">
        <f t="shared" si="77"/>
        <v>0</v>
      </c>
      <c r="EC350" s="112">
        <f t="shared" si="86"/>
        <v>65.219156740599729</v>
      </c>
      <c r="ED350" s="29">
        <f t="shared" si="78"/>
        <v>0</v>
      </c>
      <c r="EE350" s="2">
        <f t="shared" si="79"/>
        <v>0</v>
      </c>
      <c r="EF350" s="46">
        <f t="shared" si="80"/>
        <v>0</v>
      </c>
      <c r="EG350" s="46">
        <f t="shared" si="81"/>
        <v>0</v>
      </c>
      <c r="EH350" s="2" t="str">
        <f t="shared" si="82"/>
        <v>MN</v>
      </c>
      <c r="EI350" s="29">
        <f>IF(COUNT(I350:Y350)&lt;5,DZ350,SUMPRODUCT(LARGE(I350:Y350,{1,2,3,4,5}))/5)</f>
        <v>65.219156740599729</v>
      </c>
      <c r="EJ350" s="29">
        <f>IF(COUNT(I350:AX350)&lt;5,DZ350,SUMPRODUCT(LARGE(I350:AX350,{1,2,3,4,5}))/5)</f>
        <v>65.219156740599729</v>
      </c>
      <c r="EK350" s="112">
        <f>IF(EG350&lt;0,AVERAGE(I350:DY350),0)</f>
        <v>0</v>
      </c>
      <c r="EL350" s="29">
        <f t="shared" si="83"/>
        <v>0</v>
      </c>
      <c r="EM350" s="116" t="str">
        <f t="shared" si="84"/>
        <v>Roberts, Conrad</v>
      </c>
      <c r="EQ350"/>
    </row>
    <row r="351" spans="1:147" x14ac:dyDescent="0.25">
      <c r="A351" s="59">
        <f t="shared" si="85"/>
        <v>348</v>
      </c>
      <c r="B351" s="32" t="s">
        <v>532</v>
      </c>
      <c r="C351" s="5" t="s">
        <v>6</v>
      </c>
      <c r="D351" s="6" t="s">
        <v>63</v>
      </c>
      <c r="E351" s="6">
        <v>45.842153082400259</v>
      </c>
      <c r="F351" s="6">
        <v>52.635124150761698</v>
      </c>
      <c r="G351" s="5">
        <f t="shared" si="73"/>
        <v>4</v>
      </c>
      <c r="H351" s="37">
        <v>45.842153082400259</v>
      </c>
      <c r="I351" s="36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227"/>
      <c r="Z351" s="228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4"/>
      <c r="AP351" s="7"/>
      <c r="AQ351" s="74"/>
      <c r="AR351" s="70"/>
      <c r="AS351" s="7"/>
      <c r="AT351" s="7"/>
      <c r="AU351" s="7"/>
      <c r="AV351" s="7"/>
      <c r="AW351" s="7">
        <f>(INDEX('Race 41'!$E$8:$E$200,(MATCH($B351,'Race 41'!$B$8:$B$200,0)),1))*100</f>
        <v>51.004410724834813</v>
      </c>
      <c r="AX351" s="8">
        <f>(INDEX('Race 42'!$E$8:$E$200,(MATCH($B351,'Race 42'!$B$8:$B$200,0)),1))*100</f>
        <v>54.265837576688583</v>
      </c>
      <c r="AY351" s="36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14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>
        <f>(INDEX('Race 75'!$E$8:$E$200,(MATCH($B351,'Race 75'!$B$8:$B$200,0)),1))*100</f>
        <v>51.464456746138573</v>
      </c>
      <c r="CF351" s="7">
        <f>(INDEX('Race 76'!$E$8:$E$200,(MATCH($B351,'Race 76'!$B$8:$B$200,0)),1))*100</f>
        <v>51.756217911008719</v>
      </c>
      <c r="CG351" s="7"/>
      <c r="CH351" s="7"/>
      <c r="CI351" s="7"/>
      <c r="CJ351" s="7"/>
      <c r="CK351" s="101"/>
      <c r="CL351" s="74"/>
      <c r="CM351" s="74"/>
      <c r="CN351" s="74"/>
      <c r="CO351" s="70"/>
      <c r="CP351" s="74"/>
      <c r="CQ351" s="7"/>
      <c r="CR351" s="74"/>
      <c r="CS351" s="74"/>
      <c r="CT351" s="74"/>
      <c r="CU351" s="74"/>
      <c r="CV351" s="74"/>
      <c r="CW351" s="7"/>
      <c r="CX351" s="7"/>
      <c r="CY351" s="7"/>
      <c r="CZ351" s="74"/>
      <c r="DA351" s="7"/>
      <c r="DB351" s="7"/>
      <c r="DC351" s="7"/>
      <c r="DD351" s="7"/>
      <c r="DE351" s="74"/>
      <c r="DF351" s="74"/>
      <c r="DG351" s="74"/>
      <c r="DH351" s="74"/>
      <c r="DI351" s="74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4"/>
      <c r="DU351" s="7"/>
      <c r="DV351" s="7"/>
      <c r="DW351" s="7"/>
      <c r="DX351" s="7"/>
      <c r="DY351" s="7"/>
      <c r="DZ351" s="8">
        <f t="shared" si="75"/>
        <v>52.122730739667674</v>
      </c>
      <c r="EA351" s="3" t="str">
        <f t="shared" si="76"/>
        <v>Roberts, David</v>
      </c>
      <c r="EB351" s="2">
        <f t="shared" si="77"/>
        <v>1</v>
      </c>
      <c r="EC351" s="112">
        <f t="shared" si="86"/>
        <v>45.842153082400259</v>
      </c>
      <c r="ED351" s="29">
        <f t="shared" si="78"/>
        <v>51.281710684442814</v>
      </c>
      <c r="EE351" s="2">
        <f t="shared" si="79"/>
        <v>0</v>
      </c>
      <c r="EF351" s="46">
        <f t="shared" si="80"/>
        <v>2</v>
      </c>
      <c r="EG351" s="46">
        <f t="shared" si="81"/>
        <v>4</v>
      </c>
      <c r="EH351" s="2" t="str">
        <f t="shared" si="82"/>
        <v>VT</v>
      </c>
      <c r="EI351" s="29">
        <f>IF(COUNT(I351:Y351)&lt;5,DZ351,SUMPRODUCT(LARGE(I351:Y351,{1,2,3,4,5}))/5)</f>
        <v>52.122730739667674</v>
      </c>
      <c r="EJ351" s="29">
        <f>IF(COUNT(I351:AX351)&lt;5,DZ351,SUMPRODUCT(LARGE(I351:AX351,{1,2,3,4,5}))/5)</f>
        <v>52.122730739667674</v>
      </c>
      <c r="EK351" s="112">
        <f>IF(COUNT(I351:DY351)&lt;5,AVERAGE(I351:DY351),SUMPRODUCT(LARGE(I351:DY351,{1,2,3,4,5}))/5)</f>
        <v>52.122730739667674</v>
      </c>
      <c r="EL351" s="29">
        <f t="shared" si="83"/>
        <v>51.281710684442814</v>
      </c>
      <c r="EM351" s="116" t="str">
        <f t="shared" si="84"/>
        <v>Roberts, David</v>
      </c>
      <c r="EQ351"/>
    </row>
    <row r="352" spans="1:147" x14ac:dyDescent="0.25">
      <c r="A352" s="59">
        <f t="shared" si="85"/>
        <v>349</v>
      </c>
      <c r="B352" s="32" t="s">
        <v>1119</v>
      </c>
      <c r="C352" s="5" t="s">
        <v>6</v>
      </c>
      <c r="D352" s="6" t="s">
        <v>58</v>
      </c>
      <c r="E352" s="6">
        <v>0</v>
      </c>
      <c r="F352" s="6">
        <v>86.746926051346932</v>
      </c>
      <c r="G352" s="5">
        <f t="shared" si="73"/>
        <v>5</v>
      </c>
      <c r="H352" s="37">
        <v>0</v>
      </c>
      <c r="I352" s="36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227"/>
      <c r="Z352" s="228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4"/>
      <c r="AP352" s="7"/>
      <c r="AQ352" s="74"/>
      <c r="AR352" s="70"/>
      <c r="AS352" s="7"/>
      <c r="AT352" s="7"/>
      <c r="AU352" s="7"/>
      <c r="AV352" s="7"/>
      <c r="AW352" s="7">
        <f>(INDEX('Race 41'!$E$8:$E$200,(MATCH($B352,'Race 41'!$B$8:$B$200,0)),1))*100</f>
        <v>85.19248518528066</v>
      </c>
      <c r="AX352" s="8">
        <f>(INDEX('Race 42'!$E$8:$E$200,(MATCH($B352,'Race 42'!$B$8:$B$200,0)),1))*100</f>
        <v>89.253883637894916</v>
      </c>
      <c r="AY352" s="36">
        <f>(INDEX('Race 43'!$E$8:$E$200,(MATCH($B352,'Race 43'!$B$8:$B$200,0)),1))*100</f>
        <v>86.893158742336695</v>
      </c>
      <c r="AZ352" s="7">
        <f>(INDEX('Race 44'!$E$8:$E$200,(MATCH($B352,'Race 44'!$B$8:$B$200,0)),1))*100</f>
        <v>90.088208625536339</v>
      </c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14"/>
      <c r="BL352" s="7"/>
      <c r="BM352" s="7"/>
      <c r="BN352" s="74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101"/>
      <c r="CL352" s="74"/>
      <c r="CM352" s="74"/>
      <c r="CN352" s="74"/>
      <c r="CO352" s="70"/>
      <c r="CP352" s="74"/>
      <c r="CQ352" s="7"/>
      <c r="CR352" s="74"/>
      <c r="CS352" s="74"/>
      <c r="CT352" s="74"/>
      <c r="CU352" s="74"/>
      <c r="CV352" s="7"/>
      <c r="CW352" s="7"/>
      <c r="CX352" s="7"/>
      <c r="CY352" s="7"/>
      <c r="CZ352" s="7">
        <f>(INDEX('Race 96'!$E$8:$E$200,(MATCH($B352,'Race 96'!$B$8:$B$200,0)),1))*100</f>
        <v>88.118137878814991</v>
      </c>
      <c r="DA352" s="7"/>
      <c r="DB352" s="7"/>
      <c r="DC352" s="7"/>
      <c r="DD352" s="7"/>
      <c r="DE352" s="74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8">
        <f t="shared" si="75"/>
        <v>87.909174813972726</v>
      </c>
      <c r="EA352" s="3" t="str">
        <f t="shared" si="76"/>
        <v>Roberts, Wynn</v>
      </c>
      <c r="EB352" s="2">
        <f t="shared" si="77"/>
        <v>1</v>
      </c>
      <c r="EC352" s="29">
        <v>0</v>
      </c>
      <c r="ED352" s="29">
        <f t="shared" si="78"/>
        <v>86.490726892928706</v>
      </c>
      <c r="EE352" s="2">
        <f t="shared" si="79"/>
        <v>0</v>
      </c>
      <c r="EF352" s="46">
        <f t="shared" si="80"/>
        <v>4</v>
      </c>
      <c r="EG352" s="46">
        <f t="shared" si="81"/>
        <v>5</v>
      </c>
      <c r="EH352" s="29" t="str">
        <f t="shared" si="82"/>
        <v>MN</v>
      </c>
      <c r="EI352" s="29">
        <f>IF(COUNT(I352:AD352)&lt;5,DZ352,SUMPRODUCT(LARGE(I352:AD352,{1,2,3,4,5}))/5)</f>
        <v>87.909174813972726</v>
      </c>
      <c r="EJ352" s="29">
        <f>IF(COUNT(I352:AX352)&lt;5,DZ352,SUMPRODUCT(LARGE(I352:AX352,{1,2,3,4,5}))/5)</f>
        <v>87.909174813972726</v>
      </c>
      <c r="EK352" s="112">
        <f>IF(COUNT(I352:DY352)&lt;5,AVERAGE(I352:DY352),SUMPRODUCT(LARGE(I352:DY352,{1,2,3,4,5}))/5)</f>
        <v>87.909174813972726</v>
      </c>
      <c r="EL352" s="29">
        <f t="shared" si="83"/>
        <v>86.490726892928706</v>
      </c>
      <c r="EM352" s="116" t="str">
        <f t="shared" si="84"/>
        <v>Roberts, Wynn</v>
      </c>
      <c r="EQ352"/>
    </row>
    <row r="353" spans="1:147" x14ac:dyDescent="0.25">
      <c r="A353" s="59">
        <f t="shared" si="85"/>
        <v>350</v>
      </c>
      <c r="B353" s="32" t="s">
        <v>910</v>
      </c>
      <c r="C353" s="5" t="s">
        <v>6</v>
      </c>
      <c r="D353" s="6" t="s">
        <v>67</v>
      </c>
      <c r="E353" s="6">
        <v>63.178695554941498</v>
      </c>
      <c r="F353" s="6">
        <v>63.178695554941498</v>
      </c>
      <c r="G353" s="5">
        <f t="shared" si="73"/>
        <v>1</v>
      </c>
      <c r="H353" s="37">
        <v>59.574050773297316</v>
      </c>
      <c r="I353" s="36"/>
      <c r="J353" s="7"/>
      <c r="K353" s="7"/>
      <c r="L353" s="7"/>
      <c r="M353" s="7"/>
      <c r="N353" s="7"/>
      <c r="O353" s="7">
        <f>(INDEX('Race 7'!$E$8:$E$200,(MATCH($B353,'Race 7'!$B$8:$B$200,0)),1))*100</f>
        <v>63.178695554941498</v>
      </c>
      <c r="P353" s="7"/>
      <c r="Q353" s="7"/>
      <c r="R353" s="7"/>
      <c r="S353" s="7"/>
      <c r="T353" s="7"/>
      <c r="U353" s="7"/>
      <c r="V353" s="7"/>
      <c r="W353" s="7"/>
      <c r="X353" s="7"/>
      <c r="Y353" s="227"/>
      <c r="Z353" s="228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4"/>
      <c r="AP353" s="7"/>
      <c r="AQ353" s="74"/>
      <c r="AR353" s="70"/>
      <c r="AS353" s="7"/>
      <c r="AT353" s="7"/>
      <c r="AU353" s="7"/>
      <c r="AV353" s="7"/>
      <c r="AW353" s="7"/>
      <c r="AX353" s="8"/>
      <c r="AY353" s="36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14"/>
      <c r="BL353" s="7"/>
      <c r="BM353" s="7"/>
      <c r="BN353" s="74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4"/>
      <c r="CF353" s="74"/>
      <c r="CG353" s="7"/>
      <c r="CH353" s="7"/>
      <c r="CI353" s="7"/>
      <c r="CJ353" s="7"/>
      <c r="CK353" s="101"/>
      <c r="CL353" s="74"/>
      <c r="CM353" s="74"/>
      <c r="CN353" s="74"/>
      <c r="CO353" s="70"/>
      <c r="CP353" s="74"/>
      <c r="CQ353" s="7"/>
      <c r="CR353" s="74"/>
      <c r="CS353" s="74"/>
      <c r="CT353" s="74"/>
      <c r="CU353" s="74"/>
      <c r="CV353" s="7"/>
      <c r="CW353" s="7"/>
      <c r="CX353" s="7"/>
      <c r="CY353" s="7"/>
      <c r="CZ353" s="7"/>
      <c r="DA353" s="7"/>
      <c r="DB353" s="7"/>
      <c r="DC353" s="7"/>
      <c r="DD353" s="7"/>
      <c r="DE353" s="74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8">
        <f t="shared" si="75"/>
        <v>63.178695554941498</v>
      </c>
      <c r="EA353" s="3" t="str">
        <f t="shared" si="76"/>
        <v>Robinson, Gerald</v>
      </c>
      <c r="EB353" s="2">
        <f t="shared" si="77"/>
        <v>1</v>
      </c>
      <c r="EC353" s="112">
        <f t="shared" ref="EC353:EC401" si="87">H353</f>
        <v>59.574050773297316</v>
      </c>
      <c r="ED353" s="29">
        <f t="shared" si="78"/>
        <v>62.159283308679157</v>
      </c>
      <c r="EE353" s="2">
        <f t="shared" si="79"/>
        <v>1</v>
      </c>
      <c r="EF353" s="46">
        <f t="shared" si="80"/>
        <v>1</v>
      </c>
      <c r="EG353" s="46">
        <f t="shared" si="81"/>
        <v>1</v>
      </c>
      <c r="EH353" s="29" t="str">
        <f t="shared" si="82"/>
        <v>UT</v>
      </c>
      <c r="EI353" s="29">
        <f>IF(COUNT(I353:Y353)&lt;5,DZ353,SUMPRODUCT(LARGE(I353:Y353,{1,2,3,4,5}))/5)</f>
        <v>63.178695554941498</v>
      </c>
      <c r="EJ353" s="29">
        <f>IF(COUNT(I353:AX353)&lt;5,DZ353,SUMPRODUCT(LARGE(I353:AX353,{1,2,3,4,5}))/5)</f>
        <v>63.178695554941498</v>
      </c>
      <c r="EK353" s="29">
        <f>IF(COUNT(I353:DY353)&lt;5,AVERAGE(I353:DY353),SUMPRODUCT(LARGE(I353:DY353,{1,2,3,4,5}))/5)</f>
        <v>63.178695554941498</v>
      </c>
      <c r="EL353" s="29">
        <f t="shared" si="83"/>
        <v>62.159283308679157</v>
      </c>
      <c r="EM353" s="116" t="str">
        <f t="shared" si="84"/>
        <v>Robinson, Gerald</v>
      </c>
      <c r="EQ353"/>
    </row>
    <row r="354" spans="1:147" x14ac:dyDescent="0.25">
      <c r="A354" s="59">
        <f t="shared" si="85"/>
        <v>351</v>
      </c>
      <c r="B354" s="32" t="s">
        <v>710</v>
      </c>
      <c r="C354" s="5" t="s">
        <v>6</v>
      </c>
      <c r="D354" s="6" t="s">
        <v>67</v>
      </c>
      <c r="E354" s="6">
        <v>55.346530216192669</v>
      </c>
      <c r="F354" s="6">
        <v>55.86857146731198</v>
      </c>
      <c r="G354" s="5">
        <f t="shared" ref="G354:G417" si="88">COUNT(I354:DY354)</f>
        <v>8</v>
      </c>
      <c r="H354" s="37">
        <v>48.874975733917452</v>
      </c>
      <c r="I354" s="107">
        <f>(INDEX('Race 1'!$E$8:$E$200,(MATCH($B354,'Race 1'!$B$8:$B$200,0)),1))*100</f>
        <v>56.364658137854228</v>
      </c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227"/>
      <c r="Z354" s="228"/>
      <c r="AA354" s="7"/>
      <c r="AB354" s="7"/>
      <c r="AC354" s="7"/>
      <c r="AD354" s="74">
        <f>(INDEX('Race 22'!$E$8:$E$200,(MATCH($B354,'Race 22'!$B$8:$B$200,0)),1))*100</f>
        <v>57.035222333886551</v>
      </c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4"/>
      <c r="AP354" s="7"/>
      <c r="AQ354" s="74"/>
      <c r="AR354" s="70"/>
      <c r="AS354" s="7"/>
      <c r="AT354" s="7"/>
      <c r="AU354" s="7"/>
      <c r="AV354" s="7"/>
      <c r="AW354" s="7">
        <f>(INDEX('Race 41'!$E$8:$E$200,(MATCH($B354,'Race 41'!$B$8:$B$200,0)),1))*100</f>
        <v>54.795010899326421</v>
      </c>
      <c r="AX354" s="8">
        <f>(INDEX('Race 42'!$E$8:$E$200,(MATCH($B354,'Race 42'!$B$8:$B$200,0)),1))*100</f>
        <v>55.279394498180714</v>
      </c>
      <c r="AY354" s="36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14"/>
      <c r="BL354" s="7"/>
      <c r="BM354" s="7"/>
      <c r="BN354" s="74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>
        <f>(INDEX('Race 75'!$E$8:$E$200,(MATCH($B354,'Race 75'!$B$8:$B$200,0)),1))*100</f>
        <v>57.213008016572118</v>
      </c>
      <c r="CF354" s="7">
        <f>(INDEX('Race 76'!$E$8:$E$200,(MATCH($B354,'Race 76'!$B$8:$B$200,0)),1))*100</f>
        <v>54.769422378431408</v>
      </c>
      <c r="CG354" s="7"/>
      <c r="CH354" s="7"/>
      <c r="CI354" s="7"/>
      <c r="CJ354" s="7"/>
      <c r="CK354" s="101"/>
      <c r="CL354" s="74"/>
      <c r="CM354" s="74"/>
      <c r="CN354" s="74"/>
      <c r="CO354" s="70">
        <f>(INDEX('Race 85'!$E$8:$E$200,(MATCH($B354,'Race 85'!$B$8:$B$200,0)),1))*100</f>
        <v>50.127326177424827</v>
      </c>
      <c r="CP354" s="74"/>
      <c r="CQ354" s="7"/>
      <c r="CR354" s="74"/>
      <c r="CS354" s="74"/>
      <c r="CT354" s="74"/>
      <c r="CU354" s="74"/>
      <c r="CV354" s="7">
        <f>(INDEX('Race 92'!$E$8:$E$200,(MATCH($B354,'Race 92'!$B$8:$B$200,0)),1))*100</f>
        <v>48.63813358165234</v>
      </c>
      <c r="CW354" s="7"/>
      <c r="CX354" s="7"/>
      <c r="CY354" s="7"/>
      <c r="CZ354" s="7"/>
      <c r="DA354" s="7"/>
      <c r="DB354" s="7"/>
      <c r="DC354" s="7"/>
      <c r="DD354" s="7"/>
      <c r="DE354" s="74"/>
      <c r="DF354" s="74"/>
      <c r="DG354" s="74"/>
      <c r="DH354" s="7"/>
      <c r="DI354" s="74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8">
        <f t="shared" si="75"/>
        <v>54.27777200291608</v>
      </c>
      <c r="EA354" s="3" t="str">
        <f t="shared" si="76"/>
        <v>Robison, Shawn</v>
      </c>
      <c r="EB354" s="2">
        <f t="shared" si="77"/>
        <v>1</v>
      </c>
      <c r="EC354" s="112">
        <f t="shared" si="87"/>
        <v>48.874975733917452</v>
      </c>
      <c r="ED354" s="29">
        <f t="shared" si="78"/>
        <v>55.231659560373878</v>
      </c>
      <c r="EE354" s="2">
        <f t="shared" si="79"/>
        <v>2</v>
      </c>
      <c r="EF354" s="46">
        <f t="shared" si="80"/>
        <v>4</v>
      </c>
      <c r="EG354" s="46">
        <f t="shared" si="81"/>
        <v>8</v>
      </c>
      <c r="EH354" s="2" t="str">
        <f t="shared" si="82"/>
        <v>UT</v>
      </c>
      <c r="EI354" s="29">
        <f>IF(COUNT(I354:Y354)&lt;5,DZ354,SUMPRODUCT(LARGE(I354:Y354,{1,2,3,4,5}))/5)</f>
        <v>54.27777200291608</v>
      </c>
      <c r="EJ354" s="29">
        <f>IF(COUNT(I354:AX354)&lt;5,DZ354,SUMPRODUCT(LARGE(I354:AX354,{1,2,3,4,5}))/5)</f>
        <v>54.27777200291608</v>
      </c>
      <c r="EK354" s="29">
        <f>IF(COUNT(I354:DY354)&lt;5,AVERAGE(I354:DY354),SUMPRODUCT(LARGE(I354:DY354,{1,2,3,4,5}))/5)</f>
        <v>56.137458777164014</v>
      </c>
      <c r="EL354" s="29">
        <f t="shared" si="83"/>
        <v>55.231659560373878</v>
      </c>
      <c r="EM354" s="116" t="str">
        <f t="shared" si="84"/>
        <v>Robison, Shawn</v>
      </c>
      <c r="EQ354"/>
    </row>
    <row r="355" spans="1:147" x14ac:dyDescent="0.25">
      <c r="A355" s="59">
        <f t="shared" si="85"/>
        <v>352</v>
      </c>
      <c r="B355" s="32" t="s">
        <v>721</v>
      </c>
      <c r="C355" s="5" t="s">
        <v>6</v>
      </c>
      <c r="D355" s="6" t="s">
        <v>89</v>
      </c>
      <c r="E355" s="6">
        <v>53.722167631725</v>
      </c>
      <c r="F355" s="6">
        <v>56.531401063788202</v>
      </c>
      <c r="G355" s="5">
        <f t="shared" si="88"/>
        <v>4</v>
      </c>
      <c r="H355" s="37">
        <v>53.722167631725</v>
      </c>
      <c r="I355" s="36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227"/>
      <c r="Z355" s="228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4"/>
      <c r="AP355" s="7"/>
      <c r="AQ355" s="74"/>
      <c r="AR355" s="70"/>
      <c r="AS355" s="7"/>
      <c r="AT355" s="7"/>
      <c r="AU355" s="7"/>
      <c r="AV355" s="7"/>
      <c r="AW355" s="7">
        <f>(INDEX('Race 41'!$E$8:$E$200,(MATCH($B355,'Race 41'!$B$8:$B$200,0)),1))*100</f>
        <v>53.893294302054699</v>
      </c>
      <c r="AX355" s="8">
        <f>(INDEX('Race 42'!$E$8:$E$200,(MATCH($B355,'Race 42'!$B$8:$B$200,0)),1))*100</f>
        <v>59.169507825521706</v>
      </c>
      <c r="AY355" s="36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14"/>
      <c r="BL355" s="7"/>
      <c r="BM355" s="7"/>
      <c r="BN355" s="74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>
        <f>(INDEX('Race 75'!$E$8:$E$200,(MATCH($B355,'Race 75'!$B$8:$B$200,0)),1))*100</f>
        <v>56.220711048990339</v>
      </c>
      <c r="CF355" s="7">
        <f>(INDEX('Race 76'!$E$8:$E$200,(MATCH($B355,'Race 76'!$B$8:$B$200,0)),1))*100</f>
        <v>58.452746105632535</v>
      </c>
      <c r="CG355" s="7"/>
      <c r="CH355" s="7"/>
      <c r="CI355" s="7"/>
      <c r="CJ355" s="7"/>
      <c r="CK355" s="101"/>
      <c r="CL355" s="74"/>
      <c r="CM355" s="74"/>
      <c r="CN355" s="74"/>
      <c r="CO355" s="70"/>
      <c r="CP355" s="74"/>
      <c r="CQ355" s="7"/>
      <c r="CR355" s="74"/>
      <c r="CS355" s="74"/>
      <c r="CT355" s="74"/>
      <c r="CU355" s="74"/>
      <c r="CV355" s="7"/>
      <c r="CW355" s="7"/>
      <c r="CX355" s="7"/>
      <c r="CY355" s="7"/>
      <c r="CZ355" s="7"/>
      <c r="DA355" s="7"/>
      <c r="DB355" s="7"/>
      <c r="DC355" s="7"/>
      <c r="DD355" s="7"/>
      <c r="DE355" s="74"/>
      <c r="DF355" s="74"/>
      <c r="DG355" s="74"/>
      <c r="DH355" s="7"/>
      <c r="DI355" s="74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8">
        <f t="shared" si="75"/>
        <v>56.934064820549821</v>
      </c>
      <c r="EA355" s="3" t="str">
        <f t="shared" si="76"/>
        <v>Roe, Kyle</v>
      </c>
      <c r="EB355" s="2">
        <f t="shared" si="77"/>
        <v>1</v>
      </c>
      <c r="EC355" s="112">
        <f t="shared" si="87"/>
        <v>53.722167631725</v>
      </c>
      <c r="ED355" s="29">
        <f t="shared" si="78"/>
        <v>56.01541206272119</v>
      </c>
      <c r="EE355" s="2">
        <f t="shared" si="79"/>
        <v>0</v>
      </c>
      <c r="EF355" s="46">
        <f t="shared" si="80"/>
        <v>2</v>
      </c>
      <c r="EG355" s="46">
        <f t="shared" si="81"/>
        <v>4</v>
      </c>
      <c r="EH355" s="2" t="str">
        <f t="shared" si="82"/>
        <v>OR</v>
      </c>
      <c r="EI355" s="29">
        <f>IF(COUNT(I355:Y355)&lt;5,DZ355,SUMPRODUCT(LARGE(I355:Y355,{1,2,3,4,5}))/5)</f>
        <v>56.934064820549821</v>
      </c>
      <c r="EJ355" s="29">
        <f>IF(COUNT(I355:AX355)&lt;5,DZ355,SUMPRODUCT(LARGE(I355:AX355,{1,2,3,4,5}))/5)</f>
        <v>56.934064820549821</v>
      </c>
      <c r="EK355" s="112">
        <f>IF(COUNT(I355:DY355)&lt;5,AVERAGE(I355:DY355),SUMPRODUCT(LARGE(I355:DY355,{1,2,3,4,5}))/5)</f>
        <v>56.934064820549821</v>
      </c>
      <c r="EL355" s="29">
        <f t="shared" si="83"/>
        <v>56.01541206272119</v>
      </c>
      <c r="EM355" s="116" t="str">
        <f t="shared" si="84"/>
        <v>Roe, Kyle</v>
      </c>
      <c r="EQ355"/>
    </row>
    <row r="356" spans="1:147" x14ac:dyDescent="0.25">
      <c r="A356" s="59">
        <f t="shared" si="85"/>
        <v>353</v>
      </c>
      <c r="B356" s="186" t="s">
        <v>1031</v>
      </c>
      <c r="C356" s="106" t="s">
        <v>6</v>
      </c>
      <c r="D356" s="187" t="s">
        <v>58</v>
      </c>
      <c r="E356" s="6">
        <v>66.706544071972274</v>
      </c>
      <c r="F356" s="6">
        <v>66.706544071972274</v>
      </c>
      <c r="G356" s="5">
        <f t="shared" si="88"/>
        <v>2</v>
      </c>
      <c r="H356" s="37">
        <v>0</v>
      </c>
      <c r="I356" s="107"/>
      <c r="J356" s="74"/>
      <c r="K356" s="74"/>
      <c r="L356" s="74"/>
      <c r="M356" s="74"/>
      <c r="N356" s="74"/>
      <c r="O356" s="74"/>
      <c r="P356" s="74"/>
      <c r="Q356" s="74"/>
      <c r="R356" s="74"/>
      <c r="S356" s="7"/>
      <c r="T356" s="7">
        <f>(INDEX('Race 12'!$E$8:$E$200,(MATCH($B356,'Race 12'!$B$8:$B$200,0)),1))*100</f>
        <v>66.188286076963223</v>
      </c>
      <c r="U356" s="74"/>
      <c r="V356" s="74"/>
      <c r="W356" s="7">
        <f>(INDEX('Race 15'!$E$8:$E$200,(MATCH($B356,'Race 15'!$B$8:$B$200,0)),1))*100</f>
        <v>67.224802066981326</v>
      </c>
      <c r="X356" s="74"/>
      <c r="Y356" s="229"/>
      <c r="Z356" s="230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101"/>
      <c r="AS356" s="74"/>
      <c r="AT356" s="101"/>
      <c r="AU356" s="74"/>
      <c r="AV356" s="101"/>
      <c r="AW356" s="74"/>
      <c r="AX356" s="8"/>
      <c r="AY356" s="36"/>
      <c r="AZ356" s="74"/>
      <c r="BA356" s="74"/>
      <c r="BB356" s="74"/>
      <c r="BC356" s="74"/>
      <c r="BD356" s="7"/>
      <c r="BE356" s="7"/>
      <c r="BF356" s="74"/>
      <c r="BG356" s="74"/>
      <c r="BH356" s="74"/>
      <c r="BI356" s="74"/>
      <c r="BJ356" s="74"/>
      <c r="BK356" s="103"/>
      <c r="BL356" s="74"/>
      <c r="BM356" s="74"/>
      <c r="BN356" s="74"/>
      <c r="BO356" s="74"/>
      <c r="BP356" s="7"/>
      <c r="BQ356" s="7"/>
      <c r="BR356" s="74"/>
      <c r="BS356" s="7"/>
      <c r="BT356" s="7"/>
      <c r="BU356" s="74"/>
      <c r="BV356" s="74"/>
      <c r="BW356" s="74"/>
      <c r="BX356" s="74"/>
      <c r="BY356" s="74"/>
      <c r="BZ356" s="74"/>
      <c r="CA356" s="7"/>
      <c r="CB356" s="74"/>
      <c r="CC356" s="74"/>
      <c r="CD356" s="74"/>
      <c r="CE356" s="74"/>
      <c r="CF356" s="74"/>
      <c r="CG356" s="74"/>
      <c r="CH356" s="74"/>
      <c r="CI356" s="74"/>
      <c r="CJ356" s="74"/>
      <c r="CK356" s="101"/>
      <c r="CL356" s="74"/>
      <c r="CM356" s="74"/>
      <c r="CN356" s="74"/>
      <c r="CO356" s="101"/>
      <c r="CP356" s="74"/>
      <c r="CQ356" s="74"/>
      <c r="CR356" s="74"/>
      <c r="CS356" s="74"/>
      <c r="CT356" s="74"/>
      <c r="CU356" s="74"/>
      <c r="CV356" s="74"/>
      <c r="CW356" s="74"/>
      <c r="CX356" s="7"/>
      <c r="CY356" s="7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8">
        <f t="shared" si="75"/>
        <v>66.706544071972274</v>
      </c>
      <c r="EA356" s="3" t="str">
        <f t="shared" si="76"/>
        <v>Rogers, Philip</v>
      </c>
      <c r="EB356" s="2">
        <f t="shared" si="77"/>
        <v>1</v>
      </c>
      <c r="EC356" s="112">
        <f t="shared" si="87"/>
        <v>0</v>
      </c>
      <c r="ED356" s="29">
        <f t="shared" si="78"/>
        <v>65.630208650110461</v>
      </c>
      <c r="EE356" s="2">
        <f t="shared" si="79"/>
        <v>2</v>
      </c>
      <c r="EF356" s="46">
        <f t="shared" si="80"/>
        <v>2</v>
      </c>
      <c r="EG356" s="46">
        <f t="shared" si="81"/>
        <v>2</v>
      </c>
      <c r="EH356" s="29" t="str">
        <f t="shared" si="82"/>
        <v>MN</v>
      </c>
      <c r="EI356" s="29">
        <f>IF(COUNT(I356:Y356)&lt;5,DZ356,SUMPRODUCT(LARGE(I356:Y356,{1,2,3,4,5}))/5)</f>
        <v>66.706544071972274</v>
      </c>
      <c r="EJ356" s="29">
        <f>IF(COUNT(I356:AX356)&lt;5,DZ356,SUMPRODUCT(LARGE(I356:AX356,{1,2,3,4,5}))/5)</f>
        <v>66.706544071972274</v>
      </c>
      <c r="EK356" s="29">
        <f>IF(COUNT(I356:DY356)&lt;5,AVERAGE(I356:DY356),SUMPRODUCT(LARGE(I356:DY356,{1,2,3,4,5}))/5)</f>
        <v>66.706544071972274</v>
      </c>
      <c r="EL356" s="29">
        <f t="shared" si="83"/>
        <v>65.630208650110461</v>
      </c>
      <c r="EM356" s="116" t="str">
        <f t="shared" si="84"/>
        <v>Rogers, Philip</v>
      </c>
      <c r="EQ356"/>
    </row>
    <row r="357" spans="1:147" x14ac:dyDescent="0.25">
      <c r="A357" s="59">
        <f t="shared" si="85"/>
        <v>354</v>
      </c>
      <c r="B357" s="54" t="s">
        <v>14</v>
      </c>
      <c r="C357" s="55" t="s">
        <v>6</v>
      </c>
      <c r="D357" s="55" t="s">
        <v>57</v>
      </c>
      <c r="E357" s="6">
        <v>44.279717789493709</v>
      </c>
      <c r="F357" s="6">
        <v>48.837383281475624</v>
      </c>
      <c r="G357" s="5">
        <f t="shared" si="88"/>
        <v>2</v>
      </c>
      <c r="H357" s="99">
        <v>44.279717789493709</v>
      </c>
      <c r="I357" s="107"/>
      <c r="J357" s="7"/>
      <c r="K357" s="74"/>
      <c r="L357" s="7"/>
      <c r="M357" s="74"/>
      <c r="N357" s="74"/>
      <c r="O357" s="7"/>
      <c r="P357" s="74"/>
      <c r="Q357" s="74"/>
      <c r="R357" s="74"/>
      <c r="S357" s="74"/>
      <c r="T357" s="7"/>
      <c r="U357" s="7"/>
      <c r="V357" s="74"/>
      <c r="W357" s="7"/>
      <c r="X357" s="74"/>
      <c r="Y357" s="227"/>
      <c r="Z357" s="228"/>
      <c r="AA357" s="74"/>
      <c r="AB357" s="74"/>
      <c r="AC357" s="74"/>
      <c r="AD357" s="74"/>
      <c r="AE357" s="7"/>
      <c r="AF357" s="74"/>
      <c r="AG357" s="74"/>
      <c r="AH357" s="7"/>
      <c r="AI357" s="7"/>
      <c r="AJ357" s="7"/>
      <c r="AK357" s="7"/>
      <c r="AL357" s="7"/>
      <c r="AM357" s="7"/>
      <c r="AN357" s="7"/>
      <c r="AO357" s="7"/>
      <c r="AP357" s="7"/>
      <c r="AQ357" s="74"/>
      <c r="AR357" s="70"/>
      <c r="AS357" s="7"/>
      <c r="AT357" s="101"/>
      <c r="AU357" s="7"/>
      <c r="AV357" s="101">
        <f>(INDEX('Race 40'!$E$8:$E$200,(MATCH($B357,'Race 40'!$B$8:$B$200,0)),1))*100</f>
        <v>47.680889406656881</v>
      </c>
      <c r="AW357" s="7"/>
      <c r="AX357" s="8"/>
      <c r="AY357" s="36">
        <f>(INDEX('Race 43'!$E$8:$E$200,(MATCH($B357,'Race 43'!$B$8:$B$200,0)),1))*100</f>
        <v>50.634137326287686</v>
      </c>
      <c r="AZ357" s="7"/>
      <c r="BA357" s="7"/>
      <c r="BB357" s="74"/>
      <c r="BC357" s="74"/>
      <c r="BD357" s="7"/>
      <c r="BE357" s="7"/>
      <c r="BF357" s="74"/>
      <c r="BG357" s="7"/>
      <c r="BH357" s="74"/>
      <c r="BI357" s="74"/>
      <c r="BJ357" s="74"/>
      <c r="BK357" s="14"/>
      <c r="BL357" s="74"/>
      <c r="BM357" s="7"/>
      <c r="BN357" s="74"/>
      <c r="BO357" s="7"/>
      <c r="BP357" s="7"/>
      <c r="BQ357" s="7"/>
      <c r="BR357" s="74"/>
      <c r="BS357" s="7"/>
      <c r="BT357" s="7"/>
      <c r="BU357" s="74"/>
      <c r="BV357" s="74"/>
      <c r="BW357" s="74"/>
      <c r="BX357" s="74"/>
      <c r="BY357" s="74"/>
      <c r="BZ357" s="74"/>
      <c r="CA357" s="7"/>
      <c r="CB357" s="74"/>
      <c r="CC357" s="74"/>
      <c r="CD357" s="74"/>
      <c r="CE357" s="7"/>
      <c r="CF357" s="74"/>
      <c r="CG357" s="74"/>
      <c r="CH357" s="7"/>
      <c r="CI357" s="74"/>
      <c r="CJ357" s="74"/>
      <c r="CK357" s="101"/>
      <c r="CL357" s="74"/>
      <c r="CM357" s="74"/>
      <c r="CN357" s="74"/>
      <c r="CO357" s="101"/>
      <c r="CP357" s="74"/>
      <c r="CQ357" s="74"/>
      <c r="CR357" s="74"/>
      <c r="CS357" s="74"/>
      <c r="CT357" s="74"/>
      <c r="CU357" s="74"/>
      <c r="CV357" s="74"/>
      <c r="CW357" s="74"/>
      <c r="CX357" s="7"/>
      <c r="CY357" s="7"/>
      <c r="CZ357" s="74"/>
      <c r="DA357" s="74"/>
      <c r="DB357" s="74"/>
      <c r="DC357" s="74"/>
      <c r="DD357" s="74"/>
      <c r="DE357" s="74"/>
      <c r="DF357" s="74"/>
      <c r="DG357" s="74"/>
      <c r="DH357" s="74"/>
      <c r="DI357" s="74"/>
      <c r="DJ357" s="7"/>
      <c r="DK357" s="74"/>
      <c r="DL357" s="7"/>
      <c r="DM357" s="74"/>
      <c r="DN357" s="74"/>
      <c r="DO357" s="74"/>
      <c r="DP357" s="74"/>
      <c r="DQ357" s="74"/>
      <c r="DR357" s="7"/>
      <c r="DS357" s="7"/>
      <c r="DT357" s="74"/>
      <c r="DU357" s="74"/>
      <c r="DV357" s="74"/>
      <c r="DW357" s="74"/>
      <c r="DX357" s="74"/>
      <c r="DY357" s="74"/>
      <c r="DZ357" s="8">
        <f t="shared" si="75"/>
        <v>49.157513366472287</v>
      </c>
      <c r="EA357" s="3" t="str">
        <f t="shared" si="76"/>
        <v>Roosa, Darwin</v>
      </c>
      <c r="EB357" s="2">
        <f t="shared" si="77"/>
        <v>1</v>
      </c>
      <c r="EC357" s="112">
        <f t="shared" si="87"/>
        <v>44.279717789493709</v>
      </c>
      <c r="ED357" s="29">
        <f t="shared" si="78"/>
        <v>48.364338219669705</v>
      </c>
      <c r="EE357" s="2">
        <f t="shared" si="79"/>
        <v>0</v>
      </c>
      <c r="EF357" s="46">
        <f t="shared" si="80"/>
        <v>2</v>
      </c>
      <c r="EG357" s="46">
        <f t="shared" si="81"/>
        <v>2</v>
      </c>
      <c r="EH357" s="29" t="str">
        <f t="shared" si="82"/>
        <v>NY</v>
      </c>
      <c r="EI357" s="29">
        <f>IF(COUNT(I357:Y357)&lt;5,DZ357,SUMPRODUCT(LARGE(I357:Y357,{1,2,3,4,5}))/5)</f>
        <v>49.157513366472287</v>
      </c>
      <c r="EJ357" s="29">
        <f>IF(COUNT(I357:AX357)&lt;5,DZ357,SUMPRODUCT(LARGE(I357:AX357,{1,2,3,4,5}))/5)</f>
        <v>49.157513366472287</v>
      </c>
      <c r="EK357" s="29">
        <f>IF(COUNT(I357:DY357)&lt;5,AVERAGE(I357:DY357),SUMPRODUCT(LARGE(I357:DY357,{1,2,3,4,5}))/5)</f>
        <v>49.157513366472287</v>
      </c>
      <c r="EL357" s="29">
        <f t="shared" si="83"/>
        <v>48.364338219669705</v>
      </c>
      <c r="EM357" s="116" t="str">
        <f t="shared" si="84"/>
        <v>Roosa, Darwin</v>
      </c>
      <c r="EQ357"/>
    </row>
    <row r="358" spans="1:147" x14ac:dyDescent="0.25">
      <c r="A358" s="59">
        <f t="shared" si="85"/>
        <v>355</v>
      </c>
      <c r="B358" s="32" t="s">
        <v>730</v>
      </c>
      <c r="C358" s="5" t="s">
        <v>16</v>
      </c>
      <c r="D358" s="6" t="s">
        <v>58</v>
      </c>
      <c r="E358" s="6">
        <v>74.709362098004064</v>
      </c>
      <c r="F358" s="6">
        <v>76.49851546192447</v>
      </c>
      <c r="G358" s="5">
        <f t="shared" si="88"/>
        <v>14</v>
      </c>
      <c r="H358" s="37">
        <v>69.065089787713617</v>
      </c>
      <c r="I358" s="36"/>
      <c r="J358" s="7"/>
      <c r="K358" s="7"/>
      <c r="L358" s="7"/>
      <c r="M358" s="7"/>
      <c r="N358" s="7"/>
      <c r="O358" s="7"/>
      <c r="P358" s="7"/>
      <c r="Q358" s="7">
        <f>(INDEX('Race 9'!$E$8:$E$200,(MATCH($B358,'Race 9'!$B$8:$B$200,0)),1))*100</f>
        <v>77.86148001088786</v>
      </c>
      <c r="R358" s="7"/>
      <c r="S358" s="7">
        <f>(INDEX('Race 11'!$E$8:$E$200,(MATCH($B358,'Race 11'!$B$8:$B$200,0)),1))*100</f>
        <v>72.77355594333973</v>
      </c>
      <c r="T358" s="7">
        <f>(INDEX('Race 12'!$E$8:$E$200,(MATCH($B358,'Race 12'!$B$8:$B$200,0)),1))*100</f>
        <v>74.969239952563811</v>
      </c>
      <c r="U358" s="7"/>
      <c r="V358" s="7">
        <f>(INDEX('Race 14'!$E$8:$E$200,(MATCH($B358,'Race 14'!$B$8:$B$200,0)),1))*100</f>
        <v>73.197889662081934</v>
      </c>
      <c r="W358" s="7">
        <f>(INDEX('Race 15'!$E$8:$E$200,(MATCH($B358,'Race 15'!$B$8:$B$200,0)),1))*100</f>
        <v>74.744644921147042</v>
      </c>
      <c r="X358" s="7"/>
      <c r="Y358" s="227"/>
      <c r="Z358" s="228"/>
      <c r="AA358" s="7"/>
      <c r="AB358" s="7"/>
      <c r="AC358" s="7"/>
      <c r="AD358" s="103"/>
      <c r="AE358" s="74"/>
      <c r="AF358" s="7"/>
      <c r="AG358" s="7"/>
      <c r="AH358" s="7"/>
      <c r="AI358" s="7"/>
      <c r="AJ358" s="7"/>
      <c r="AK358" s="7"/>
      <c r="AL358" s="7"/>
      <c r="AM358" s="7"/>
      <c r="AN358" s="7"/>
      <c r="AO358" s="74"/>
      <c r="AP358" s="7"/>
      <c r="AQ358" s="74"/>
      <c r="AR358" s="70"/>
      <c r="AS358" s="7"/>
      <c r="AT358" s="70"/>
      <c r="AU358" s="7"/>
      <c r="AV358" s="70"/>
      <c r="AW358" s="7">
        <f>(INDEX('Race 41'!$E$8:$E$200,(MATCH($B358,'Race 41'!$B$8:$B$200,0)),1))*100</f>
        <v>76.784720834933978</v>
      </c>
      <c r="AX358" s="8">
        <f>(INDEX('Race 42'!$E$8:$E$200,(MATCH($B358,'Race 42'!$B$8:$B$200,0)),1))*100</f>
        <v>78.132491590089643</v>
      </c>
      <c r="AY358" s="36"/>
      <c r="AZ358" s="7"/>
      <c r="BA358" s="7">
        <f>(INDEX('Race 45'!$E$8:$E$200,(MATCH($B358,'Race 45'!$B$8:$B$200,0)),1))*100</f>
        <v>82.442520838789761</v>
      </c>
      <c r="BB358" s="7"/>
      <c r="BC358" s="7"/>
      <c r="BD358" s="7">
        <f>(INDEX('Race 48'!$E$8:$E$200,(MATCH($B358,'Race 48'!$B$8:$B$200,0)),1))*100</f>
        <v>74.689796979644044</v>
      </c>
      <c r="BE358" s="7"/>
      <c r="BF358" s="7"/>
      <c r="BG358" s="7"/>
      <c r="BH358" s="7"/>
      <c r="BI358" s="7"/>
      <c r="BJ358" s="7"/>
      <c r="BK358" s="14"/>
      <c r="BL358" s="7"/>
      <c r="BM358" s="7"/>
      <c r="BN358" s="74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>
        <f>(INDEX('Race 75'!$E$8:$E$200,(MATCH($B358,'Race 75'!$B$8:$B$200,0)),1))*100</f>
        <v>81.856706274792572</v>
      </c>
      <c r="CF358" s="7">
        <f>(INDEX('Race 76'!$E$8:$E$200,(MATCH($B358,'Race 76'!$B$8:$B$200,0)),1))*100</f>
        <v>78.859326107011682</v>
      </c>
      <c r="CG358" s="7"/>
      <c r="CH358" s="74"/>
      <c r="CI358" s="7"/>
      <c r="CJ358" s="7"/>
      <c r="CK358" s="101"/>
      <c r="CL358" s="74"/>
      <c r="CM358" s="74"/>
      <c r="CN358" s="74">
        <f>(INDEX('Race 84'!$E$8:$E$200,(MATCH($B358,'Race 84'!$B$8:$B$200,0)),1))*100</f>
        <v>80.354838327256644</v>
      </c>
      <c r="CO358" s="70"/>
      <c r="CP358" s="74">
        <f>(INDEX('Race 86'!$E$8:$E$200,(MATCH($B358,'Race 86'!$B$8:$B$200,0)),1))*100</f>
        <v>80.197088467844139</v>
      </c>
      <c r="CQ358" s="7"/>
      <c r="CR358" s="74"/>
      <c r="CS358" s="74"/>
      <c r="CT358" s="74"/>
      <c r="CU358" s="74"/>
      <c r="CV358" s="7">
        <f>(INDEX('Race 92'!$E$8:$E$200,(MATCH($B358,'Race 92'!$B$8:$B$200,0)),1))*100</f>
        <v>78.14281943287402</v>
      </c>
      <c r="CW358" s="7"/>
      <c r="CX358" s="7"/>
      <c r="CY358" s="7"/>
      <c r="CZ358" s="7"/>
      <c r="DA358" s="7"/>
      <c r="DB358" s="7"/>
      <c r="DC358" s="7"/>
      <c r="DD358" s="7"/>
      <c r="DE358" s="74"/>
      <c r="DF358" s="74"/>
      <c r="DG358" s="74"/>
      <c r="DH358" s="7"/>
      <c r="DI358" s="74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8">
        <f t="shared" si="75"/>
        <v>77.500508524518338</v>
      </c>
      <c r="EA358" s="3" t="str">
        <f t="shared" si="76"/>
        <v>Rosholt, Warren</v>
      </c>
      <c r="EB358" s="2">
        <f t="shared" si="77"/>
        <v>1</v>
      </c>
      <c r="EC358" s="112">
        <f t="shared" si="87"/>
        <v>69.065089787713617</v>
      </c>
      <c r="ED358" s="29">
        <f t="shared" si="78"/>
        <v>79.439291620561747</v>
      </c>
      <c r="EE358" s="2">
        <f t="shared" si="79"/>
        <v>5</v>
      </c>
      <c r="EF358" s="46">
        <f t="shared" si="80"/>
        <v>9</v>
      </c>
      <c r="EG358" s="46">
        <f t="shared" si="81"/>
        <v>14</v>
      </c>
      <c r="EH358" s="2" t="str">
        <f t="shared" si="82"/>
        <v>MN</v>
      </c>
      <c r="EI358" s="29">
        <f>IF(COUNT(I358:Y358)&lt;5,DZ358,SUMPRODUCT(LARGE(I358:Y358,{1,2,3,4,5}))/5)</f>
        <v>74.709362098004064</v>
      </c>
      <c r="EJ358" s="29">
        <f>IF(COUNT(I358:AX358)&lt;5,DZ358,SUMPRODUCT(LARGE(I358:AX358,{1,2,3,4,5}))/5)</f>
        <v>76.49851546192447</v>
      </c>
      <c r="EK358" s="29">
        <f>IF(COUNT(I358:DY358)&lt;5,AVERAGE(I358:DY358),SUMPRODUCT(LARGE(I358:DY358,{1,2,3,4,5}))/5)</f>
        <v>80.742096003138954</v>
      </c>
      <c r="EL358" s="29">
        <f t="shared" si="83"/>
        <v>79.439291620561747</v>
      </c>
      <c r="EM358" s="116" t="str">
        <f t="shared" si="84"/>
        <v>Rosholt, Warren</v>
      </c>
      <c r="EQ358"/>
    </row>
    <row r="359" spans="1:147" x14ac:dyDescent="0.25">
      <c r="A359" s="59">
        <f t="shared" si="85"/>
        <v>356</v>
      </c>
      <c r="B359" s="32" t="s">
        <v>691</v>
      </c>
      <c r="C359" s="5" t="s">
        <v>6</v>
      </c>
      <c r="D359" s="6" t="s">
        <v>62</v>
      </c>
      <c r="E359" s="6">
        <v>48.846752952516105</v>
      </c>
      <c r="F359" s="6">
        <v>48.846752952516105</v>
      </c>
      <c r="G359" s="5">
        <f t="shared" si="88"/>
        <v>0</v>
      </c>
      <c r="H359" s="99">
        <v>48.846752952516105</v>
      </c>
      <c r="I359" s="36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227"/>
      <c r="Z359" s="228"/>
      <c r="AA359" s="7"/>
      <c r="AB359" s="7"/>
      <c r="AC359" s="7"/>
      <c r="AD359" s="14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4"/>
      <c r="AP359" s="7"/>
      <c r="AQ359" s="74"/>
      <c r="AR359" s="70"/>
      <c r="AS359" s="7"/>
      <c r="AT359" s="70"/>
      <c r="AU359" s="7"/>
      <c r="AV359" s="70"/>
      <c r="AW359" s="7"/>
      <c r="AX359" s="183"/>
      <c r="AY359" s="10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14"/>
      <c r="BL359" s="7"/>
      <c r="BM359" s="7"/>
      <c r="BN359" s="74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101"/>
      <c r="CL359" s="74"/>
      <c r="CM359" s="74"/>
      <c r="CN359" s="74"/>
      <c r="CO359" s="70"/>
      <c r="CP359" s="74"/>
      <c r="CQ359" s="7"/>
      <c r="CR359" s="74"/>
      <c r="CS359" s="74"/>
      <c r="CT359" s="74"/>
      <c r="CU359" s="74"/>
      <c r="CV359" s="7"/>
      <c r="CW359" s="7"/>
      <c r="CX359" s="7"/>
      <c r="CY359" s="7"/>
      <c r="CZ359" s="7"/>
      <c r="DA359" s="7"/>
      <c r="DB359" s="7"/>
      <c r="DC359" s="7"/>
      <c r="DD359" s="7"/>
      <c r="DE359" s="74"/>
      <c r="DF359" s="74"/>
      <c r="DG359" s="74"/>
      <c r="DH359" s="7"/>
      <c r="DI359" s="74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8">
        <f t="shared" si="75"/>
        <v>48.846752952516105</v>
      </c>
      <c r="EA359" s="3" t="str">
        <f t="shared" si="76"/>
        <v>Ruppel, David</v>
      </c>
      <c r="EB359" s="2">
        <f t="shared" si="77"/>
        <v>0</v>
      </c>
      <c r="EC359" s="112">
        <f t="shared" si="87"/>
        <v>48.846752952516105</v>
      </c>
      <c r="ED359" s="29">
        <f t="shared" si="78"/>
        <v>0</v>
      </c>
      <c r="EE359" s="2">
        <f t="shared" si="79"/>
        <v>0</v>
      </c>
      <c r="EF359" s="46">
        <f t="shared" si="80"/>
        <v>0</v>
      </c>
      <c r="EG359" s="46">
        <f t="shared" si="81"/>
        <v>0</v>
      </c>
      <c r="EH359" s="2" t="str">
        <f t="shared" si="82"/>
        <v>CO</v>
      </c>
      <c r="EI359" s="29">
        <f>IF(COUNT(I359:Y359)&lt;5,DZ359,SUMPRODUCT(LARGE(I359:Y359,{1,2,3,4,5}))/5)</f>
        <v>48.846752952516105</v>
      </c>
      <c r="EJ359" s="29">
        <f>IF(COUNT(I359:AX359)&lt;5,DZ359,SUMPRODUCT(LARGE(I359:AX359,{1,2,3,4,5}))/5)</f>
        <v>48.846752952516105</v>
      </c>
      <c r="EK359" s="112">
        <f>IF(EG359&lt;0,AVERAGE(I359:DY359),0)</f>
        <v>0</v>
      </c>
      <c r="EL359" s="29">
        <f t="shared" si="83"/>
        <v>0</v>
      </c>
      <c r="EM359" s="116" t="str">
        <f t="shared" si="84"/>
        <v>Ruppel, David</v>
      </c>
      <c r="EQ359"/>
    </row>
    <row r="360" spans="1:147" x14ac:dyDescent="0.25">
      <c r="A360" s="59">
        <f t="shared" si="85"/>
        <v>357</v>
      </c>
      <c r="B360" s="32" t="s">
        <v>1162</v>
      </c>
      <c r="C360" s="5" t="s">
        <v>6</v>
      </c>
      <c r="D360" s="6" t="s">
        <v>63</v>
      </c>
      <c r="E360" s="6">
        <v>0</v>
      </c>
      <c r="F360" s="6">
        <v>0</v>
      </c>
      <c r="G360" s="5">
        <f t="shared" si="88"/>
        <v>2</v>
      </c>
      <c r="H360" s="37">
        <v>0</v>
      </c>
      <c r="I360" s="36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227"/>
      <c r="Z360" s="228"/>
      <c r="AA360" s="7"/>
      <c r="AB360" s="7"/>
      <c r="AC360" s="7"/>
      <c r="AD360" s="14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4"/>
      <c r="AP360" s="7"/>
      <c r="AQ360" s="74"/>
      <c r="AR360" s="70"/>
      <c r="AS360" s="7"/>
      <c r="AT360" s="70"/>
      <c r="AU360" s="7"/>
      <c r="AV360" s="70"/>
      <c r="AW360" s="7"/>
      <c r="AX360" s="8"/>
      <c r="AY360" s="36"/>
      <c r="AZ360" s="7">
        <f>(INDEX('Race 44'!$E$8:$E$200,(MATCH($B360,'Race 44'!$B$8:$B$200,0)),1))*100</f>
        <v>47.398325792529576</v>
      </c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14"/>
      <c r="BL360" s="7"/>
      <c r="BM360" s="7"/>
      <c r="BN360" s="74"/>
      <c r="BO360" s="7"/>
      <c r="BP360" s="7">
        <f>(INDEX('Race 60'!$E$8:$E$200,(MATCH($B360,'Race 60'!$B$8:$B$200,0)),1))*100</f>
        <v>43.029313798372542</v>
      </c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4"/>
      <c r="CE360" s="7"/>
      <c r="CF360" s="7"/>
      <c r="CG360" s="7"/>
      <c r="CH360" s="7"/>
      <c r="CI360" s="7"/>
      <c r="CJ360" s="7"/>
      <c r="CK360" s="101"/>
      <c r="CL360" s="74"/>
      <c r="CM360" s="74"/>
      <c r="CN360" s="74"/>
      <c r="CO360" s="70"/>
      <c r="CP360" s="74"/>
      <c r="CQ360" s="7"/>
      <c r="CR360" s="74"/>
      <c r="CS360" s="74"/>
      <c r="CT360" s="74"/>
      <c r="CU360" s="74"/>
      <c r="CV360" s="7"/>
      <c r="CW360" s="7"/>
      <c r="CX360" s="7"/>
      <c r="CY360" s="7"/>
      <c r="CZ360" s="7"/>
      <c r="DA360" s="7"/>
      <c r="DB360" s="7"/>
      <c r="DC360" s="7"/>
      <c r="DD360" s="7"/>
      <c r="DE360" s="74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8">
        <f t="shared" si="75"/>
        <v>45.213819795451059</v>
      </c>
      <c r="EA360" s="3" t="str">
        <f t="shared" si="76"/>
        <v>Rusk, Ian</v>
      </c>
      <c r="EB360" s="2">
        <f t="shared" si="77"/>
        <v>1</v>
      </c>
      <c r="EC360" s="112">
        <f t="shared" si="87"/>
        <v>0</v>
      </c>
      <c r="ED360" s="29">
        <f t="shared" si="78"/>
        <v>44.484277642120283</v>
      </c>
      <c r="EE360" s="2">
        <f t="shared" si="79"/>
        <v>0</v>
      </c>
      <c r="EF360" s="46">
        <f t="shared" si="80"/>
        <v>2</v>
      </c>
      <c r="EG360" s="46">
        <f t="shared" si="81"/>
        <v>2</v>
      </c>
      <c r="EH360" s="29" t="str">
        <f t="shared" si="82"/>
        <v>VT</v>
      </c>
      <c r="EI360" s="29">
        <f>IF(COUNT(I360:AD360)&lt;5,DZ360,SUMPRODUCT(LARGE(I360:AD360,{1,2,3,4,5}))/5)</f>
        <v>45.213819795451059</v>
      </c>
      <c r="EJ360" s="29">
        <f>IF(COUNT(I360:AX360)&lt;5,DZ360,SUMPRODUCT(LARGE(I360:AX360,{1,2,3,4,5}))/5)</f>
        <v>45.213819795451059</v>
      </c>
      <c r="EK360" s="29">
        <f>IF(COUNT(I360:DY360)&lt;5,AVERAGE(I360:DY360),SUMPRODUCT(LARGE(I360:DY360,{1,2,3,4,5}))/5)</f>
        <v>45.213819795451059</v>
      </c>
      <c r="EL360" s="29">
        <f t="shared" si="83"/>
        <v>44.484277642120283</v>
      </c>
      <c r="EM360" s="116" t="str">
        <f t="shared" si="84"/>
        <v>Rusk, Ian</v>
      </c>
      <c r="EQ360"/>
    </row>
    <row r="361" spans="1:147" x14ac:dyDescent="0.25">
      <c r="A361" s="59">
        <f t="shared" si="85"/>
        <v>358</v>
      </c>
      <c r="B361" s="32" t="s">
        <v>861</v>
      </c>
      <c r="C361" s="5" t="s">
        <v>6</v>
      </c>
      <c r="D361" s="6" t="s">
        <v>69</v>
      </c>
      <c r="E361" s="6">
        <v>40.021855866245048</v>
      </c>
      <c r="F361" s="6">
        <v>40.021855866245048</v>
      </c>
      <c r="G361" s="5">
        <f t="shared" si="88"/>
        <v>0</v>
      </c>
      <c r="H361" s="37">
        <v>40.021855866245048</v>
      </c>
      <c r="I361" s="36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227"/>
      <c r="Z361" s="228"/>
      <c r="AA361" s="7"/>
      <c r="AB361" s="7"/>
      <c r="AC361" s="7"/>
      <c r="AD361" s="14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4"/>
      <c r="AP361" s="7"/>
      <c r="AQ361" s="74"/>
      <c r="AR361" s="70"/>
      <c r="AS361" s="7"/>
      <c r="AT361" s="70"/>
      <c r="AU361" s="7"/>
      <c r="AV361" s="70"/>
      <c r="AW361" s="7"/>
      <c r="AX361" s="8"/>
      <c r="AY361" s="10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14"/>
      <c r="BL361" s="7"/>
      <c r="BM361" s="7"/>
      <c r="BN361" s="74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101"/>
      <c r="CL361" s="74"/>
      <c r="CM361" s="74"/>
      <c r="CN361" s="74"/>
      <c r="CO361" s="70"/>
      <c r="CP361" s="74"/>
      <c r="CQ361" s="7"/>
      <c r="CR361" s="74"/>
      <c r="CS361" s="74"/>
      <c r="CT361" s="74"/>
      <c r="CU361" s="74"/>
      <c r="CV361" s="7"/>
      <c r="CW361" s="7"/>
      <c r="CX361" s="7"/>
      <c r="CY361" s="7"/>
      <c r="CZ361" s="7"/>
      <c r="DA361" s="7"/>
      <c r="DB361" s="7"/>
      <c r="DC361" s="7"/>
      <c r="DD361" s="7"/>
      <c r="DE361" s="74"/>
      <c r="DF361" s="74"/>
      <c r="DG361" s="74"/>
      <c r="DH361" s="7"/>
      <c r="DI361" s="74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8">
        <f t="shared" si="75"/>
        <v>40.021855866245048</v>
      </c>
      <c r="EA361" s="3" t="str">
        <f t="shared" si="76"/>
        <v>SACK, Cyril</v>
      </c>
      <c r="EB361" s="2">
        <f t="shared" si="77"/>
        <v>0</v>
      </c>
      <c r="EC361" s="112">
        <f t="shared" si="87"/>
        <v>40.021855866245048</v>
      </c>
      <c r="ED361" s="29">
        <f t="shared" si="78"/>
        <v>0</v>
      </c>
      <c r="EE361" s="2">
        <f t="shared" si="79"/>
        <v>0</v>
      </c>
      <c r="EF361" s="46">
        <f t="shared" si="80"/>
        <v>0</v>
      </c>
      <c r="EG361" s="46">
        <f t="shared" si="81"/>
        <v>0</v>
      </c>
      <c r="EH361" s="29" t="str">
        <f t="shared" si="82"/>
        <v>WA</v>
      </c>
      <c r="EI361" s="29">
        <f>IF(COUNT(I361:Y361)&lt;5,DZ361,SUMPRODUCT(LARGE(I361:Y361,{1,2,3,4,5}))/5)</f>
        <v>40.021855866245048</v>
      </c>
      <c r="EJ361" s="29">
        <f>IF(COUNT(I361:AX361)&lt;5,DZ361,SUMPRODUCT(LARGE(I361:AX361,{1,2,3,4,5}))/5)</f>
        <v>40.021855866245048</v>
      </c>
      <c r="EK361" s="112">
        <f>IF(EG361&lt;0,AVERAGE(I361:DY361),0)</f>
        <v>0</v>
      </c>
      <c r="EL361" s="29">
        <f t="shared" si="83"/>
        <v>0</v>
      </c>
      <c r="EM361" s="116" t="str">
        <f t="shared" si="84"/>
        <v>SACK, Cyril</v>
      </c>
      <c r="EQ361"/>
    </row>
    <row r="362" spans="1:147" x14ac:dyDescent="0.25">
      <c r="A362" s="59">
        <f t="shared" si="85"/>
        <v>359</v>
      </c>
      <c r="B362" s="32" t="s">
        <v>1181</v>
      </c>
      <c r="C362" s="5" t="s">
        <v>16</v>
      </c>
      <c r="D362" s="6" t="s">
        <v>57</v>
      </c>
      <c r="E362" s="6">
        <v>0</v>
      </c>
      <c r="F362" s="6">
        <v>0</v>
      </c>
      <c r="G362" s="5">
        <f t="shared" si="88"/>
        <v>1</v>
      </c>
      <c r="H362" s="37">
        <v>0</v>
      </c>
      <c r="I362" s="36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227"/>
      <c r="Z362" s="228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4"/>
      <c r="AR362" s="70"/>
      <c r="AS362" s="7"/>
      <c r="AT362" s="70"/>
      <c r="AU362" s="7"/>
      <c r="AV362" s="70"/>
      <c r="AW362" s="7"/>
      <c r="AX362" s="8"/>
      <c r="AY362" s="36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4">
        <f>(INDEX('Race 58'!$E$8:$E$200,(MATCH($B362,'Race 58'!$B$8:$B$200,0)),1))*100</f>
        <v>59.014926854531602</v>
      </c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101"/>
      <c r="CL362" s="74"/>
      <c r="CM362" s="74"/>
      <c r="CN362" s="74"/>
      <c r="CO362" s="70"/>
      <c r="CP362" s="74"/>
      <c r="CQ362" s="7"/>
      <c r="CR362" s="74"/>
      <c r="CS362" s="74"/>
      <c r="CT362" s="74"/>
      <c r="CU362" s="74"/>
      <c r="CV362" s="7"/>
      <c r="CW362" s="7"/>
      <c r="CX362" s="7"/>
      <c r="CY362" s="7"/>
      <c r="CZ362" s="7"/>
      <c r="DA362" s="7"/>
      <c r="DB362" s="7"/>
      <c r="DC362" s="7"/>
      <c r="DD362" s="7"/>
      <c r="DE362" s="74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8">
        <f t="shared" si="75"/>
        <v>59.014926854531602</v>
      </c>
      <c r="EA362" s="3" t="str">
        <f t="shared" si="76"/>
        <v>Samburg, Tayler</v>
      </c>
      <c r="EB362" s="2">
        <f t="shared" si="77"/>
        <v>1</v>
      </c>
      <c r="EC362" s="112">
        <f t="shared" si="87"/>
        <v>0</v>
      </c>
      <c r="ED362" s="29">
        <f t="shared" si="78"/>
        <v>58.062698597532076</v>
      </c>
      <c r="EE362" s="2">
        <f t="shared" si="79"/>
        <v>0</v>
      </c>
      <c r="EF362" s="46">
        <f t="shared" si="80"/>
        <v>1</v>
      </c>
      <c r="EG362" s="46">
        <f t="shared" si="81"/>
        <v>1</v>
      </c>
      <c r="EH362" s="29" t="str">
        <f t="shared" si="82"/>
        <v>NY</v>
      </c>
      <c r="EI362" s="29">
        <f>IF(COUNT(I362:AD362)&lt;5,DZ362,SUMPRODUCT(LARGE(I362:AD362,{1,2,3,4,5}))/5)</f>
        <v>59.014926854531602</v>
      </c>
      <c r="EJ362" s="29">
        <f>IF(COUNT(I362:AX362)&lt;5,DZ362,SUMPRODUCT(LARGE(I362:AX362,{1,2,3,4,5}))/5)</f>
        <v>59.014926854531602</v>
      </c>
      <c r="EK362" s="112">
        <f>IF(COUNT(I362:DY362)&lt;5,AVERAGE(I362:DY362),SUMPRODUCT(LARGE(I362:DY362,{1,2,3,4,5}))/5)</f>
        <v>59.014926854531602</v>
      </c>
      <c r="EL362" s="29">
        <f t="shared" si="83"/>
        <v>58.062698597532076</v>
      </c>
      <c r="EM362" s="116" t="str">
        <f t="shared" si="84"/>
        <v>Samburg, Tayler</v>
      </c>
      <c r="EQ362"/>
    </row>
    <row r="363" spans="1:147" x14ac:dyDescent="0.25">
      <c r="A363" s="59">
        <f t="shared" si="85"/>
        <v>360</v>
      </c>
      <c r="B363" s="4" t="s">
        <v>1350</v>
      </c>
      <c r="C363" s="5" t="s">
        <v>16</v>
      </c>
      <c r="D363" s="6" t="s">
        <v>57</v>
      </c>
      <c r="E363" s="6">
        <v>0</v>
      </c>
      <c r="F363" s="6">
        <v>0</v>
      </c>
      <c r="G363" s="5">
        <f t="shared" si="88"/>
        <v>1</v>
      </c>
      <c r="H363" s="37">
        <v>0</v>
      </c>
      <c r="I363" s="36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227"/>
      <c r="Z363" s="228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4"/>
      <c r="AP363" s="7"/>
      <c r="AQ363" s="74"/>
      <c r="AR363" s="70"/>
      <c r="AS363" s="7"/>
      <c r="AT363" s="70"/>
      <c r="AU363" s="7"/>
      <c r="AV363" s="70"/>
      <c r="AW363" s="7"/>
      <c r="AX363" s="8"/>
      <c r="AY363" s="36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4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101"/>
      <c r="CL363" s="74"/>
      <c r="CM363" s="74"/>
      <c r="CN363" s="74"/>
      <c r="CO363" s="70"/>
      <c r="CP363" s="74"/>
      <c r="CQ363" s="7"/>
      <c r="CR363" s="74"/>
      <c r="CS363" s="74"/>
      <c r="CT363" s="74">
        <f>(INDEX('Race 90'!$E$8:$E$200,(MATCH($B363,'Race 90'!$B$8:$B$200,0)),1))*100</f>
        <v>51.508788642134938</v>
      </c>
      <c r="CU363" s="74"/>
      <c r="CV363" s="7"/>
      <c r="CW363" s="7"/>
      <c r="CX363" s="7"/>
      <c r="CY363" s="7"/>
      <c r="CZ363" s="7"/>
      <c r="DA363" s="7"/>
      <c r="DB363" s="7"/>
      <c r="DC363" s="7"/>
      <c r="DD363" s="7"/>
      <c r="DE363" s="74"/>
      <c r="DF363" s="74"/>
      <c r="DG363" s="74"/>
      <c r="DH363" s="7"/>
      <c r="DI363" s="7"/>
      <c r="DJ363" s="7"/>
      <c r="DK363" s="7"/>
      <c r="DL363" s="7"/>
      <c r="DM363" s="7"/>
      <c r="DN363" s="7"/>
      <c r="DO363" s="7"/>
      <c r="DP363" s="7"/>
      <c r="DQ363" s="74"/>
      <c r="DR363" s="74"/>
      <c r="DS363" s="7"/>
      <c r="DT363" s="7"/>
      <c r="DU363" s="7"/>
      <c r="DV363" s="7"/>
      <c r="DW363" s="7"/>
      <c r="DX363" s="7"/>
      <c r="DY363" s="7"/>
      <c r="DZ363" s="8">
        <f t="shared" si="75"/>
        <v>51.508788642134938</v>
      </c>
      <c r="EA363" s="3" t="str">
        <f t="shared" si="76"/>
        <v>Sapp, Everett</v>
      </c>
      <c r="EB363" s="2">
        <f t="shared" si="77"/>
        <v>1</v>
      </c>
      <c r="EC363" s="112">
        <f t="shared" si="87"/>
        <v>0</v>
      </c>
      <c r="ED363" s="29">
        <f t="shared" si="78"/>
        <v>50.677674775811631</v>
      </c>
      <c r="EE363" s="2">
        <f t="shared" si="79"/>
        <v>0</v>
      </c>
      <c r="EF363" s="46">
        <f t="shared" si="80"/>
        <v>0</v>
      </c>
      <c r="EG363" s="46">
        <f t="shared" si="81"/>
        <v>1</v>
      </c>
      <c r="EH363" s="2" t="str">
        <f t="shared" si="82"/>
        <v>NY</v>
      </c>
      <c r="EI363" s="29">
        <f>IF(COUNT(I363:AD363)&lt;5,DZ363,SUMPRODUCT(LARGE(I363:AD363,{1,2,3,4,5}))/5)</f>
        <v>51.508788642134938</v>
      </c>
      <c r="EJ363" s="29">
        <f>IF(COUNT(I363:BE363)&lt;5,DZ363,SUMPRODUCT(LARGE(I363:BE363,{1,2,3,4,5}))/5)</f>
        <v>51.508788642134938</v>
      </c>
      <c r="EK363" s="112">
        <f>IF(COUNT(I363:DY363)&lt;5,AVERAGE(I363:DY363),SUMPRODUCT(LARGE(I363:DY363,{1,2,3,4,5}))/5)</f>
        <v>51.508788642134938</v>
      </c>
      <c r="EL363" s="29">
        <f t="shared" si="83"/>
        <v>50.677674775811631</v>
      </c>
      <c r="EM363" s="164" t="str">
        <f t="shared" si="84"/>
        <v>Sapp, Everett</v>
      </c>
      <c r="EQ363"/>
    </row>
    <row r="364" spans="1:147" x14ac:dyDescent="0.25">
      <c r="A364" s="59">
        <f t="shared" si="85"/>
        <v>361</v>
      </c>
      <c r="B364" s="32" t="s">
        <v>1056</v>
      </c>
      <c r="C364" s="5" t="s">
        <v>6</v>
      </c>
      <c r="D364" s="6" t="s">
        <v>67</v>
      </c>
      <c r="E364" s="6">
        <v>66.477902826298617</v>
      </c>
      <c r="F364" s="6">
        <v>66.562919993215374</v>
      </c>
      <c r="G364" s="5">
        <f t="shared" si="88"/>
        <v>7</v>
      </c>
      <c r="H364" s="37">
        <v>62.399896367972694</v>
      </c>
      <c r="I364" s="36">
        <f>(INDEX('Race 1'!$E$8:$E$200,(MATCH($B364,'Race 1'!$B$8:$B$200,0)),1))*100</f>
        <v>66.548648525757301</v>
      </c>
      <c r="J364" s="7"/>
      <c r="K364" s="7"/>
      <c r="L364" s="7"/>
      <c r="M364" s="7"/>
      <c r="N364" s="7"/>
      <c r="O364" s="7">
        <f>(INDEX('Race 7'!$E$8:$E$200,(MATCH($B364,'Race 7'!$B$8:$B$200,0)),1))*100</f>
        <v>66.407157126839948</v>
      </c>
      <c r="P364" s="7"/>
      <c r="Q364" s="7"/>
      <c r="R364" s="7"/>
      <c r="S364" s="7"/>
      <c r="T364" s="7"/>
      <c r="U364" s="7"/>
      <c r="V364" s="7"/>
      <c r="W364" s="7"/>
      <c r="X364" s="7"/>
      <c r="Y364" s="227"/>
      <c r="Z364" s="228"/>
      <c r="AA364" s="7"/>
      <c r="AB364" s="7"/>
      <c r="AC364" s="7"/>
      <c r="AD364" s="74">
        <f>(INDEX('Race 22'!$E$8:$E$200,(MATCH($B364,'Race 22'!$B$8:$B$200,0)),1))*100</f>
        <v>66.732954327048915</v>
      </c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4"/>
      <c r="AP364" s="7"/>
      <c r="AQ364" s="74"/>
      <c r="AR364" s="70"/>
      <c r="AS364" s="7"/>
      <c r="AT364" s="70"/>
      <c r="AU364" s="7"/>
      <c r="AV364" s="70"/>
      <c r="AW364" s="7"/>
      <c r="AX364" s="8"/>
      <c r="AY364" s="36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4"/>
      <c r="BO364" s="7"/>
      <c r="BP364" s="7"/>
      <c r="BQ364" s="7"/>
      <c r="BR364" s="7"/>
      <c r="BS364" s="7"/>
      <c r="BT364" s="7">
        <f>(INDEX('Race 64'!$E$8:$E$200,(MATCH($B364,'Race 64'!$B$8:$B$200,0)),1))*100</f>
        <v>63.641039775769293</v>
      </c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4"/>
      <c r="CF364" s="74"/>
      <c r="CG364" s="7"/>
      <c r="CH364" s="7"/>
      <c r="CI364" s="7"/>
      <c r="CJ364" s="7"/>
      <c r="CK364" s="101"/>
      <c r="CL364" s="74"/>
      <c r="CM364" s="74"/>
      <c r="CN364" s="74"/>
      <c r="CO364" s="70">
        <f>(INDEX('Race 85'!$E$8:$E$200,(MATCH($B364,'Race 85'!$B$8:$B$200,0)),1))*100</f>
        <v>59.345269137103251</v>
      </c>
      <c r="CP364" s="74"/>
      <c r="CQ364" s="7">
        <f>(INDEX('Race 87'!$E$8:$E$200,(MATCH($B364,'Race 87'!$B$8:$B$200,0)),1))*100</f>
        <v>56.915357228545382</v>
      </c>
      <c r="CR364" s="74"/>
      <c r="CS364" s="74"/>
      <c r="CT364" s="74"/>
      <c r="CU364" s="74"/>
      <c r="CV364" s="7">
        <f>(INDEX('Race 92'!$E$8:$E$200,(MATCH($B364,'Race 92'!$B$8:$B$200,0)),1))*100</f>
        <v>55.226221306943501</v>
      </c>
      <c r="CW364" s="7"/>
      <c r="CX364" s="7"/>
      <c r="CY364" s="7"/>
      <c r="CZ364" s="7"/>
      <c r="DA364" s="7"/>
      <c r="DB364" s="7"/>
      <c r="DC364" s="7"/>
      <c r="DD364" s="7"/>
      <c r="DE364" s="74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8">
        <f t="shared" si="75"/>
        <v>62.11666391828679</v>
      </c>
      <c r="EA364" s="3" t="str">
        <f t="shared" si="76"/>
        <v xml:space="preserve">Schafer, Jon </v>
      </c>
      <c r="EB364" s="2">
        <f t="shared" si="77"/>
        <v>1</v>
      </c>
      <c r="EC364" s="112">
        <f t="shared" si="87"/>
        <v>62.399896367972694</v>
      </c>
      <c r="ED364" s="29">
        <f t="shared" si="78"/>
        <v>63.493716822612875</v>
      </c>
      <c r="EE364" s="2">
        <f t="shared" si="79"/>
        <v>3</v>
      </c>
      <c r="EF364" s="46">
        <f t="shared" si="80"/>
        <v>3</v>
      </c>
      <c r="EG364" s="46">
        <f t="shared" si="81"/>
        <v>7</v>
      </c>
      <c r="EH364" s="29" t="str">
        <f t="shared" si="82"/>
        <v>UT</v>
      </c>
      <c r="EI364" s="29">
        <f>IF(COUNT(I364:Y364)&lt;5,DZ364,SUMPRODUCT(LARGE(I364:Y364,{1,2,3,4,5}))/5)</f>
        <v>62.11666391828679</v>
      </c>
      <c r="EJ364" s="29">
        <f>IF(COUNT(I364:AX364)&lt;5,DZ364,SUMPRODUCT(LARGE(I364:AX364,{1,2,3,4,5}))/5)</f>
        <v>62.11666391828679</v>
      </c>
      <c r="EK364" s="29">
        <f>IF(COUNT(I364:DY364)&lt;5,AVERAGE(I364:DY364),SUMPRODUCT(LARGE(I364:DY364,{1,2,3,4,5}))/5)</f>
        <v>64.535013778503725</v>
      </c>
      <c r="EL364" s="29">
        <f t="shared" si="83"/>
        <v>63.493716822612875</v>
      </c>
      <c r="EM364" s="116" t="str">
        <f t="shared" si="84"/>
        <v xml:space="preserve">Schafer, Jon </v>
      </c>
      <c r="EQ364"/>
    </row>
    <row r="365" spans="1:147" x14ac:dyDescent="0.25">
      <c r="A365" s="59">
        <f t="shared" si="85"/>
        <v>362</v>
      </c>
      <c r="B365" s="32" t="s">
        <v>862</v>
      </c>
      <c r="C365" s="5" t="s">
        <v>6</v>
      </c>
      <c r="D365" s="6" t="s">
        <v>66</v>
      </c>
      <c r="E365" s="6">
        <v>38.388153047362962</v>
      </c>
      <c r="F365" s="6">
        <v>50.760132888926449</v>
      </c>
      <c r="G365" s="5">
        <f t="shared" si="88"/>
        <v>2</v>
      </c>
      <c r="H365" s="37">
        <v>38.388153047362962</v>
      </c>
      <c r="I365" s="36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227"/>
      <c r="Z365" s="228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4"/>
      <c r="AP365" s="7"/>
      <c r="AQ365" s="74"/>
      <c r="AR365" s="70"/>
      <c r="AS365" s="70"/>
      <c r="AT365" s="70"/>
      <c r="AU365" s="7"/>
      <c r="AV365" s="70"/>
      <c r="AW365" s="7">
        <f>(INDEX('Race 41'!$E$8:$E$200,(MATCH($B365,'Race 41'!$B$8:$B$200,0)),1))*100</f>
        <v>48.744609903519873</v>
      </c>
      <c r="AX365" s="8">
        <f>(INDEX('Race 42'!$E$8:$E$200,(MATCH($B365,'Race 42'!$B$8:$B$200,0)),1))*100</f>
        <v>52.775655874333019</v>
      </c>
      <c r="AY365" s="36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4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101"/>
      <c r="CL365" s="74"/>
      <c r="CM365" s="74"/>
      <c r="CN365" s="74"/>
      <c r="CO365" s="70"/>
      <c r="CP365" s="101"/>
      <c r="CQ365" s="7"/>
      <c r="CR365" s="74"/>
      <c r="CS365" s="74"/>
      <c r="CT365" s="74"/>
      <c r="CU365" s="74"/>
      <c r="CV365" s="7"/>
      <c r="CW365" s="7"/>
      <c r="CX365" s="7"/>
      <c r="CY365" s="7"/>
      <c r="CZ365" s="7"/>
      <c r="DA365" s="7"/>
      <c r="DB365" s="7"/>
      <c r="DC365" s="7"/>
      <c r="DD365" s="7"/>
      <c r="DE365" s="74"/>
      <c r="DF365" s="74"/>
      <c r="DG365" s="74"/>
      <c r="DH365" s="7"/>
      <c r="DI365" s="74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8">
        <f t="shared" si="75"/>
        <v>50.760132888926449</v>
      </c>
      <c r="EA365" s="3" t="str">
        <f t="shared" si="76"/>
        <v>SCHAROSCH, Travis</v>
      </c>
      <c r="EB365" s="2">
        <f t="shared" si="77"/>
        <v>1</v>
      </c>
      <c r="EC365" s="112">
        <f t="shared" si="87"/>
        <v>38.388153047362962</v>
      </c>
      <c r="ED365" s="29">
        <f t="shared" si="78"/>
        <v>49.941098867499456</v>
      </c>
      <c r="EE365" s="2">
        <f t="shared" si="79"/>
        <v>0</v>
      </c>
      <c r="EF365" s="46">
        <f t="shared" si="80"/>
        <v>2</v>
      </c>
      <c r="EG365" s="46">
        <f t="shared" si="81"/>
        <v>2</v>
      </c>
      <c r="EH365" s="29" t="str">
        <f t="shared" si="82"/>
        <v>WY</v>
      </c>
      <c r="EI365" s="29">
        <f>IF(COUNT(I365:Y365)&lt;5,DZ365,SUMPRODUCT(LARGE(I365:Y365,{1,2,3,4,5}))/5)</f>
        <v>50.760132888926449</v>
      </c>
      <c r="EJ365" s="29">
        <f>IF(COUNT(I365:AX365)&lt;5,DZ365,SUMPRODUCT(LARGE(I365:AX365,{1,2,3,4,5}))/5)</f>
        <v>50.760132888926449</v>
      </c>
      <c r="EK365" s="29">
        <f>IF(COUNT(I365:DY365)&lt;5,AVERAGE(I365:DY365),SUMPRODUCT(LARGE(I365:DY365,{1,2,3,4,5}))/5)</f>
        <v>50.760132888926449</v>
      </c>
      <c r="EL365" s="29">
        <f t="shared" si="83"/>
        <v>49.941098867499456</v>
      </c>
      <c r="EM365" s="116" t="str">
        <f t="shared" si="84"/>
        <v>SCHAROSCH, Travis</v>
      </c>
      <c r="EQ365"/>
    </row>
    <row r="366" spans="1:147" x14ac:dyDescent="0.25">
      <c r="A366" s="59">
        <f t="shared" si="85"/>
        <v>363</v>
      </c>
      <c r="B366" s="32" t="s">
        <v>906</v>
      </c>
      <c r="C366" s="5" t="s">
        <v>6</v>
      </c>
      <c r="D366" s="6" t="s">
        <v>62</v>
      </c>
      <c r="E366" s="6">
        <v>60.979804896167906</v>
      </c>
      <c r="F366" s="6">
        <v>60.979804896167906</v>
      </c>
      <c r="G366" s="5">
        <f t="shared" si="88"/>
        <v>0</v>
      </c>
      <c r="H366" s="37">
        <v>60.979804896167906</v>
      </c>
      <c r="I366" s="36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227"/>
      <c r="Z366" s="228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4"/>
      <c r="AP366" s="7"/>
      <c r="AQ366" s="74"/>
      <c r="AR366" s="70"/>
      <c r="AS366" s="7"/>
      <c r="AT366" s="70"/>
      <c r="AU366" s="7"/>
      <c r="AV366" s="70"/>
      <c r="AW366" s="7"/>
      <c r="AX366" s="8"/>
      <c r="AY366" s="36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14"/>
      <c r="BL366" s="7"/>
      <c r="BM366" s="7"/>
      <c r="BN366" s="74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4"/>
      <c r="CF366" s="74"/>
      <c r="CG366" s="7"/>
      <c r="CH366" s="7"/>
      <c r="CI366" s="7"/>
      <c r="CJ366" s="7"/>
      <c r="CK366" s="101"/>
      <c r="CL366" s="74"/>
      <c r="CM366" s="74"/>
      <c r="CN366" s="74"/>
      <c r="CO366" s="70"/>
      <c r="CP366" s="74"/>
      <c r="CQ366" s="7"/>
      <c r="CR366" s="74"/>
      <c r="CS366" s="74"/>
      <c r="CT366" s="74"/>
      <c r="CU366" s="74"/>
      <c r="CV366" s="7"/>
      <c r="CW366" s="7"/>
      <c r="CX366" s="7"/>
      <c r="CY366" s="7"/>
      <c r="CZ366" s="7"/>
      <c r="DA366" s="7"/>
      <c r="DB366" s="7"/>
      <c r="DC366" s="7"/>
      <c r="DD366" s="7"/>
      <c r="DE366" s="74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8">
        <f t="shared" si="75"/>
        <v>60.979804896167906</v>
      </c>
      <c r="EA366" s="3" t="str">
        <f t="shared" si="76"/>
        <v>Schiavone, Dominic</v>
      </c>
      <c r="EB366" s="2">
        <f t="shared" si="77"/>
        <v>0</v>
      </c>
      <c r="EC366" s="112">
        <f t="shared" si="87"/>
        <v>60.979804896167906</v>
      </c>
      <c r="ED366" s="29">
        <f t="shared" si="78"/>
        <v>0</v>
      </c>
      <c r="EE366" s="2">
        <f t="shared" si="79"/>
        <v>0</v>
      </c>
      <c r="EF366" s="46">
        <f t="shared" si="80"/>
        <v>0</v>
      </c>
      <c r="EG366" s="46">
        <f t="shared" si="81"/>
        <v>0</v>
      </c>
      <c r="EH366" s="29" t="str">
        <f t="shared" si="82"/>
        <v>CO</v>
      </c>
      <c r="EI366" s="29">
        <f>IF(COUNT(I366:Y366)&lt;5,DZ366,SUMPRODUCT(LARGE(I366:Y366,{1,2,3,4,5}))/5)</f>
        <v>60.979804896167906</v>
      </c>
      <c r="EJ366" s="29">
        <f>IF(COUNT(I366:AX366)&lt;5,DZ366,SUMPRODUCT(LARGE(I366:AX366,{1,2,3,4,5}))/5)</f>
        <v>60.979804896167906</v>
      </c>
      <c r="EK366" s="112">
        <f>IF(EG366&lt;0,AVERAGE(I366:DY366),0)</f>
        <v>0</v>
      </c>
      <c r="EL366" s="29">
        <f t="shared" si="83"/>
        <v>0</v>
      </c>
      <c r="EM366" s="116" t="str">
        <f t="shared" si="84"/>
        <v>Schiavone, Dominic</v>
      </c>
      <c r="EQ366"/>
    </row>
    <row r="367" spans="1:147" x14ac:dyDescent="0.25">
      <c r="A367" s="59">
        <f t="shared" si="85"/>
        <v>364</v>
      </c>
      <c r="B367" s="32" t="s">
        <v>904</v>
      </c>
      <c r="C367" s="5" t="s">
        <v>6</v>
      </c>
      <c r="D367" s="6" t="s">
        <v>62</v>
      </c>
      <c r="E367" s="6">
        <v>25.061784301215965</v>
      </c>
      <c r="F367" s="6">
        <v>36.082505313030737</v>
      </c>
      <c r="G367" s="5">
        <f t="shared" si="88"/>
        <v>2</v>
      </c>
      <c r="H367" s="37">
        <v>25.061784301215965</v>
      </c>
      <c r="I367" s="36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227"/>
      <c r="Z367" s="228"/>
      <c r="AA367" s="7"/>
      <c r="AB367" s="7"/>
      <c r="AC367" s="7"/>
      <c r="AD367" s="7"/>
      <c r="AE367" s="7"/>
      <c r="AF367" s="7"/>
      <c r="AG367" s="74">
        <f>(INDEX('Race 25'!$E$8:$E$200,(MATCH($B367,'Race 25'!$B$8:$B$200,0)),1))*100</f>
        <v>33.9529845314946</v>
      </c>
      <c r="AH367" s="7"/>
      <c r="AI367" s="7"/>
      <c r="AJ367" s="7"/>
      <c r="AK367" s="7"/>
      <c r="AL367" s="74">
        <f>(INDEX('Race 30'!$E$8:$E$200,(MATCH($B367,'Race 30'!$B$8:$B$200,0)),1))*100</f>
        <v>38.212026094566873</v>
      </c>
      <c r="AM367" s="7"/>
      <c r="AN367" s="7"/>
      <c r="AO367" s="74"/>
      <c r="AP367" s="7"/>
      <c r="AQ367" s="74"/>
      <c r="AR367" s="70"/>
      <c r="AS367" s="7"/>
      <c r="AT367" s="70"/>
      <c r="AU367" s="7"/>
      <c r="AV367" s="70"/>
      <c r="AW367" s="7"/>
      <c r="AX367" s="8"/>
      <c r="AY367" s="36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14"/>
      <c r="BL367" s="7"/>
      <c r="BM367" s="7"/>
      <c r="BN367" s="74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4"/>
      <c r="CF367" s="74"/>
      <c r="CG367" s="7"/>
      <c r="CH367" s="7"/>
      <c r="CI367" s="7"/>
      <c r="CJ367" s="7"/>
      <c r="CK367" s="101"/>
      <c r="CL367" s="74"/>
      <c r="CM367" s="74"/>
      <c r="CN367" s="74"/>
      <c r="CO367" s="70"/>
      <c r="CP367" s="74"/>
      <c r="CQ367" s="7"/>
      <c r="CR367" s="74"/>
      <c r="CS367" s="74"/>
      <c r="CT367" s="74"/>
      <c r="CU367" s="74"/>
      <c r="CV367" s="7"/>
      <c r="CW367" s="7"/>
      <c r="CX367" s="7"/>
      <c r="CY367" s="7"/>
      <c r="CZ367" s="7"/>
      <c r="DA367" s="7"/>
      <c r="DB367" s="7"/>
      <c r="DC367" s="7"/>
      <c r="DD367" s="7"/>
      <c r="DE367" s="74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8">
        <f t="shared" si="75"/>
        <v>36.082505313030737</v>
      </c>
      <c r="EA367" s="3" t="str">
        <f t="shared" si="76"/>
        <v>Schlough, Tim</v>
      </c>
      <c r="EB367" s="2">
        <f t="shared" si="77"/>
        <v>1</v>
      </c>
      <c r="EC367" s="112">
        <f t="shared" si="87"/>
        <v>25.061784301215965</v>
      </c>
      <c r="ED367" s="29">
        <f t="shared" si="78"/>
        <v>35.500300386689041</v>
      </c>
      <c r="EE367" s="2">
        <f t="shared" si="79"/>
        <v>1</v>
      </c>
      <c r="EF367" s="46">
        <f t="shared" si="80"/>
        <v>2</v>
      </c>
      <c r="EG367" s="46">
        <f t="shared" si="81"/>
        <v>2</v>
      </c>
      <c r="EH367" s="29" t="str">
        <f t="shared" si="82"/>
        <v>CO</v>
      </c>
      <c r="EI367" s="29">
        <f>IF(COUNT(I367:Y367)&lt;5,DZ367,SUMPRODUCT(LARGE(I367:Y367,{1,2,3,4,5}))/5)</f>
        <v>36.082505313030737</v>
      </c>
      <c r="EJ367" s="29">
        <f>IF(COUNT(I367:AX367)&lt;5,DZ367,SUMPRODUCT(LARGE(I367:AX367,{1,2,3,4,5}))/5)</f>
        <v>36.082505313030737</v>
      </c>
      <c r="EK367" s="29">
        <f>IF(COUNT(I367:DY367)&lt;5,AVERAGE(I367:DY367),SUMPRODUCT(LARGE(I367:DY367,{1,2,3,4,5}))/5)</f>
        <v>36.082505313030737</v>
      </c>
      <c r="EL367" s="29">
        <f t="shared" si="83"/>
        <v>35.500300386689041</v>
      </c>
      <c r="EM367" s="116" t="str">
        <f t="shared" si="84"/>
        <v>Schlough, Tim</v>
      </c>
      <c r="EQ367"/>
    </row>
    <row r="368" spans="1:147" x14ac:dyDescent="0.25">
      <c r="A368" s="59">
        <f t="shared" si="85"/>
        <v>365</v>
      </c>
      <c r="B368" s="32" t="s">
        <v>1325</v>
      </c>
      <c r="C368" s="5" t="s">
        <v>6</v>
      </c>
      <c r="D368" s="6" t="s">
        <v>69</v>
      </c>
      <c r="E368" s="6">
        <v>0</v>
      </c>
      <c r="F368" s="6">
        <v>0</v>
      </c>
      <c r="G368" s="5">
        <f t="shared" si="88"/>
        <v>1</v>
      </c>
      <c r="H368" s="37">
        <v>0</v>
      </c>
      <c r="I368" s="107"/>
      <c r="J368" s="7"/>
      <c r="K368" s="74"/>
      <c r="L368" s="7"/>
      <c r="M368" s="74"/>
      <c r="N368" s="74"/>
      <c r="O368" s="7"/>
      <c r="P368" s="74"/>
      <c r="Q368" s="74"/>
      <c r="R368" s="74"/>
      <c r="S368" s="74"/>
      <c r="T368" s="7"/>
      <c r="U368" s="7"/>
      <c r="V368" s="74"/>
      <c r="W368" s="7"/>
      <c r="X368" s="74"/>
      <c r="Y368" s="227"/>
      <c r="Z368" s="228"/>
      <c r="AA368" s="74"/>
      <c r="AB368" s="74"/>
      <c r="AC368" s="74"/>
      <c r="AD368" s="74"/>
      <c r="AE368" s="7"/>
      <c r="AF368" s="74"/>
      <c r="AG368" s="74"/>
      <c r="AH368" s="7"/>
      <c r="AI368" s="7"/>
      <c r="AJ368" s="7"/>
      <c r="AK368" s="7"/>
      <c r="AL368" s="7"/>
      <c r="AM368" s="7"/>
      <c r="AN368" s="7"/>
      <c r="AO368" s="74"/>
      <c r="AP368" s="7"/>
      <c r="AQ368" s="74"/>
      <c r="AR368" s="101"/>
      <c r="AS368" s="7"/>
      <c r="AT368" s="101"/>
      <c r="AU368" s="7"/>
      <c r="AV368" s="101"/>
      <c r="AW368" s="7"/>
      <c r="AX368" s="8"/>
      <c r="AY368" s="36"/>
      <c r="AZ368" s="74"/>
      <c r="BA368" s="74"/>
      <c r="BB368" s="74"/>
      <c r="BC368" s="74"/>
      <c r="BD368" s="7"/>
      <c r="BE368" s="7"/>
      <c r="BF368" s="74"/>
      <c r="BG368" s="74"/>
      <c r="BH368" s="74"/>
      <c r="BI368" s="74"/>
      <c r="BJ368" s="74"/>
      <c r="BK368" s="14"/>
      <c r="BL368" s="74"/>
      <c r="BM368" s="7"/>
      <c r="BN368" s="74"/>
      <c r="BO368" s="74"/>
      <c r="BP368" s="7"/>
      <c r="BQ368" s="7"/>
      <c r="BR368" s="74"/>
      <c r="BS368" s="7"/>
      <c r="BT368" s="7"/>
      <c r="BU368" s="74"/>
      <c r="BV368" s="74"/>
      <c r="BW368" s="74"/>
      <c r="BX368" s="74"/>
      <c r="BY368" s="74"/>
      <c r="BZ368" s="7"/>
      <c r="CA368" s="7"/>
      <c r="CB368" s="74"/>
      <c r="CC368" s="74"/>
      <c r="CD368" s="74"/>
      <c r="CE368" s="7"/>
      <c r="CF368" s="74"/>
      <c r="CG368" s="74"/>
      <c r="CH368" s="7"/>
      <c r="CI368" s="74"/>
      <c r="CJ368" s="74"/>
      <c r="CK368" s="101"/>
      <c r="CL368" s="74">
        <f>(INDEX('Race 82'!$E$8:$E$200,(MATCH($B368,'Race 82'!$B$8:$B$200,0)),1))*100</f>
        <v>52.330550645920262</v>
      </c>
      <c r="CM368" s="74"/>
      <c r="CN368" s="74"/>
      <c r="CO368" s="101"/>
      <c r="CP368" s="74"/>
      <c r="CQ368" s="74"/>
      <c r="CR368" s="74"/>
      <c r="CS368" s="74"/>
      <c r="CT368" s="74"/>
      <c r="CU368" s="74"/>
      <c r="CV368" s="74"/>
      <c r="CW368" s="74"/>
      <c r="CX368" s="7"/>
      <c r="CY368" s="7"/>
      <c r="CZ368" s="74"/>
      <c r="DA368" s="74"/>
      <c r="DB368" s="74"/>
      <c r="DC368" s="74"/>
      <c r="DD368" s="74"/>
      <c r="DE368" s="74"/>
      <c r="DF368" s="74"/>
      <c r="DG368" s="74"/>
      <c r="DH368" s="74"/>
      <c r="DI368" s="74"/>
      <c r="DJ368" s="74"/>
      <c r="DK368" s="74"/>
      <c r="DL368" s="74"/>
      <c r="DM368" s="74"/>
      <c r="DN368" s="74"/>
      <c r="DO368" s="74"/>
      <c r="DP368" s="74"/>
      <c r="DQ368" s="74"/>
      <c r="DR368" s="74"/>
      <c r="DS368" s="74"/>
      <c r="DT368" s="74"/>
      <c r="DU368" s="74"/>
      <c r="DV368" s="74"/>
      <c r="DW368" s="74"/>
      <c r="DX368" s="74"/>
      <c r="DY368" s="74"/>
      <c r="DZ368" s="8">
        <f t="shared" ref="DZ368:DZ431" si="89">IF(EB368&gt;0,AVERAGE(I368:DY368),H368)</f>
        <v>52.330550645920262</v>
      </c>
      <c r="EA368" s="3" t="str">
        <f t="shared" ref="EA368:EA431" si="90">B368</f>
        <v>SCHOLZ, Hanz</v>
      </c>
      <c r="EB368" s="2">
        <f t="shared" ref="EB368:EB431" si="91">IF(G368&gt;0,1,0)</f>
        <v>1</v>
      </c>
      <c r="EC368" s="112">
        <f t="shared" si="87"/>
        <v>0</v>
      </c>
      <c r="ED368" s="29">
        <f t="shared" ref="ED368:ED431" si="92">EL368</f>
        <v>51.486177337583889</v>
      </c>
      <c r="EE368" s="2">
        <f t="shared" ref="EE368:EE431" si="93">COUNT(I368:AH368)</f>
        <v>0</v>
      </c>
      <c r="EF368" s="46">
        <f t="shared" ref="EF368:EF431" si="94">COUNT(I368:BQ368)</f>
        <v>0</v>
      </c>
      <c r="EG368" s="46">
        <f t="shared" ref="EG368:EG431" si="95">COUNT(I368:DY368)</f>
        <v>1</v>
      </c>
      <c r="EH368" s="2" t="str">
        <f t="shared" ref="EH368:EH431" si="96">D368</f>
        <v>WA</v>
      </c>
      <c r="EI368" s="29">
        <f>IF(COUNT(I368:AD368)&lt;5,DZ368,SUMPRODUCT(LARGE(I368:AD368,{1,2,3,4,5}))/5)</f>
        <v>52.330550645920262</v>
      </c>
      <c r="EJ368" s="29">
        <f>IF(COUNT(I368:BE368)&lt;5,DZ368,SUMPRODUCT(LARGE(I368:BE368,{1,2,3,4,5}))/5)</f>
        <v>52.330550645920262</v>
      </c>
      <c r="EK368" s="112">
        <f>IF(COUNT(I368:DY368)&lt;5,AVERAGE(I368:DY368),SUMPRODUCT(LARGE(I368:DY368,{1,2,3,4,5}))/5)</f>
        <v>52.330550645920262</v>
      </c>
      <c r="EL368" s="29">
        <f t="shared" ref="EL368:EL431" si="97">(EK368*100)/101.64</f>
        <v>51.486177337583889</v>
      </c>
      <c r="EM368" s="116" t="str">
        <f t="shared" ref="EM368:EM431" si="98">B368</f>
        <v>SCHOLZ, Hanz</v>
      </c>
      <c r="EQ368"/>
    </row>
    <row r="369" spans="1:147" x14ac:dyDescent="0.25">
      <c r="A369" s="59">
        <f t="shared" si="85"/>
        <v>366</v>
      </c>
      <c r="B369" s="33" t="s">
        <v>762</v>
      </c>
      <c r="C369" s="5" t="s">
        <v>6</v>
      </c>
      <c r="D369" s="6" t="s">
        <v>58</v>
      </c>
      <c r="E369" s="6">
        <v>92.524757170419548</v>
      </c>
      <c r="F369" s="6">
        <v>93.60112568228071</v>
      </c>
      <c r="G369" s="5">
        <f t="shared" si="88"/>
        <v>12</v>
      </c>
      <c r="H369" s="37">
        <v>94.093188352610781</v>
      </c>
      <c r="I369" s="36"/>
      <c r="J369" s="7">
        <f>(INDEX('Race 2'!$E$8:$E$200,(MATCH($B369,'Race 2'!$B$8:$B$200,0)),1))*100</f>
        <v>93.955448058210237</v>
      </c>
      <c r="K369" s="7">
        <f>(INDEX('Race 3'!$E$8:$E$200,(MATCH($B369,'Race 3'!$B$8:$B$200,0)),1))*100</f>
        <v>91.737289488079085</v>
      </c>
      <c r="L369" s="7"/>
      <c r="M369" s="7">
        <f>(INDEX('Race 5'!$E$8:$E$200,(MATCH($B369,'Race 5'!$B$8:$B$200,0)),1))*100</f>
        <v>93.75149588230029</v>
      </c>
      <c r="N369" s="7"/>
      <c r="O369" s="7"/>
      <c r="P369" s="7">
        <f>(INDEX('Race 8'!$E$8:$E$200,(MATCH($B369,'Race 8'!$B$8:$B$200,0)),1))*100</f>
        <v>90.654795253088579</v>
      </c>
      <c r="Q369" s="7"/>
      <c r="R369" s="7"/>
      <c r="S369" s="7"/>
      <c r="T369" s="7"/>
      <c r="U369" s="7"/>
      <c r="V369" s="7"/>
      <c r="W369" s="7"/>
      <c r="X369" s="7"/>
      <c r="Y369" s="227"/>
      <c r="Z369" s="228"/>
      <c r="AA369" s="7">
        <f>(INDEX('Race 19'!$E$8:$E$200,(MATCH($B369,'Race 19'!$B$8:$B$200,0)),1))*100</f>
        <v>94.376630757095853</v>
      </c>
      <c r="AB369" s="7">
        <f>(INDEX('Race 20'!$E$8:$E$200,(MATCH($B369,'Race 20'!$B$8:$B$200,0)),1))*100</f>
        <v>91.350983033530383</v>
      </c>
      <c r="AC369" s="7"/>
      <c r="AD369" s="7"/>
      <c r="AE369" s="7"/>
      <c r="AF369" s="74">
        <f>(INDEX('Race 24'!$E$8:$E$200,(MATCH($B369,'Race 24'!$B$8:$B$200,0)),1))*100</f>
        <v>92.826489509603334</v>
      </c>
      <c r="AG369" s="7"/>
      <c r="AH369" s="7"/>
      <c r="AI369" s="7"/>
      <c r="AJ369" s="7"/>
      <c r="AK369" s="7"/>
      <c r="AL369" s="7"/>
      <c r="AM369" s="7"/>
      <c r="AN369" s="7"/>
      <c r="AO369" s="74"/>
      <c r="AP369" s="74">
        <f>(INDEX('Race 34'!$E$8:$E$200,(MATCH($B369,'Race 34'!$B$8:$B$200,0)),1))*100</f>
        <v>93.095564204193863</v>
      </c>
      <c r="AQ369" s="74">
        <f>(INDEX('Race 35'!$E$8:$E$200,(MATCH($B369,'Race 35'!$B$8:$B$200,0)),1))*100</f>
        <v>89.003617591808535</v>
      </c>
      <c r="AR369" s="70"/>
      <c r="AS369" s="7"/>
      <c r="AT369" s="70"/>
      <c r="AU369" s="7"/>
      <c r="AV369" s="70"/>
      <c r="AW369" s="7"/>
      <c r="AX369" s="8"/>
      <c r="AY369" s="36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4"/>
      <c r="BK369" s="14"/>
      <c r="BL369" s="7"/>
      <c r="BM369" s="7"/>
      <c r="BN369" s="74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101"/>
      <c r="CL369" s="74"/>
      <c r="CM369" s="74"/>
      <c r="CN369" s="74">
        <f>(INDEX('Race 84'!$E$8:$E$200,(MATCH($B369,'Race 84'!$B$8:$B$200,0)),1))*100</f>
        <v>96.629235963156717</v>
      </c>
      <c r="CO369" s="70"/>
      <c r="CP369" s="7">
        <f>(INDEX('Race 86'!$E$8:$E$200,(MATCH($B369,'Race 86'!$B$8:$B$200,0)),1))*100</f>
        <v>102.02906540026966</v>
      </c>
      <c r="CQ369" s="7"/>
      <c r="CR369" s="74"/>
      <c r="CS369" s="74"/>
      <c r="CT369" s="74"/>
      <c r="CU369" s="74"/>
      <c r="CV369" s="7">
        <f>(INDEX('Race 92'!$E$8:$E$200,(MATCH($B369,'Race 92'!$B$8:$B$200,0)),1))*100</f>
        <v>93.937572768575535</v>
      </c>
      <c r="CW369" s="7"/>
      <c r="CX369" s="7"/>
      <c r="CY369" s="7"/>
      <c r="CZ369" s="74"/>
      <c r="DA369" s="7"/>
      <c r="DB369" s="7"/>
      <c r="DC369" s="74"/>
      <c r="DD369" s="7"/>
      <c r="DE369" s="74"/>
      <c r="DF369" s="74"/>
      <c r="DG369" s="74"/>
      <c r="DH369" s="74"/>
      <c r="DI369" s="74"/>
      <c r="DJ369" s="7"/>
      <c r="DK369" s="74"/>
      <c r="DL369" s="7"/>
      <c r="DM369" s="74"/>
      <c r="DN369" s="7"/>
      <c r="DO369" s="74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8">
        <f t="shared" si="89"/>
        <v>93.61234899249267</v>
      </c>
      <c r="EA369" s="3" t="str">
        <f t="shared" si="90"/>
        <v>Schommer, Paul</v>
      </c>
      <c r="EB369" s="2">
        <f t="shared" si="91"/>
        <v>1</v>
      </c>
      <c r="EC369" s="112">
        <f t="shared" si="87"/>
        <v>94.093188352610781</v>
      </c>
      <c r="ED369" s="29">
        <f t="shared" si="92"/>
        <v>94.633599556731212</v>
      </c>
      <c r="EE369" s="2">
        <f t="shared" si="93"/>
        <v>7</v>
      </c>
      <c r="EF369" s="46">
        <f t="shared" si="94"/>
        <v>9</v>
      </c>
      <c r="EG369" s="46">
        <f t="shared" si="95"/>
        <v>12</v>
      </c>
      <c r="EH369" s="29" t="str">
        <f t="shared" si="96"/>
        <v>MN</v>
      </c>
      <c r="EI369" s="29">
        <f>IF(COUNT(I369:Y369)&lt;5,DZ369,SUMPRODUCT(LARGE(I369:Y369,{1,2,3,4,5}))/5)</f>
        <v>93.61234899249267</v>
      </c>
      <c r="EJ369" s="29">
        <f>IF(COUNT(I369:AX369)&lt;5,DZ369,SUMPRODUCT(LARGE(I369:AX369,{1,2,3,4,5}))/5)</f>
        <v>93.60112568228071</v>
      </c>
      <c r="EK369" s="29">
        <f>IF(COUNT(I369:DY369)&lt;5,AVERAGE(I369:DY369),SUMPRODUCT(LARGE(I369:DY369,{1,2,3,4,5}))/5)</f>
        <v>96.185590589461611</v>
      </c>
      <c r="EL369" s="29">
        <f t="shared" si="97"/>
        <v>94.633599556731212</v>
      </c>
      <c r="EM369" s="116" t="str">
        <f t="shared" si="98"/>
        <v>Schommer, Paul</v>
      </c>
      <c r="EQ369"/>
    </row>
    <row r="370" spans="1:147" x14ac:dyDescent="0.25">
      <c r="A370" s="59">
        <f t="shared" si="85"/>
        <v>367</v>
      </c>
      <c r="B370" s="4" t="s">
        <v>165</v>
      </c>
      <c r="C370" s="5" t="s">
        <v>6</v>
      </c>
      <c r="D370" s="5" t="s">
        <v>62</v>
      </c>
      <c r="E370" s="6">
        <v>75.432601758267779</v>
      </c>
      <c r="F370" s="6">
        <v>73.043560901441296</v>
      </c>
      <c r="G370" s="5">
        <f t="shared" si="88"/>
        <v>5</v>
      </c>
      <c r="H370" s="99">
        <v>73.863711227329304</v>
      </c>
      <c r="I370" s="36"/>
      <c r="J370" s="7"/>
      <c r="K370" s="7"/>
      <c r="L370" s="7"/>
      <c r="M370" s="7"/>
      <c r="N370" s="7"/>
      <c r="O370" s="7">
        <f>(INDEX('Race 7'!$E$8:$E$200,(MATCH($B370,'Race 7'!$B$8:$B$200,0)),1))*100</f>
        <v>75.432601758267779</v>
      </c>
      <c r="P370" s="7"/>
      <c r="Q370" s="7"/>
      <c r="R370" s="7"/>
      <c r="S370" s="7"/>
      <c r="T370" s="7"/>
      <c r="U370" s="7"/>
      <c r="V370" s="7"/>
      <c r="W370" s="7"/>
      <c r="X370" s="7"/>
      <c r="Y370" s="227"/>
      <c r="Z370" s="228"/>
      <c r="AA370" s="7"/>
      <c r="AB370" s="7"/>
      <c r="AC370" s="7"/>
      <c r="AD370" s="7"/>
      <c r="AE370" s="7"/>
      <c r="AF370" s="7"/>
      <c r="AG370" s="74">
        <f>(INDEX('Race 25'!$E$8:$E$200,(MATCH($B370,'Race 25'!$B$8:$B$200,0)),1))*100</f>
        <v>70.992604020397792</v>
      </c>
      <c r="AH370" s="7"/>
      <c r="AI370" s="7"/>
      <c r="AJ370" s="7"/>
      <c r="AK370" s="7"/>
      <c r="AL370" s="74">
        <f>(INDEX('Race 30'!$E$8:$E$200,(MATCH($B370,'Race 30'!$B$8:$B$200,0)),1))*100</f>
        <v>72.705476925658289</v>
      </c>
      <c r="AM370" s="7"/>
      <c r="AN370" s="7"/>
      <c r="AO370" s="7"/>
      <c r="AP370" s="7"/>
      <c r="AQ370" s="74"/>
      <c r="AR370" s="70"/>
      <c r="AS370" s="7"/>
      <c r="AT370" s="70"/>
      <c r="AU370" s="7"/>
      <c r="AV370" s="70"/>
      <c r="AW370" s="7"/>
      <c r="AX370" s="8"/>
      <c r="AY370" s="36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14"/>
      <c r="BL370" s="7"/>
      <c r="BM370" s="7"/>
      <c r="BN370" s="7"/>
      <c r="BO370" s="7"/>
      <c r="BP370" s="7"/>
      <c r="BQ370" s="7"/>
      <c r="BR370" s="7"/>
      <c r="BS370" s="7">
        <f>(INDEX('Race 63'!$E$8:$E$200,(MATCH($B370,'Race 63'!$B$8:$B$200,0)),1))*100</f>
        <v>79.392522904872408</v>
      </c>
      <c r="BT370" s="7">
        <f>(INDEX('Race 64'!$E$8:$E$200,(MATCH($B370,'Race 64'!$B$8:$B$200,0)),1))*100</f>
        <v>79.950253078386197</v>
      </c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101"/>
      <c r="CL370" s="74"/>
      <c r="CM370" s="74"/>
      <c r="CN370" s="74"/>
      <c r="CO370" s="70"/>
      <c r="CP370" s="74"/>
      <c r="CQ370" s="7"/>
      <c r="CR370" s="74"/>
      <c r="CS370" s="74"/>
      <c r="CT370" s="74"/>
      <c r="CU370" s="74"/>
      <c r="CV370" s="74"/>
      <c r="CW370" s="7"/>
      <c r="CX370" s="7"/>
      <c r="CY370" s="7"/>
      <c r="CZ370" s="74"/>
      <c r="DA370" s="7"/>
      <c r="DB370" s="7"/>
      <c r="DC370" s="74"/>
      <c r="DD370" s="7"/>
      <c r="DE370" s="74"/>
      <c r="DF370" s="74"/>
      <c r="DG370" s="74"/>
      <c r="DH370" s="74"/>
      <c r="DI370" s="74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8">
        <f t="shared" si="89"/>
        <v>75.694691737516493</v>
      </c>
      <c r="EA370" s="3" t="str">
        <f t="shared" si="90"/>
        <v>Schwab, Mark</v>
      </c>
      <c r="EB370" s="2">
        <f t="shared" si="91"/>
        <v>1</v>
      </c>
      <c r="EC370" s="112">
        <f t="shared" si="87"/>
        <v>73.863711227329304</v>
      </c>
      <c r="ED370" s="29">
        <f t="shared" si="92"/>
        <v>74.4733291396266</v>
      </c>
      <c r="EE370" s="2">
        <f t="shared" si="93"/>
        <v>2</v>
      </c>
      <c r="EF370" s="46">
        <f t="shared" si="94"/>
        <v>3</v>
      </c>
      <c r="EG370" s="46">
        <f t="shared" si="95"/>
        <v>5</v>
      </c>
      <c r="EH370" s="2" t="str">
        <f t="shared" si="96"/>
        <v>CO</v>
      </c>
      <c r="EI370" s="29">
        <f>IF(COUNT(I370:Y370)&lt;5,DZ370,SUMPRODUCT(LARGE(I370:Y370,{1,2,3,4,5}))/5)</f>
        <v>75.694691737516493</v>
      </c>
      <c r="EJ370" s="29">
        <f>IF(COUNT(I370:AX370)&lt;5,DZ370,SUMPRODUCT(LARGE(I370:AX370,{1,2,3,4,5}))/5)</f>
        <v>75.694691737516493</v>
      </c>
      <c r="EK370" s="29">
        <f>IF(COUNT(I370:DY370)&lt;5,AVERAGE(I370:DY370),SUMPRODUCT(LARGE(I370:DY370,{1,2,3,4,5}))/5)</f>
        <v>75.694691737516479</v>
      </c>
      <c r="EL370" s="29">
        <f t="shared" si="97"/>
        <v>74.4733291396266</v>
      </c>
      <c r="EM370" s="116" t="str">
        <f t="shared" si="98"/>
        <v>Schwab, Mark</v>
      </c>
      <c r="EQ370"/>
    </row>
    <row r="371" spans="1:147" x14ac:dyDescent="0.25">
      <c r="A371" s="59">
        <f t="shared" si="85"/>
        <v>368</v>
      </c>
      <c r="B371" s="32" t="s">
        <v>1290</v>
      </c>
      <c r="C371" s="5" t="s">
        <v>6</v>
      </c>
      <c r="D371" s="6" t="s">
        <v>61</v>
      </c>
      <c r="E371" s="6">
        <v>0</v>
      </c>
      <c r="F371" s="6">
        <v>0</v>
      </c>
      <c r="G371" s="5">
        <f t="shared" si="88"/>
        <v>2</v>
      </c>
      <c r="H371" s="99">
        <v>0</v>
      </c>
      <c r="I371" s="36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227"/>
      <c r="Z371" s="228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4"/>
      <c r="AP371" s="7"/>
      <c r="AQ371" s="74"/>
      <c r="AR371" s="70"/>
      <c r="AS371" s="7"/>
      <c r="AT371" s="70"/>
      <c r="AU371" s="7"/>
      <c r="AV371" s="70"/>
      <c r="AW371" s="7"/>
      <c r="AX371" s="8"/>
      <c r="AY371" s="36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14"/>
      <c r="BL371" s="7"/>
      <c r="BM371" s="7"/>
      <c r="BN371" s="74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>
        <f>(INDEX('Race 75'!$E$8:$E$200,(MATCH($B371,'Race 75'!$B$8:$B$200,0)),1))*100</f>
        <v>51.854927051904795</v>
      </c>
      <c r="CF371" s="74">
        <f>(INDEX('Race 76'!$E$8:$E$200,(MATCH($B371,'Race 76'!$B$8:$B$200,0)),1))*100</f>
        <v>52.161354646127265</v>
      </c>
      <c r="CG371" s="7"/>
      <c r="CH371" s="7"/>
      <c r="CI371" s="7"/>
      <c r="CJ371" s="7"/>
      <c r="CK371" s="101"/>
      <c r="CL371" s="74"/>
      <c r="CM371" s="74"/>
      <c r="CN371" s="74"/>
      <c r="CO371" s="70"/>
      <c r="CP371" s="74"/>
      <c r="CQ371" s="7"/>
      <c r="CR371" s="74"/>
      <c r="CS371" s="74"/>
      <c r="CT371" s="74"/>
      <c r="CU371" s="74"/>
      <c r="CV371" s="7"/>
      <c r="CW371" s="7"/>
      <c r="CX371" s="7"/>
      <c r="CY371" s="7"/>
      <c r="CZ371" s="7"/>
      <c r="DA371" s="7"/>
      <c r="DB371" s="7"/>
      <c r="DC371" s="7"/>
      <c r="DD371" s="7"/>
      <c r="DE371" s="74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8">
        <f t="shared" si="89"/>
        <v>52.00814084901603</v>
      </c>
      <c r="EA371" s="3" t="str">
        <f t="shared" si="90"/>
        <v>SCHWARTZ, Adam</v>
      </c>
      <c r="EB371" s="2">
        <f t="shared" si="91"/>
        <v>1</v>
      </c>
      <c r="EC371" s="112">
        <f t="shared" si="87"/>
        <v>0</v>
      </c>
      <c r="ED371" s="29">
        <f t="shared" si="92"/>
        <v>51.168969745194829</v>
      </c>
      <c r="EE371" s="2">
        <f t="shared" si="93"/>
        <v>0</v>
      </c>
      <c r="EF371" s="46">
        <f t="shared" si="94"/>
        <v>0</v>
      </c>
      <c r="EG371" s="46">
        <f t="shared" si="95"/>
        <v>2</v>
      </c>
      <c r="EH371" s="29" t="str">
        <f t="shared" si="96"/>
        <v>AK</v>
      </c>
      <c r="EI371" s="29">
        <f>IF(COUNT(I371:AD371)&lt;5,DZ371,SUMPRODUCT(LARGE(I371:AD371,{1,2,3,4,5}))/5)</f>
        <v>52.00814084901603</v>
      </c>
      <c r="EJ371" s="29">
        <f>IF(COUNT(I371:BE371)&lt;5,DZ371,SUMPRODUCT(LARGE(I371:BE371,{1,2,3,4,5}))/5)</f>
        <v>52.00814084901603</v>
      </c>
      <c r="EK371" s="112">
        <f>IF(COUNT(I371:DY371)&lt;5,AVERAGE(I371:DY371),SUMPRODUCT(LARGE(I371:DY371,{1,2,3,4,5}))/5)</f>
        <v>52.00814084901603</v>
      </c>
      <c r="EL371" s="29">
        <f t="shared" si="97"/>
        <v>51.168969745194829</v>
      </c>
      <c r="EM371" s="116" t="str">
        <f t="shared" si="98"/>
        <v>SCHWARTZ, Adam</v>
      </c>
      <c r="EQ371"/>
    </row>
    <row r="372" spans="1:147" x14ac:dyDescent="0.25">
      <c r="A372" s="59">
        <f t="shared" si="85"/>
        <v>369</v>
      </c>
      <c r="B372" s="32" t="s">
        <v>1143</v>
      </c>
      <c r="C372" s="5" t="s">
        <v>6</v>
      </c>
      <c r="D372" s="6" t="s">
        <v>61</v>
      </c>
      <c r="E372" s="6">
        <v>0</v>
      </c>
      <c r="F372" s="6">
        <v>62.321263713188017</v>
      </c>
      <c r="G372" s="5">
        <f t="shared" si="88"/>
        <v>2</v>
      </c>
      <c r="H372" s="37">
        <v>0</v>
      </c>
      <c r="I372" s="36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227"/>
      <c r="Z372" s="228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4"/>
      <c r="AP372" s="7"/>
      <c r="AQ372" s="74"/>
      <c r="AR372" s="70"/>
      <c r="AS372" s="7"/>
      <c r="AT372" s="70"/>
      <c r="AU372" s="7"/>
      <c r="AV372" s="70"/>
      <c r="AW372" s="7">
        <f>(INDEX('Race 41'!$E$8:$E$200,(MATCH($B372,'Race 41'!$B$8:$B$200,0)),1))*100</f>
        <v>59.5950816806047</v>
      </c>
      <c r="AX372" s="8">
        <f>(INDEX('Race 42'!$E$8:$E$200,(MATCH($B372,'Race 42'!$B$8:$B$200,0)),1))*100</f>
        <v>65.047445745771327</v>
      </c>
      <c r="AY372" s="36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14"/>
      <c r="BL372" s="7"/>
      <c r="BM372" s="7"/>
      <c r="BN372" s="74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101"/>
      <c r="CL372" s="74"/>
      <c r="CM372" s="74"/>
      <c r="CN372" s="74"/>
      <c r="CO372" s="70"/>
      <c r="CP372" s="74"/>
      <c r="CQ372" s="7"/>
      <c r="CR372" s="74"/>
      <c r="CS372" s="74"/>
      <c r="CT372" s="74"/>
      <c r="CU372" s="74"/>
      <c r="CV372" s="7"/>
      <c r="CW372" s="7"/>
      <c r="CX372" s="7"/>
      <c r="CY372" s="7"/>
      <c r="CZ372" s="7"/>
      <c r="DA372" s="7"/>
      <c r="DB372" s="7"/>
      <c r="DC372" s="7"/>
      <c r="DD372" s="7"/>
      <c r="DE372" s="74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8">
        <f t="shared" si="89"/>
        <v>62.321263713188017</v>
      </c>
      <c r="EA372" s="3" t="str">
        <f t="shared" si="90"/>
        <v>Sebring, Jason</v>
      </c>
      <c r="EB372" s="2">
        <f t="shared" si="91"/>
        <v>1</v>
      </c>
      <c r="EC372" s="112">
        <f t="shared" si="87"/>
        <v>0</v>
      </c>
      <c r="ED372" s="29">
        <f t="shared" si="92"/>
        <v>61.315686455320758</v>
      </c>
      <c r="EE372" s="2">
        <f t="shared" si="93"/>
        <v>0</v>
      </c>
      <c r="EF372" s="46">
        <f t="shared" si="94"/>
        <v>2</v>
      </c>
      <c r="EG372" s="46">
        <f t="shared" si="95"/>
        <v>2</v>
      </c>
      <c r="EH372" s="29" t="str">
        <f t="shared" si="96"/>
        <v>AK</v>
      </c>
      <c r="EI372" s="29">
        <f>IF(COUNT(I372:AD372)&lt;5,DZ372,SUMPRODUCT(LARGE(I372:AD372,{1,2,3,4,5}))/5)</f>
        <v>62.321263713188017</v>
      </c>
      <c r="EJ372" s="29">
        <f>IF(COUNT(I372:AX372)&lt;5,DZ372,SUMPRODUCT(LARGE(I372:AX372,{1,2,3,4,5}))/5)</f>
        <v>62.321263713188017</v>
      </c>
      <c r="EK372" s="112">
        <f>IF(COUNT(I372:DY372)&lt;5,AVERAGE(I372:DY372),SUMPRODUCT(LARGE(I372:DY372,{1,2,3,4,5}))/5)</f>
        <v>62.321263713188017</v>
      </c>
      <c r="EL372" s="29">
        <f t="shared" si="97"/>
        <v>61.315686455320758</v>
      </c>
      <c r="EM372" s="116" t="str">
        <f t="shared" si="98"/>
        <v>Sebring, Jason</v>
      </c>
      <c r="EQ372"/>
    </row>
    <row r="373" spans="1:147" x14ac:dyDescent="0.25">
      <c r="A373" s="59">
        <f t="shared" si="85"/>
        <v>370</v>
      </c>
      <c r="B373" s="32" t="s">
        <v>758</v>
      </c>
      <c r="C373" s="5" t="s">
        <v>6</v>
      </c>
      <c r="D373" s="6" t="s">
        <v>87</v>
      </c>
      <c r="E373" s="6">
        <v>45.907986673761499</v>
      </c>
      <c r="F373" s="6">
        <v>45.907986673761499</v>
      </c>
      <c r="G373" s="5">
        <f t="shared" si="88"/>
        <v>4</v>
      </c>
      <c r="H373" s="37">
        <v>45.907986673761499</v>
      </c>
      <c r="I373" s="10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227"/>
      <c r="Z373" s="228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4"/>
      <c r="AP373" s="7"/>
      <c r="AQ373" s="74"/>
      <c r="AR373" s="70"/>
      <c r="AS373" s="7"/>
      <c r="AT373" s="70"/>
      <c r="AU373" s="7"/>
      <c r="AV373" s="70"/>
      <c r="AW373" s="7"/>
      <c r="AX373" s="8"/>
      <c r="AY373" s="36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14"/>
      <c r="BL373" s="7"/>
      <c r="BM373" s="7"/>
      <c r="BN373" s="74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4"/>
      <c r="CD373" s="7"/>
      <c r="CE373" s="7"/>
      <c r="CF373" s="74"/>
      <c r="CG373" s="7"/>
      <c r="CH373" s="7"/>
      <c r="CI373" s="7"/>
      <c r="CJ373" s="7"/>
      <c r="CK373" s="101"/>
      <c r="CL373" s="74"/>
      <c r="CM373" s="74"/>
      <c r="CN373" s="74"/>
      <c r="CO373" s="70"/>
      <c r="CP373" s="74"/>
      <c r="CQ373" s="7"/>
      <c r="CR373" s="74">
        <f>(INDEX('Race 88'!$E$8:$E$200,(MATCH($B373,'Race 88'!$B$8:$B$200,0)),1))*100</f>
        <v>54.754781099440017</v>
      </c>
      <c r="CS373" s="74">
        <f>(INDEX('Race 89'!$E$8:$E$200,(MATCH($B373,'Race 89'!$B$8:$B$200,0)),1))*100</f>
        <v>55.754596855956031</v>
      </c>
      <c r="CT373" s="74">
        <f>(INDEX('Race 90'!$E$8:$E$200,(MATCH($B373,'Race 90'!$B$8:$B$200,0)),1))*100</f>
        <v>47.181806934309236</v>
      </c>
      <c r="CU373" s="74">
        <f>(INDEX('Race 91'!$E$8:$E$200,(MATCH($B373,'Race 91'!$B$8:$B$200,0)),1))*100</f>
        <v>47.278293285478718</v>
      </c>
      <c r="CV373" s="7"/>
      <c r="CW373" s="7"/>
      <c r="CX373" s="7"/>
      <c r="CY373" s="7"/>
      <c r="CZ373" s="7"/>
      <c r="DA373" s="7"/>
      <c r="DB373" s="7"/>
      <c r="DC373" s="7"/>
      <c r="DD373" s="7"/>
      <c r="DE373" s="74"/>
      <c r="DF373" s="74"/>
      <c r="DG373" s="74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8">
        <f t="shared" si="89"/>
        <v>51.242369543796002</v>
      </c>
      <c r="EA373" s="3" t="str">
        <f t="shared" si="90"/>
        <v>Seiffert, Michael</v>
      </c>
      <c r="EB373" s="2">
        <f t="shared" si="91"/>
        <v>1</v>
      </c>
      <c r="EC373" s="112">
        <f t="shared" si="87"/>
        <v>45.907986673761499</v>
      </c>
      <c r="ED373" s="29">
        <f t="shared" si="92"/>
        <v>50.415554450802837</v>
      </c>
      <c r="EE373" s="2">
        <f t="shared" si="93"/>
        <v>0</v>
      </c>
      <c r="EF373" s="46">
        <f t="shared" si="94"/>
        <v>0</v>
      </c>
      <c r="EG373" s="46">
        <f t="shared" si="95"/>
        <v>4</v>
      </c>
      <c r="EH373" s="2" t="str">
        <f t="shared" si="96"/>
        <v>CA</v>
      </c>
      <c r="EI373" s="29">
        <f>IF(COUNT(I373:Y373)&lt;5,DZ373,SUMPRODUCT(LARGE(I373:Y373,{1,2,3,4,5}))/5)</f>
        <v>51.242369543796002</v>
      </c>
      <c r="EJ373" s="29">
        <f>IF(COUNT(I373:AX373)&lt;5,DZ373,SUMPRODUCT(LARGE(I373:AX373,{1,2,3,4,5}))/5)</f>
        <v>51.242369543796002</v>
      </c>
      <c r="EK373" s="29">
        <f>IF(COUNT(I373:DY373)&lt;5,AVERAGE(I373:DY373),SUMPRODUCT(LARGE(I373:DY373,{1,2,3,4,5}))/5)</f>
        <v>51.242369543796002</v>
      </c>
      <c r="EL373" s="29">
        <f t="shared" si="97"/>
        <v>50.415554450802837</v>
      </c>
      <c r="EM373" s="116" t="str">
        <f t="shared" si="98"/>
        <v>Seiffert, Michael</v>
      </c>
      <c r="EQ373"/>
    </row>
    <row r="374" spans="1:147" x14ac:dyDescent="0.25">
      <c r="A374" s="59">
        <f t="shared" si="85"/>
        <v>371</v>
      </c>
      <c r="B374" s="32" t="s">
        <v>399</v>
      </c>
      <c r="C374" s="5" t="s">
        <v>6</v>
      </c>
      <c r="D374" s="6" t="s">
        <v>58</v>
      </c>
      <c r="E374" s="6">
        <v>58.688336780834739</v>
      </c>
      <c r="F374" s="6">
        <v>58.688336780834739</v>
      </c>
      <c r="G374" s="5">
        <f t="shared" si="88"/>
        <v>0</v>
      </c>
      <c r="H374" s="37">
        <v>58.688336780834739</v>
      </c>
      <c r="I374" s="36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227"/>
      <c r="Z374" s="228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4"/>
      <c r="AP374" s="7"/>
      <c r="AQ374" s="74"/>
      <c r="AR374" s="70"/>
      <c r="AS374" s="7"/>
      <c r="AT374" s="70"/>
      <c r="AU374" s="7"/>
      <c r="AV374" s="70"/>
      <c r="AW374" s="7"/>
      <c r="AX374" s="8"/>
      <c r="AY374" s="36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14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101"/>
      <c r="CL374" s="74"/>
      <c r="CM374" s="74"/>
      <c r="CN374" s="74"/>
      <c r="CO374" s="70"/>
      <c r="CP374" s="74"/>
      <c r="CQ374" s="7"/>
      <c r="CR374" s="74"/>
      <c r="CS374" s="74"/>
      <c r="CT374" s="74"/>
      <c r="CU374" s="74"/>
      <c r="CV374" s="74"/>
      <c r="CW374" s="7"/>
      <c r="CX374" s="7"/>
      <c r="CY374" s="7"/>
      <c r="CZ374" s="7"/>
      <c r="DA374" s="7"/>
      <c r="DB374" s="7"/>
      <c r="DC374" s="7"/>
      <c r="DD374" s="7"/>
      <c r="DE374" s="74"/>
      <c r="DF374" s="74"/>
      <c r="DG374" s="74"/>
      <c r="DH374" s="74"/>
      <c r="DI374" s="74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8">
        <f t="shared" si="89"/>
        <v>58.688336780834739</v>
      </c>
      <c r="EA374" s="3" t="str">
        <f t="shared" si="90"/>
        <v>Senchea, Ion</v>
      </c>
      <c r="EB374" s="2">
        <f t="shared" si="91"/>
        <v>0</v>
      </c>
      <c r="EC374" s="112">
        <f t="shared" si="87"/>
        <v>58.688336780834739</v>
      </c>
      <c r="ED374" s="29">
        <f t="shared" si="92"/>
        <v>0</v>
      </c>
      <c r="EE374" s="2">
        <f t="shared" si="93"/>
        <v>0</v>
      </c>
      <c r="EF374" s="46">
        <f t="shared" si="94"/>
        <v>0</v>
      </c>
      <c r="EG374" s="46">
        <f t="shared" si="95"/>
        <v>0</v>
      </c>
      <c r="EH374" s="2" t="str">
        <f t="shared" si="96"/>
        <v>MN</v>
      </c>
      <c r="EI374" s="29">
        <f>IF(COUNT(I374:Y374)&lt;5,DZ374,SUMPRODUCT(LARGE(I374:Y374,{1,2,3,4,5}))/5)</f>
        <v>58.688336780834739</v>
      </c>
      <c r="EJ374" s="29">
        <f>IF(COUNT(I374:AX374)&lt;5,DZ374,SUMPRODUCT(LARGE(I374:AX374,{1,2,3,4,5}))/5)</f>
        <v>58.688336780834739</v>
      </c>
      <c r="EK374" s="112">
        <f>IF(EG374&lt;0,AVERAGE(I374:DY374),0)</f>
        <v>0</v>
      </c>
      <c r="EL374" s="29">
        <f t="shared" si="97"/>
        <v>0</v>
      </c>
      <c r="EM374" s="116" t="str">
        <f t="shared" si="98"/>
        <v>Senchea, Ion</v>
      </c>
      <c r="EQ374"/>
    </row>
    <row r="375" spans="1:147" x14ac:dyDescent="0.25">
      <c r="A375" s="59">
        <f t="shared" si="85"/>
        <v>372</v>
      </c>
      <c r="B375" s="32" t="s">
        <v>922</v>
      </c>
      <c r="C375" s="5" t="s">
        <v>6</v>
      </c>
      <c r="D375" s="6" t="s">
        <v>87</v>
      </c>
      <c r="E375" s="6">
        <v>40.492629924536757</v>
      </c>
      <c r="F375" s="6">
        <v>62.778085096258472</v>
      </c>
      <c r="G375" s="5">
        <f t="shared" si="88"/>
        <v>4</v>
      </c>
      <c r="H375" s="37">
        <v>40.492629924536757</v>
      </c>
      <c r="I375" s="36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227"/>
      <c r="Z375" s="228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4"/>
      <c r="AP375" s="7"/>
      <c r="AQ375" s="74"/>
      <c r="AR375" s="70"/>
      <c r="AS375" s="7"/>
      <c r="AT375" s="70"/>
      <c r="AU375" s="7"/>
      <c r="AV375" s="70"/>
      <c r="AW375" s="7">
        <f>(INDEX('Race 41'!$E$8:$E$200,(MATCH($B375,'Race 41'!$B$8:$B$200,0)),1))*100</f>
        <v>58.897188628719746</v>
      </c>
      <c r="AX375" s="8">
        <f>(INDEX('Race 42'!$E$8:$E$200,(MATCH($B375,'Race 42'!$B$8:$B$200,0)),1))*100</f>
        <v>66.658981563797198</v>
      </c>
      <c r="AY375" s="36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14"/>
      <c r="BL375" s="7"/>
      <c r="BM375" s="7"/>
      <c r="BN375" s="74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>
        <f>(INDEX('Race 75'!$E$8:$E$200,(MATCH($B375,'Race 75'!$B$8:$B$200,0)),1))*100</f>
        <v>58.396847280658072</v>
      </c>
      <c r="CF375" s="7">
        <f>(INDEX('Race 76'!$E$8:$E$200,(MATCH($B375,'Race 76'!$B$8:$B$200,0)),1))*100</f>
        <v>59.188272888610051</v>
      </c>
      <c r="CG375" s="7"/>
      <c r="CH375" s="7"/>
      <c r="CI375" s="7"/>
      <c r="CJ375" s="7"/>
      <c r="CK375" s="101"/>
      <c r="CL375" s="74"/>
      <c r="CM375" s="74"/>
      <c r="CN375" s="74"/>
      <c r="CO375" s="70"/>
      <c r="CP375" s="74"/>
      <c r="CQ375" s="7"/>
      <c r="CR375" s="74"/>
      <c r="CS375" s="74"/>
      <c r="CT375" s="74"/>
      <c r="CU375" s="74"/>
      <c r="CV375" s="7"/>
      <c r="CW375" s="7"/>
      <c r="CX375" s="7"/>
      <c r="CY375" s="7"/>
      <c r="CZ375" s="7"/>
      <c r="DA375" s="7"/>
      <c r="DB375" s="7"/>
      <c r="DC375" s="7"/>
      <c r="DD375" s="7"/>
      <c r="DE375" s="74"/>
      <c r="DF375" s="74"/>
      <c r="DG375" s="74"/>
      <c r="DH375" s="7"/>
      <c r="DI375" s="74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8">
        <f t="shared" si="89"/>
        <v>60.785322590446263</v>
      </c>
      <c r="EA375" s="3" t="str">
        <f t="shared" si="90"/>
        <v>Sergeyev, David</v>
      </c>
      <c r="EB375" s="2">
        <f t="shared" si="91"/>
        <v>1</v>
      </c>
      <c r="EC375" s="112">
        <f t="shared" si="87"/>
        <v>40.492629924536757</v>
      </c>
      <c r="ED375" s="29">
        <f t="shared" si="92"/>
        <v>59.804528325901479</v>
      </c>
      <c r="EE375" s="2">
        <f t="shared" si="93"/>
        <v>0</v>
      </c>
      <c r="EF375" s="46">
        <f t="shared" si="94"/>
        <v>2</v>
      </c>
      <c r="EG375" s="46">
        <f t="shared" si="95"/>
        <v>4</v>
      </c>
      <c r="EH375" s="29" t="str">
        <f t="shared" si="96"/>
        <v>CA</v>
      </c>
      <c r="EI375" s="29">
        <f>IF(COUNT(I375:Y375)&lt;5,DZ375,SUMPRODUCT(LARGE(I375:Y375,{1,2,3,4,5}))/5)</f>
        <v>60.785322590446263</v>
      </c>
      <c r="EJ375" s="29">
        <f>IF(COUNT(I375:AX375)&lt;5,DZ375,SUMPRODUCT(LARGE(I375:AX375,{1,2,3,4,5}))/5)</f>
        <v>60.785322590446263</v>
      </c>
      <c r="EK375" s="29">
        <f>IF(COUNT(I375:DY375)&lt;5,AVERAGE(I375:DY375),SUMPRODUCT(LARGE(I375:DY375,{1,2,3,4,5}))/5)</f>
        <v>60.785322590446263</v>
      </c>
      <c r="EL375" s="29">
        <f t="shared" si="97"/>
        <v>59.804528325901479</v>
      </c>
      <c r="EM375" s="116" t="str">
        <f t="shared" si="98"/>
        <v>Sergeyev, David</v>
      </c>
      <c r="EQ375"/>
    </row>
    <row r="376" spans="1:147" x14ac:dyDescent="0.25">
      <c r="A376" s="59">
        <f t="shared" si="85"/>
        <v>373</v>
      </c>
      <c r="B376" s="32" t="s">
        <v>81</v>
      </c>
      <c r="C376" s="5" t="s">
        <v>6</v>
      </c>
      <c r="D376" s="6" t="s">
        <v>57</v>
      </c>
      <c r="E376" s="6">
        <v>59.764313956813048</v>
      </c>
      <c r="F376" s="6">
        <v>62.768852945054114</v>
      </c>
      <c r="G376" s="5">
        <f t="shared" si="88"/>
        <v>3</v>
      </c>
      <c r="H376" s="99">
        <v>59.764313956813048</v>
      </c>
      <c r="I376" s="36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227"/>
      <c r="Z376" s="228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4"/>
      <c r="AP376" s="7"/>
      <c r="AQ376" s="74"/>
      <c r="AR376" s="101">
        <f>(INDEX('Race 36'!$E$8:$E$200,(MATCH($B376,'Race 36'!$B$8:$B$200,0)),1))*100</f>
        <v>61.140830791167147</v>
      </c>
      <c r="AS376" s="7"/>
      <c r="AT376" s="70"/>
      <c r="AU376" s="7"/>
      <c r="AV376" s="70"/>
      <c r="AW376" s="7"/>
      <c r="AX376" s="8"/>
      <c r="AY376" s="36">
        <f>(INDEX('Race 43'!$E$8:$E$200,(MATCH($B376,'Race 43'!$B$8:$B$200,0)),1))*100</f>
        <v>65.221591175051529</v>
      </c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4"/>
      <c r="BK376" s="14"/>
      <c r="BL376" s="74"/>
      <c r="BM376" s="7"/>
      <c r="BN376" s="7"/>
      <c r="BO376" s="7"/>
      <c r="BP376" s="7"/>
      <c r="BQ376" s="7"/>
      <c r="BR376" s="74">
        <f>(INDEX('Race 62'!$E$8:$E$200,(MATCH($B376,'Race 62'!$B$8:$B$200,0)),1))*100</f>
        <v>62.097567487880433</v>
      </c>
      <c r="BS376" s="7"/>
      <c r="BT376" s="7"/>
      <c r="BU376" s="7"/>
      <c r="BV376" s="74"/>
      <c r="BW376" s="74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101"/>
      <c r="CL376" s="7"/>
      <c r="CM376" s="74"/>
      <c r="CN376" s="74"/>
      <c r="CO376" s="101"/>
      <c r="CP376" s="74"/>
      <c r="CQ376" s="7"/>
      <c r="CR376" s="74"/>
      <c r="CS376" s="74"/>
      <c r="CT376" s="74"/>
      <c r="CU376" s="74"/>
      <c r="CV376" s="74"/>
      <c r="CW376" s="7"/>
      <c r="CX376" s="7"/>
      <c r="CY376" s="7"/>
      <c r="CZ376" s="7"/>
      <c r="DA376" s="7"/>
      <c r="DB376" s="7"/>
      <c r="DC376" s="7"/>
      <c r="DD376" s="7"/>
      <c r="DE376" s="74"/>
      <c r="DF376" s="74"/>
      <c r="DG376" s="74"/>
      <c r="DH376" s="74"/>
      <c r="DI376" s="74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8">
        <f t="shared" si="89"/>
        <v>62.819996484699708</v>
      </c>
      <c r="EA376" s="3" t="str">
        <f t="shared" si="90"/>
        <v>Seyse, Eric</v>
      </c>
      <c r="EB376" s="2">
        <f t="shared" si="91"/>
        <v>1</v>
      </c>
      <c r="EC376" s="112">
        <f t="shared" si="87"/>
        <v>59.764313956813048</v>
      </c>
      <c r="ED376" s="29">
        <f t="shared" si="92"/>
        <v>61.80637198415949</v>
      </c>
      <c r="EE376" s="2">
        <f t="shared" si="93"/>
        <v>0</v>
      </c>
      <c r="EF376" s="46">
        <f t="shared" si="94"/>
        <v>2</v>
      </c>
      <c r="EG376" s="46">
        <f t="shared" si="95"/>
        <v>3</v>
      </c>
      <c r="EH376" s="2" t="str">
        <f t="shared" si="96"/>
        <v>NY</v>
      </c>
      <c r="EI376" s="29">
        <f>IF(COUNT(I376:Y376)&lt;5,DZ376,SUMPRODUCT(LARGE(I376:Y376,{1,2,3,4,5}))/5)</f>
        <v>62.819996484699708</v>
      </c>
      <c r="EJ376" s="29">
        <f>IF(COUNT(I376:AX376)&lt;5,DZ376,SUMPRODUCT(LARGE(I376:AX376,{1,2,3,4,5}))/5)</f>
        <v>62.819996484699708</v>
      </c>
      <c r="EK376" s="29">
        <f>IF(COUNT(I376:DY376)&lt;5,AVERAGE(I376:DY376),SUMPRODUCT(LARGE(I376:DY376,{1,2,3,4,5}))/5)</f>
        <v>62.819996484699708</v>
      </c>
      <c r="EL376" s="29">
        <f t="shared" si="97"/>
        <v>61.80637198415949</v>
      </c>
      <c r="EM376" s="116" t="str">
        <f t="shared" si="98"/>
        <v>Seyse, Eric</v>
      </c>
      <c r="EQ376"/>
    </row>
    <row r="377" spans="1:147" x14ac:dyDescent="0.25">
      <c r="A377" s="59">
        <f t="shared" si="85"/>
        <v>374</v>
      </c>
      <c r="B377" s="32" t="s">
        <v>926</v>
      </c>
      <c r="C377" s="5" t="s">
        <v>6</v>
      </c>
      <c r="D377" s="6" t="s">
        <v>781</v>
      </c>
      <c r="E377" s="6">
        <v>30.444874424475742</v>
      </c>
      <c r="F377" s="6">
        <v>30.444874424475742</v>
      </c>
      <c r="G377" s="5">
        <f t="shared" si="88"/>
        <v>0</v>
      </c>
      <c r="H377" s="37">
        <v>30.444874424475742</v>
      </c>
      <c r="I377" s="36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227"/>
      <c r="Z377" s="228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4"/>
      <c r="AP377" s="7"/>
      <c r="AQ377" s="74"/>
      <c r="AR377" s="70"/>
      <c r="AS377" s="7"/>
      <c r="AT377" s="70"/>
      <c r="AU377" s="7"/>
      <c r="AV377" s="70"/>
      <c r="AW377" s="7"/>
      <c r="AX377" s="8"/>
      <c r="AY377" s="36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14"/>
      <c r="BL377" s="7"/>
      <c r="BM377" s="7"/>
      <c r="BN377" s="74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4"/>
      <c r="CF377" s="74"/>
      <c r="CG377" s="7"/>
      <c r="CH377" s="7"/>
      <c r="CI377" s="7"/>
      <c r="CJ377" s="7"/>
      <c r="CK377" s="101"/>
      <c r="CL377" s="74"/>
      <c r="CM377" s="74"/>
      <c r="CN377" s="74"/>
      <c r="CO377" s="70"/>
      <c r="CP377" s="74"/>
      <c r="CQ377" s="7"/>
      <c r="CR377" s="74"/>
      <c r="CS377" s="74"/>
      <c r="CT377" s="74"/>
      <c r="CU377" s="74"/>
      <c r="CV377" s="7"/>
      <c r="CW377" s="7"/>
      <c r="CX377" s="7"/>
      <c r="CY377" s="7"/>
      <c r="CZ377" s="7"/>
      <c r="DA377" s="7"/>
      <c r="DB377" s="7"/>
      <c r="DC377" s="7"/>
      <c r="DD377" s="7"/>
      <c r="DE377" s="74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8">
        <f t="shared" si="89"/>
        <v>30.444874424475742</v>
      </c>
      <c r="EA377" s="3" t="str">
        <f t="shared" si="90"/>
        <v>Shackelford, Eric</v>
      </c>
      <c r="EB377" s="2">
        <f t="shared" si="91"/>
        <v>0</v>
      </c>
      <c r="EC377" s="112">
        <f t="shared" si="87"/>
        <v>30.444874424475742</v>
      </c>
      <c r="ED377" s="29">
        <f t="shared" si="92"/>
        <v>0</v>
      </c>
      <c r="EE377" s="2">
        <f t="shared" si="93"/>
        <v>0</v>
      </c>
      <c r="EF377" s="46">
        <f t="shared" si="94"/>
        <v>0</v>
      </c>
      <c r="EG377" s="46">
        <f t="shared" si="95"/>
        <v>0</v>
      </c>
      <c r="EH377" s="29" t="str">
        <f t="shared" si="96"/>
        <v>KY</v>
      </c>
      <c r="EI377" s="29">
        <f>IF(COUNT(I377:Y377)&lt;5,DZ377,SUMPRODUCT(LARGE(I377:Y377,{1,2,3,4,5}))/5)</f>
        <v>30.444874424475742</v>
      </c>
      <c r="EJ377" s="29">
        <f>IF(COUNT(I377:AX377)&lt;5,DZ377,SUMPRODUCT(LARGE(I377:AX377,{1,2,3,4,5}))/5)</f>
        <v>30.444874424475742</v>
      </c>
      <c r="EK377" s="112">
        <f>IF(EG377&lt;0,AVERAGE(I377:DY377),0)</f>
        <v>0</v>
      </c>
      <c r="EL377" s="29">
        <f t="shared" si="97"/>
        <v>0</v>
      </c>
      <c r="EM377" s="116" t="str">
        <f t="shared" si="98"/>
        <v>Shackelford, Eric</v>
      </c>
      <c r="EQ377"/>
    </row>
    <row r="378" spans="1:147" x14ac:dyDescent="0.25">
      <c r="A378" s="59">
        <f t="shared" si="85"/>
        <v>375</v>
      </c>
      <c r="B378" s="32" t="s">
        <v>1140</v>
      </c>
      <c r="C378" s="5" t="s">
        <v>6</v>
      </c>
      <c r="D378" s="6" t="s">
        <v>781</v>
      </c>
      <c r="E378" s="6">
        <v>0</v>
      </c>
      <c r="F378" s="6">
        <v>37.726060860171664</v>
      </c>
      <c r="G378" s="5">
        <f t="shared" si="88"/>
        <v>2</v>
      </c>
      <c r="H378" s="37">
        <v>0</v>
      </c>
      <c r="I378" s="107"/>
      <c r="J378" s="7"/>
      <c r="K378" s="74"/>
      <c r="L378" s="7"/>
      <c r="M378" s="74"/>
      <c r="N378" s="74"/>
      <c r="O378" s="7"/>
      <c r="P378" s="74"/>
      <c r="Q378" s="7"/>
      <c r="R378" s="74"/>
      <c r="S378" s="74"/>
      <c r="T378" s="7"/>
      <c r="U378" s="7"/>
      <c r="V378" s="74"/>
      <c r="W378" s="7"/>
      <c r="X378" s="74"/>
      <c r="Y378" s="227"/>
      <c r="Z378" s="228"/>
      <c r="AA378" s="74"/>
      <c r="AB378" s="74"/>
      <c r="AC378" s="74"/>
      <c r="AD378" s="74"/>
      <c r="AE378" s="7"/>
      <c r="AF378" s="74"/>
      <c r="AG378" s="74"/>
      <c r="AH378" s="7"/>
      <c r="AI378" s="7"/>
      <c r="AJ378" s="7"/>
      <c r="AK378" s="7"/>
      <c r="AL378" s="7"/>
      <c r="AM378" s="7"/>
      <c r="AN378" s="7"/>
      <c r="AO378" s="74"/>
      <c r="AP378" s="7"/>
      <c r="AQ378" s="74"/>
      <c r="AR378" s="101"/>
      <c r="AS378" s="7"/>
      <c r="AT378" s="101"/>
      <c r="AU378" s="7"/>
      <c r="AV378" s="101"/>
      <c r="AW378" s="7">
        <f>(INDEX('Race 41'!$E$8:$E$200,(MATCH($B378,'Race 41'!$B$8:$B$200,0)),1))*100</f>
        <v>33.625400671267649</v>
      </c>
      <c r="AX378" s="183">
        <f>(INDEX('Race 42'!$E$8:$E$200,(MATCH($B378,'Race 42'!$B$8:$B$200,0)),1))*100</f>
        <v>41.82672104907568</v>
      </c>
      <c r="AY378" s="107"/>
      <c r="AZ378" s="74"/>
      <c r="BA378" s="74"/>
      <c r="BB378" s="74"/>
      <c r="BC378" s="74"/>
      <c r="BD378" s="7"/>
      <c r="BE378" s="7"/>
      <c r="BF378" s="74"/>
      <c r="BG378" s="74"/>
      <c r="BH378" s="74"/>
      <c r="BI378" s="74"/>
      <c r="BJ378" s="74"/>
      <c r="BK378" s="14"/>
      <c r="BL378" s="74"/>
      <c r="BM378" s="7"/>
      <c r="BN378" s="74"/>
      <c r="BO378" s="74"/>
      <c r="BP378" s="7"/>
      <c r="BQ378" s="7"/>
      <c r="BR378" s="7"/>
      <c r="BS378" s="7"/>
      <c r="BT378" s="7"/>
      <c r="BU378" s="74"/>
      <c r="BV378" s="7"/>
      <c r="BW378" s="74"/>
      <c r="BX378" s="74"/>
      <c r="BY378" s="74"/>
      <c r="BZ378" s="74"/>
      <c r="CA378" s="7"/>
      <c r="CB378" s="74"/>
      <c r="CC378" s="74"/>
      <c r="CD378" s="74"/>
      <c r="CE378" s="7"/>
      <c r="CF378" s="74"/>
      <c r="CG378" s="74"/>
      <c r="CH378" s="7"/>
      <c r="CI378" s="74"/>
      <c r="CJ378" s="74"/>
      <c r="CK378" s="101"/>
      <c r="CL378" s="74"/>
      <c r="CM378" s="74"/>
      <c r="CN378" s="74"/>
      <c r="CO378" s="101"/>
      <c r="CP378" s="74"/>
      <c r="CQ378" s="74"/>
      <c r="CR378" s="74"/>
      <c r="CS378" s="74"/>
      <c r="CT378" s="74"/>
      <c r="CU378" s="74"/>
      <c r="CV378" s="74"/>
      <c r="CW378" s="74"/>
      <c r="CX378" s="7"/>
      <c r="CY378" s="7"/>
      <c r="CZ378" s="74"/>
      <c r="DA378" s="74"/>
      <c r="DB378" s="74"/>
      <c r="DC378" s="74"/>
      <c r="DD378" s="7"/>
      <c r="DE378" s="74"/>
      <c r="DF378" s="74"/>
      <c r="DG378" s="74"/>
      <c r="DH378" s="74"/>
      <c r="DI378" s="74"/>
      <c r="DJ378" s="7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74"/>
      <c r="DY378" s="74"/>
      <c r="DZ378" s="8">
        <f t="shared" si="89"/>
        <v>37.726060860171664</v>
      </c>
      <c r="EA378" s="3" t="str">
        <f t="shared" si="90"/>
        <v>Shackelford, James</v>
      </c>
      <c r="EB378" s="2">
        <f t="shared" si="91"/>
        <v>1</v>
      </c>
      <c r="EC378" s="112">
        <f t="shared" si="87"/>
        <v>0</v>
      </c>
      <c r="ED378" s="29">
        <f t="shared" si="92"/>
        <v>37.117336540900887</v>
      </c>
      <c r="EE378" s="2">
        <f t="shared" si="93"/>
        <v>0</v>
      </c>
      <c r="EF378" s="46">
        <f t="shared" si="94"/>
        <v>2</v>
      </c>
      <c r="EG378" s="46">
        <f t="shared" si="95"/>
        <v>2</v>
      </c>
      <c r="EH378" s="29" t="str">
        <f t="shared" si="96"/>
        <v>KY</v>
      </c>
      <c r="EI378" s="29">
        <f>IF(COUNT(I378:AD378)&lt;5,DZ378,SUMPRODUCT(LARGE(I378:AD378,{1,2,3,4,5}))/5)</f>
        <v>37.726060860171664</v>
      </c>
      <c r="EJ378" s="29">
        <f>IF(COUNT(I378:AX378)&lt;5,DZ378,SUMPRODUCT(LARGE(I378:AX378,{1,2,3,4,5}))/5)</f>
        <v>37.726060860171664</v>
      </c>
      <c r="EK378" s="29">
        <f>IF(COUNT(I378:DY378)&lt;5,AVERAGE(I378:DY378),SUMPRODUCT(LARGE(I378:DY378,{1,2,3,4,5}))/5)</f>
        <v>37.726060860171664</v>
      </c>
      <c r="EL378" s="29">
        <f t="shared" si="97"/>
        <v>37.117336540900887</v>
      </c>
      <c r="EM378" s="116" t="str">
        <f t="shared" si="98"/>
        <v>Shackelford, James</v>
      </c>
      <c r="EQ378"/>
    </row>
    <row r="379" spans="1:147" x14ac:dyDescent="0.25">
      <c r="A379" s="59">
        <f t="shared" si="85"/>
        <v>376</v>
      </c>
      <c r="B379" s="32" t="s">
        <v>109</v>
      </c>
      <c r="C379" s="5" t="s">
        <v>6</v>
      </c>
      <c r="D379" s="6" t="s">
        <v>69</v>
      </c>
      <c r="E379" s="6">
        <v>61.177974101557659</v>
      </c>
      <c r="F379" s="6">
        <v>63.735816432134548</v>
      </c>
      <c r="G379" s="5">
        <f t="shared" si="88"/>
        <v>4</v>
      </c>
      <c r="H379" s="37">
        <v>61.177974101557659</v>
      </c>
      <c r="I379" s="36"/>
      <c r="J379" s="7"/>
      <c r="K379" s="7"/>
      <c r="L379" s="7"/>
      <c r="M379" s="74"/>
      <c r="N379" s="74"/>
      <c r="O379" s="7"/>
      <c r="P379" s="74"/>
      <c r="Q379" s="74"/>
      <c r="R379" s="74"/>
      <c r="S379" s="74"/>
      <c r="T379" s="7"/>
      <c r="U379" s="7"/>
      <c r="V379" s="74"/>
      <c r="W379" s="7"/>
      <c r="X379" s="74"/>
      <c r="Y379" s="227"/>
      <c r="Z379" s="228"/>
      <c r="AA379" s="74"/>
      <c r="AB379" s="74"/>
      <c r="AC379" s="74"/>
      <c r="AD379" s="74"/>
      <c r="AE379" s="7"/>
      <c r="AF379" s="74"/>
      <c r="AG379" s="74"/>
      <c r="AH379" s="7"/>
      <c r="AI379" s="7"/>
      <c r="AJ379" s="7"/>
      <c r="AK379" s="7"/>
      <c r="AL379" s="7"/>
      <c r="AM379" s="7"/>
      <c r="AN379" s="74">
        <f>(INDEX('Race 32'!$E$8:$E$200,(MATCH($B379,'Race 32'!$B$8:$B$200,0)),1))*100</f>
        <v>63.735816432134548</v>
      </c>
      <c r="AO379" s="74"/>
      <c r="AP379" s="7"/>
      <c r="AQ379" s="74"/>
      <c r="AR379" s="101"/>
      <c r="AS379" s="7"/>
      <c r="AT379" s="101"/>
      <c r="AU379" s="7"/>
      <c r="AV379" s="101"/>
      <c r="AW379" s="7"/>
      <c r="AX379" s="8"/>
      <c r="AY379" s="36"/>
      <c r="AZ379" s="7"/>
      <c r="BA379" s="74"/>
      <c r="BB379" s="74"/>
      <c r="BC379" s="74"/>
      <c r="BD379" s="7"/>
      <c r="BE379" s="7"/>
      <c r="BF379" s="7"/>
      <c r="BG379" s="74"/>
      <c r="BH379" s="74"/>
      <c r="BI379" s="74"/>
      <c r="BJ379" s="74"/>
      <c r="BK379" s="14"/>
      <c r="BL379" s="74"/>
      <c r="BM379" s="7"/>
      <c r="BN379" s="74"/>
      <c r="BO379" s="74"/>
      <c r="BP379" s="7"/>
      <c r="BQ379" s="7"/>
      <c r="BR379" s="74"/>
      <c r="BS379" s="7"/>
      <c r="BT379" s="7"/>
      <c r="BU379" s="74"/>
      <c r="BV379" s="74"/>
      <c r="BW379" s="74"/>
      <c r="BX379" s="74"/>
      <c r="BY379" s="74"/>
      <c r="BZ379" s="74"/>
      <c r="CA379" s="7">
        <f>(INDEX('Race 71'!$E$8:$E$200,(MATCH($B379,'Race 71'!$B$8:$B$200,0)),1))*100</f>
        <v>83.504959653529625</v>
      </c>
      <c r="CB379" s="74"/>
      <c r="CC379" s="74"/>
      <c r="CD379" s="74"/>
      <c r="CE379" s="7"/>
      <c r="CF379" s="74"/>
      <c r="CG379" s="74"/>
      <c r="CH379" s="74"/>
      <c r="CI379" s="74"/>
      <c r="CJ379" s="74"/>
      <c r="CK379" s="101">
        <f>(INDEX('Race 81'!$E$8:$E$200,(MATCH($B379,'Race 81'!$B$8:$B$200,0)),1))*100</f>
        <v>58.551161600376147</v>
      </c>
      <c r="CL379" s="74">
        <f>(INDEX('Race 82'!$E$8:$E$200,(MATCH($B379,'Race 82'!$B$8:$B$200,0)),1))*100</f>
        <v>78.983377682972815</v>
      </c>
      <c r="CM379" s="74"/>
      <c r="CN379" s="74"/>
      <c r="CO379" s="101"/>
      <c r="CP379" s="7"/>
      <c r="CQ379" s="74"/>
      <c r="CR379" s="74"/>
      <c r="CS379" s="74"/>
      <c r="CT379" s="7"/>
      <c r="CU379" s="74"/>
      <c r="CV379" s="7"/>
      <c r="CW379" s="74"/>
      <c r="CX379" s="7"/>
      <c r="CY379" s="7"/>
      <c r="CZ379" s="74"/>
      <c r="DA379" s="74"/>
      <c r="DB379" s="74"/>
      <c r="DC379" s="74"/>
      <c r="DD379" s="74"/>
      <c r="DE379" s="74"/>
      <c r="DF379" s="74"/>
      <c r="DG379" s="74"/>
      <c r="DH379" s="74"/>
      <c r="DI379" s="74"/>
      <c r="DJ379" s="7"/>
      <c r="DK379" s="74"/>
      <c r="DL379" s="7"/>
      <c r="DM379" s="74"/>
      <c r="DN379" s="74"/>
      <c r="DO379" s="74"/>
      <c r="DP379" s="74"/>
      <c r="DQ379" s="74"/>
      <c r="DR379" s="7"/>
      <c r="DS379" s="7"/>
      <c r="DT379" s="74"/>
      <c r="DU379" s="74"/>
      <c r="DV379" s="74"/>
      <c r="DW379" s="74"/>
      <c r="DX379" s="74"/>
      <c r="DY379" s="74"/>
      <c r="DZ379" s="8">
        <f t="shared" si="89"/>
        <v>71.193828842253282</v>
      </c>
      <c r="EA379" s="3" t="str">
        <f t="shared" si="90"/>
        <v>Shaw, David</v>
      </c>
      <c r="EB379" s="2">
        <f t="shared" si="91"/>
        <v>1</v>
      </c>
      <c r="EC379" s="112">
        <f t="shared" si="87"/>
        <v>61.177974101557659</v>
      </c>
      <c r="ED379" s="29">
        <f t="shared" si="92"/>
        <v>70.045089376479027</v>
      </c>
      <c r="EE379" s="2">
        <f t="shared" si="93"/>
        <v>0</v>
      </c>
      <c r="EF379" s="46">
        <f t="shared" si="94"/>
        <v>1</v>
      </c>
      <c r="EG379" s="46">
        <f t="shared" si="95"/>
        <v>4</v>
      </c>
      <c r="EH379" s="29" t="str">
        <f t="shared" si="96"/>
        <v>WA</v>
      </c>
      <c r="EI379" s="29">
        <f>IF(COUNT(I379:Y379)&lt;5,DZ379,SUMPRODUCT(LARGE(I379:Y379,{1,2,3,4,5}))/5)</f>
        <v>71.193828842253282</v>
      </c>
      <c r="EJ379" s="29">
        <f>IF(COUNT(I379:AX379)&lt;5,DZ379,SUMPRODUCT(LARGE(I379:AX379,{1,2,3,4,5}))/5)</f>
        <v>71.193828842253282</v>
      </c>
      <c r="EK379" s="29">
        <f>IF(COUNT(I379:DY379)&lt;5,AVERAGE(I379:DY379),SUMPRODUCT(LARGE(I379:DY379,{1,2,3,4,5}))/5)</f>
        <v>71.193828842253282</v>
      </c>
      <c r="EL379" s="29">
        <f t="shared" si="97"/>
        <v>70.045089376479027</v>
      </c>
      <c r="EM379" s="116" t="str">
        <f t="shared" si="98"/>
        <v>Shaw, David</v>
      </c>
      <c r="EQ379"/>
    </row>
    <row r="380" spans="1:147" x14ac:dyDescent="0.25">
      <c r="A380" s="59">
        <f t="shared" si="85"/>
        <v>377</v>
      </c>
      <c r="B380" s="32" t="s">
        <v>669</v>
      </c>
      <c r="C380" s="5" t="s">
        <v>6</v>
      </c>
      <c r="D380" s="6" t="s">
        <v>57</v>
      </c>
      <c r="E380" s="6">
        <v>0</v>
      </c>
      <c r="F380" s="6">
        <v>43.560826320528079</v>
      </c>
      <c r="G380" s="5">
        <f t="shared" si="88"/>
        <v>1</v>
      </c>
      <c r="H380" s="37">
        <v>0</v>
      </c>
      <c r="I380" s="36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227"/>
      <c r="Z380" s="228"/>
      <c r="AA380" s="7"/>
      <c r="AB380" s="7"/>
      <c r="AC380" s="7"/>
      <c r="AD380" s="7"/>
      <c r="AE380" s="7"/>
      <c r="AF380" s="7"/>
      <c r="AG380" s="7"/>
      <c r="AH380" s="7"/>
      <c r="AI380" s="7"/>
      <c r="AJ380" s="74">
        <f>(INDEX('Race 28'!$E$8:$E$200,(MATCH($B380,'Race 28'!$B$8:$B$200,0)),1))*100</f>
        <v>43.560826320528079</v>
      </c>
      <c r="AK380" s="74"/>
      <c r="AL380" s="7"/>
      <c r="AM380" s="7"/>
      <c r="AN380" s="7"/>
      <c r="AO380" s="7"/>
      <c r="AP380" s="7"/>
      <c r="AQ380" s="74"/>
      <c r="AR380" s="70"/>
      <c r="AS380" s="7"/>
      <c r="AT380" s="70"/>
      <c r="AU380" s="7"/>
      <c r="AV380" s="70"/>
      <c r="AW380" s="7"/>
      <c r="AX380" s="8"/>
      <c r="AY380" s="36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14"/>
      <c r="BL380" s="7"/>
      <c r="BM380" s="7"/>
      <c r="BN380" s="74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4"/>
      <c r="CE380" s="7"/>
      <c r="CF380" s="7"/>
      <c r="CG380" s="7"/>
      <c r="CH380" s="7"/>
      <c r="CI380" s="7"/>
      <c r="CJ380" s="7"/>
      <c r="CK380" s="101"/>
      <c r="CL380" s="74"/>
      <c r="CM380" s="74"/>
      <c r="CN380" s="74"/>
      <c r="CO380" s="70"/>
      <c r="CP380" s="74"/>
      <c r="CQ380" s="7"/>
      <c r="CR380" s="74"/>
      <c r="CS380" s="74"/>
      <c r="CT380" s="74"/>
      <c r="CU380" s="74"/>
      <c r="CV380" s="7"/>
      <c r="CW380" s="7"/>
      <c r="CX380" s="7"/>
      <c r="CY380" s="7"/>
      <c r="CZ380" s="7"/>
      <c r="DA380" s="7"/>
      <c r="DB380" s="7"/>
      <c r="DC380" s="7"/>
      <c r="DD380" s="7"/>
      <c r="DE380" s="74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8">
        <f t="shared" si="89"/>
        <v>43.560826320528079</v>
      </c>
      <c r="EA380" s="3" t="str">
        <f t="shared" si="90"/>
        <v>Shaw, Eric</v>
      </c>
      <c r="EB380" s="2">
        <f t="shared" si="91"/>
        <v>1</v>
      </c>
      <c r="EC380" s="112">
        <f t="shared" si="87"/>
        <v>0</v>
      </c>
      <c r="ED380" s="29">
        <f t="shared" si="92"/>
        <v>42.857955844675402</v>
      </c>
      <c r="EE380" s="2">
        <f t="shared" si="93"/>
        <v>0</v>
      </c>
      <c r="EF380" s="46">
        <f t="shared" si="94"/>
        <v>1</v>
      </c>
      <c r="EG380" s="46">
        <f t="shared" si="95"/>
        <v>1</v>
      </c>
      <c r="EH380" s="29" t="str">
        <f t="shared" si="96"/>
        <v>NY</v>
      </c>
      <c r="EI380" s="29">
        <f>IF(COUNT(I380:AD380)&lt;5,DZ380,SUMPRODUCT(LARGE(I380:AD380,{1,2,3,4,5}))/5)</f>
        <v>43.560826320528079</v>
      </c>
      <c r="EJ380" s="29">
        <f>IF(COUNT(I380:AX380)&lt;5,DZ380,SUMPRODUCT(LARGE(I380:AX380,{1,2,3,4,5}))/5)</f>
        <v>43.560826320528079</v>
      </c>
      <c r="EK380" s="112">
        <f>IF(COUNT(I380:DY380)&lt;5,AVERAGE(I380:DY380),SUMPRODUCT(LARGE(I380:DY380,{1,2,3,4,5}))/5)</f>
        <v>43.560826320528079</v>
      </c>
      <c r="EL380" s="29">
        <f t="shared" si="97"/>
        <v>42.857955844675402</v>
      </c>
      <c r="EM380" s="116" t="str">
        <f t="shared" si="98"/>
        <v>Shaw, Eric</v>
      </c>
      <c r="EQ380"/>
    </row>
    <row r="381" spans="1:147" x14ac:dyDescent="0.25">
      <c r="A381" s="59">
        <f t="shared" si="85"/>
        <v>378</v>
      </c>
      <c r="B381" s="4" t="s">
        <v>657</v>
      </c>
      <c r="C381" s="5" t="s">
        <v>6</v>
      </c>
      <c r="D381" s="6" t="s">
        <v>59</v>
      </c>
      <c r="E381" s="6">
        <v>0</v>
      </c>
      <c r="F381" s="6">
        <v>0</v>
      </c>
      <c r="G381" s="5">
        <f t="shared" si="88"/>
        <v>2</v>
      </c>
      <c r="H381" s="99">
        <v>0</v>
      </c>
      <c r="I381" s="36"/>
      <c r="J381" s="7"/>
      <c r="K381" s="7"/>
      <c r="L381" s="7"/>
      <c r="M381" s="74"/>
      <c r="N381" s="74"/>
      <c r="O381" s="7"/>
      <c r="P381" s="74"/>
      <c r="Q381" s="7"/>
      <c r="R381" s="74"/>
      <c r="S381" s="74"/>
      <c r="T381" s="7"/>
      <c r="U381" s="7"/>
      <c r="V381" s="74"/>
      <c r="W381" s="7"/>
      <c r="X381" s="74"/>
      <c r="Y381" s="227"/>
      <c r="Z381" s="228"/>
      <c r="AA381" s="74"/>
      <c r="AB381" s="74"/>
      <c r="AC381" s="74"/>
      <c r="AD381" s="74"/>
      <c r="AE381" s="7"/>
      <c r="AF381" s="74"/>
      <c r="AG381" s="74"/>
      <c r="AH381" s="7"/>
      <c r="AI381" s="7"/>
      <c r="AJ381" s="7"/>
      <c r="AK381" s="7"/>
      <c r="AL381" s="7"/>
      <c r="AM381" s="7"/>
      <c r="AN381" s="7"/>
      <c r="AO381" s="74"/>
      <c r="AP381" s="7"/>
      <c r="AQ381" s="74"/>
      <c r="AR381" s="101"/>
      <c r="AS381" s="7"/>
      <c r="AT381" s="101"/>
      <c r="AU381" s="7"/>
      <c r="AV381" s="101"/>
      <c r="AW381" s="7"/>
      <c r="AX381" s="8"/>
      <c r="AY381" s="36"/>
      <c r="AZ381" s="74"/>
      <c r="BA381" s="74"/>
      <c r="BB381" s="74"/>
      <c r="BC381" s="74"/>
      <c r="BD381" s="7"/>
      <c r="BE381" s="7"/>
      <c r="BF381" s="74"/>
      <c r="BG381" s="74"/>
      <c r="BH381" s="74"/>
      <c r="BI381" s="74"/>
      <c r="BJ381" s="74"/>
      <c r="BK381" s="14"/>
      <c r="BL381" s="74"/>
      <c r="BM381" s="7"/>
      <c r="BN381" s="74"/>
      <c r="BO381" s="74"/>
      <c r="BP381" s="7"/>
      <c r="BQ381" s="7"/>
      <c r="BR381" s="74"/>
      <c r="BS381" s="7">
        <f>(INDEX('Race 63'!$E$8:$E$200,(MATCH($B381,'Race 63'!$B$8:$B$200,0)),1))*100</f>
        <v>83.787364215925749</v>
      </c>
      <c r="BT381" s="7">
        <f>(INDEX('Race 64'!$E$8:$E$200,(MATCH($B381,'Race 64'!$B$8:$B$200,0)),1))*100</f>
        <v>79.03857443644128</v>
      </c>
      <c r="BU381" s="74"/>
      <c r="BV381" s="74"/>
      <c r="BW381" s="74"/>
      <c r="BX381" s="74"/>
      <c r="BY381" s="74"/>
      <c r="BZ381" s="74"/>
      <c r="CA381" s="7"/>
      <c r="CB381" s="74"/>
      <c r="CC381" s="74"/>
      <c r="CD381" s="74"/>
      <c r="CE381" s="7"/>
      <c r="CF381" s="74"/>
      <c r="CG381" s="74"/>
      <c r="CH381" s="7"/>
      <c r="CI381" s="74"/>
      <c r="CJ381" s="74"/>
      <c r="CK381" s="101"/>
      <c r="CL381" s="74"/>
      <c r="CM381" s="74"/>
      <c r="CN381" s="74"/>
      <c r="CO381" s="101"/>
      <c r="CP381" s="74"/>
      <c r="CQ381" s="74"/>
      <c r="CR381" s="74"/>
      <c r="CS381" s="74"/>
      <c r="CT381" s="74"/>
      <c r="CU381" s="74"/>
      <c r="CV381" s="74"/>
      <c r="CW381" s="74"/>
      <c r="CX381" s="7"/>
      <c r="CY381" s="7"/>
      <c r="CZ381" s="74"/>
      <c r="DA381" s="74"/>
      <c r="DB381" s="74"/>
      <c r="DC381" s="74"/>
      <c r="DD381" s="74"/>
      <c r="DE381" s="74"/>
      <c r="DF381" s="74"/>
      <c r="DG381" s="74"/>
      <c r="DH381" s="74"/>
      <c r="DI381" s="74"/>
      <c r="DJ381" s="7"/>
      <c r="DK381" s="74"/>
      <c r="DL381" s="7"/>
      <c r="DM381" s="74"/>
      <c r="DN381" s="74"/>
      <c r="DO381" s="74"/>
      <c r="DP381" s="74"/>
      <c r="DQ381" s="74"/>
      <c r="DR381" s="74"/>
      <c r="DS381" s="74"/>
      <c r="DT381" s="74"/>
      <c r="DU381" s="74"/>
      <c r="DV381" s="74"/>
      <c r="DW381" s="74"/>
      <c r="DX381" s="74"/>
      <c r="DY381" s="74"/>
      <c r="DZ381" s="8">
        <f t="shared" si="89"/>
        <v>81.412969326183514</v>
      </c>
      <c r="EA381" s="22" t="str">
        <f t="shared" si="90"/>
        <v>Sheppard, Marc</v>
      </c>
      <c r="EB381" s="56">
        <f t="shared" si="91"/>
        <v>1</v>
      </c>
      <c r="EC381" s="112">
        <f t="shared" si="87"/>
        <v>0</v>
      </c>
      <c r="ED381" s="112">
        <f t="shared" si="92"/>
        <v>80.099340147760245</v>
      </c>
      <c r="EE381" s="56">
        <f t="shared" si="93"/>
        <v>0</v>
      </c>
      <c r="EF381" s="111">
        <f t="shared" si="94"/>
        <v>0</v>
      </c>
      <c r="EG381" s="111">
        <f t="shared" si="95"/>
        <v>2</v>
      </c>
      <c r="EH381" s="112" t="str">
        <f t="shared" si="96"/>
        <v>MT</v>
      </c>
      <c r="EI381" s="29">
        <f>IF(COUNT(I381:AD381)&lt;5,DZ381,SUMPRODUCT(LARGE(I381:AD381,{1,2,3,4,5}))/5)</f>
        <v>81.412969326183514</v>
      </c>
      <c r="EJ381" s="29">
        <f>IF(COUNT(I381:AX381)&lt;5,DZ381,SUMPRODUCT(LARGE(I381:AX381,{1,2,3,4,5}))/5)</f>
        <v>81.412969326183514</v>
      </c>
      <c r="EK381" s="112">
        <f>IF(COUNT(I381:DY381)&lt;5,AVERAGE(I381:DY381),SUMPRODUCT(LARGE(I381:DY381,{1,2,3,4,5}))/5)</f>
        <v>81.412969326183514</v>
      </c>
      <c r="EL381" s="112">
        <f t="shared" si="97"/>
        <v>80.099340147760245</v>
      </c>
      <c r="EM381" s="116" t="str">
        <f t="shared" si="98"/>
        <v>Sheppard, Marc</v>
      </c>
      <c r="EQ381"/>
    </row>
    <row r="382" spans="1:147" x14ac:dyDescent="0.25">
      <c r="A382" s="59">
        <f t="shared" si="85"/>
        <v>379</v>
      </c>
      <c r="B382" s="32" t="s">
        <v>743</v>
      </c>
      <c r="C382" s="5" t="s">
        <v>6</v>
      </c>
      <c r="D382" s="6" t="s">
        <v>69</v>
      </c>
      <c r="E382" s="6">
        <v>58.824422672637624</v>
      </c>
      <c r="F382" s="6">
        <v>51.11270901898466</v>
      </c>
      <c r="G382" s="5">
        <f t="shared" si="88"/>
        <v>5</v>
      </c>
      <c r="H382" s="37">
        <v>58.824422672637624</v>
      </c>
      <c r="I382" s="36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227"/>
      <c r="Z382" s="228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4">
        <f>(INDEX('Race 31'!$E$8:$E$200,(MATCH($B382,'Race 31'!$B$8:$B$200,0)),1))*100</f>
        <v>53.87765240907887</v>
      </c>
      <c r="AN382" s="74">
        <f>(INDEX('Race 32'!$E$8:$E$200,(MATCH($B382,'Race 32'!$B$8:$B$200,0)),1))*100</f>
        <v>48.34776562889045</v>
      </c>
      <c r="AO382" s="74"/>
      <c r="AP382" s="7"/>
      <c r="AQ382" s="74"/>
      <c r="AR382" s="70"/>
      <c r="AS382" s="7"/>
      <c r="AT382" s="70"/>
      <c r="AU382" s="7"/>
      <c r="AV382" s="70"/>
      <c r="AW382" s="7"/>
      <c r="AX382" s="8"/>
      <c r="AY382" s="36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14"/>
      <c r="BL382" s="7"/>
      <c r="BM382" s="7"/>
      <c r="BN382" s="74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>
        <f>(INDEX('Race 71'!$E$8:$E$200,(MATCH($B382,'Race 71'!$B$8:$B$200,0)),1))*100</f>
        <v>56.390244039820928</v>
      </c>
      <c r="CB382" s="7"/>
      <c r="CC382" s="7"/>
      <c r="CD382" s="7"/>
      <c r="CE382" s="7"/>
      <c r="CF382" s="7"/>
      <c r="CG382" s="7"/>
      <c r="CH382" s="7"/>
      <c r="CI382" s="7"/>
      <c r="CJ382" s="7"/>
      <c r="CK382" s="101">
        <f>(INDEX('Race 81'!$E$8:$E$200,(MATCH($B382,'Race 81'!$B$8:$B$200,0)),1))*100</f>
        <v>54.573044400733359</v>
      </c>
      <c r="CL382" s="74">
        <f>(INDEX('Race 82'!$E$8:$E$200,(MATCH($B382,'Race 82'!$B$8:$B$200,0)),1))*100</f>
        <v>56.710878041324911</v>
      </c>
      <c r="CM382" s="74"/>
      <c r="CN382" s="74"/>
      <c r="CO382" s="70"/>
      <c r="CP382" s="74"/>
      <c r="CQ382" s="7"/>
      <c r="CR382" s="74"/>
      <c r="CS382" s="74"/>
      <c r="CT382" s="74"/>
      <c r="CU382" s="74"/>
      <c r="CV382" s="7"/>
      <c r="CW382" s="7"/>
      <c r="CX382" s="7"/>
      <c r="CY382" s="7"/>
      <c r="CZ382" s="7"/>
      <c r="DA382" s="7"/>
      <c r="DB382" s="7"/>
      <c r="DC382" s="7"/>
      <c r="DD382" s="7"/>
      <c r="DE382" s="74"/>
      <c r="DF382" s="74"/>
      <c r="DG382" s="74"/>
      <c r="DH382" s="7"/>
      <c r="DI382" s="74"/>
      <c r="DJ382" s="7"/>
      <c r="DK382" s="7"/>
      <c r="DL382" s="7"/>
      <c r="DM382" s="7"/>
      <c r="DN382" s="7"/>
      <c r="DO382" s="7"/>
      <c r="DP382" s="7"/>
      <c r="DQ382" s="74"/>
      <c r="DR382" s="7"/>
      <c r="DS382" s="7"/>
      <c r="DT382" s="7"/>
      <c r="DU382" s="7"/>
      <c r="DV382" s="74"/>
      <c r="DW382" s="7"/>
      <c r="DX382" s="7"/>
      <c r="DY382" s="7"/>
      <c r="DZ382" s="8">
        <f t="shared" si="89"/>
        <v>53.979916903969709</v>
      </c>
      <c r="EA382" s="3" t="str">
        <f t="shared" si="90"/>
        <v>Shestakov, Victor</v>
      </c>
      <c r="EB382" s="2">
        <f t="shared" si="91"/>
        <v>1</v>
      </c>
      <c r="EC382" s="112">
        <f t="shared" si="87"/>
        <v>58.824422672637624</v>
      </c>
      <c r="ED382" s="29">
        <f t="shared" si="92"/>
        <v>53.108930444677</v>
      </c>
      <c r="EE382" s="2">
        <f t="shared" si="93"/>
        <v>0</v>
      </c>
      <c r="EF382" s="46">
        <f t="shared" si="94"/>
        <v>2</v>
      </c>
      <c r="EG382" s="46">
        <f t="shared" si="95"/>
        <v>5</v>
      </c>
      <c r="EH382" s="2" t="str">
        <f t="shared" si="96"/>
        <v>WA</v>
      </c>
      <c r="EI382" s="29">
        <f>IF(COUNT(I382:Y382)&lt;5,DZ382,SUMPRODUCT(LARGE(I382:Y382,{1,2,3,4,5}))/5)</f>
        <v>53.979916903969709</v>
      </c>
      <c r="EJ382" s="29">
        <f>IF(COUNT(I382:AX382)&lt;5,DZ382,SUMPRODUCT(LARGE(I382:AX382,{1,2,3,4,5}))/5)</f>
        <v>53.979916903969709</v>
      </c>
      <c r="EK382" s="29">
        <f>IF(COUNT(I382:DY382)&lt;5,AVERAGE(I382:DY382),SUMPRODUCT(LARGE(I382:DY382,{1,2,3,4,5}))/5)</f>
        <v>53.979916903969709</v>
      </c>
      <c r="EL382" s="29">
        <f t="shared" si="97"/>
        <v>53.108930444677</v>
      </c>
      <c r="EM382" s="116" t="str">
        <f t="shared" si="98"/>
        <v>Shestakov, Victor</v>
      </c>
      <c r="EQ382"/>
    </row>
    <row r="383" spans="1:147" x14ac:dyDescent="0.25">
      <c r="A383" s="59">
        <f t="shared" si="85"/>
        <v>380</v>
      </c>
      <c r="B383" s="32" t="s">
        <v>912</v>
      </c>
      <c r="C383" s="5" t="s">
        <v>6</v>
      </c>
      <c r="D383" s="6" t="s">
        <v>78</v>
      </c>
      <c r="E383" s="6">
        <v>54.92732370908567</v>
      </c>
      <c r="F383" s="6">
        <v>54.92732370908567</v>
      </c>
      <c r="G383" s="5">
        <f t="shared" si="88"/>
        <v>0</v>
      </c>
      <c r="H383" s="37">
        <v>54.92732370908567</v>
      </c>
      <c r="I383" s="36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227"/>
      <c r="Z383" s="228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4"/>
      <c r="AP383" s="7"/>
      <c r="AQ383" s="74"/>
      <c r="AR383" s="70"/>
      <c r="AS383" s="7"/>
      <c r="AT383" s="70"/>
      <c r="AU383" s="7"/>
      <c r="AV383" s="70"/>
      <c r="AW383" s="7"/>
      <c r="AX383" s="183"/>
      <c r="AY383" s="10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14"/>
      <c r="BL383" s="7"/>
      <c r="BM383" s="7"/>
      <c r="BN383" s="74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4"/>
      <c r="CF383" s="74"/>
      <c r="CG383" s="7"/>
      <c r="CH383" s="7"/>
      <c r="CI383" s="7"/>
      <c r="CJ383" s="7"/>
      <c r="CK383" s="101"/>
      <c r="CL383" s="74"/>
      <c r="CM383" s="74"/>
      <c r="CN383" s="74"/>
      <c r="CO383" s="70"/>
      <c r="CP383" s="74"/>
      <c r="CQ383" s="7"/>
      <c r="CR383" s="74"/>
      <c r="CS383" s="74"/>
      <c r="CT383" s="74"/>
      <c r="CU383" s="74"/>
      <c r="CV383" s="7"/>
      <c r="CW383" s="7"/>
      <c r="CX383" s="7"/>
      <c r="CY383" s="7"/>
      <c r="CZ383" s="7"/>
      <c r="DA383" s="7"/>
      <c r="DB383" s="7"/>
      <c r="DC383" s="7"/>
      <c r="DD383" s="7"/>
      <c r="DE383" s="74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8">
        <f t="shared" si="89"/>
        <v>54.92732370908567</v>
      </c>
      <c r="EA383" s="3" t="str">
        <f t="shared" si="90"/>
        <v>Simpson, Mitch</v>
      </c>
      <c r="EB383" s="2">
        <f t="shared" si="91"/>
        <v>0</v>
      </c>
      <c r="EC383" s="112">
        <f t="shared" si="87"/>
        <v>54.92732370908567</v>
      </c>
      <c r="ED383" s="29">
        <f t="shared" si="92"/>
        <v>0</v>
      </c>
      <c r="EE383" s="2">
        <f t="shared" si="93"/>
        <v>0</v>
      </c>
      <c r="EF383" s="46">
        <f t="shared" si="94"/>
        <v>0</v>
      </c>
      <c r="EG383" s="46">
        <f t="shared" si="95"/>
        <v>0</v>
      </c>
      <c r="EH383" s="29" t="str">
        <f t="shared" si="96"/>
        <v>MO</v>
      </c>
      <c r="EI383" s="29">
        <f>IF(COUNT(I383:Y383)&lt;5,DZ383,SUMPRODUCT(LARGE(I383:Y383,{1,2,3,4,5}))/5)</f>
        <v>54.92732370908567</v>
      </c>
      <c r="EJ383" s="29">
        <f>IF(COUNT(I383:AX383)&lt;5,DZ383,SUMPRODUCT(LARGE(I383:AX383,{1,2,3,4,5}))/5)</f>
        <v>54.92732370908567</v>
      </c>
      <c r="EK383" s="112">
        <f>IF(EG383&lt;0,AVERAGE(I383:DY383),0)</f>
        <v>0</v>
      </c>
      <c r="EL383" s="29">
        <f t="shared" si="97"/>
        <v>0</v>
      </c>
      <c r="EM383" s="116" t="str">
        <f t="shared" si="98"/>
        <v>Simpson, Mitch</v>
      </c>
      <c r="EQ383"/>
    </row>
    <row r="384" spans="1:147" x14ac:dyDescent="0.25">
      <c r="A384" s="59">
        <f t="shared" si="85"/>
        <v>381</v>
      </c>
      <c r="B384" s="32" t="s">
        <v>1122</v>
      </c>
      <c r="C384" s="5" t="s">
        <v>6</v>
      </c>
      <c r="D384" s="6" t="s">
        <v>78</v>
      </c>
      <c r="E384" s="6">
        <v>0</v>
      </c>
      <c r="F384" s="6">
        <v>58.362117442456707</v>
      </c>
      <c r="G384" s="5">
        <f t="shared" si="88"/>
        <v>4</v>
      </c>
      <c r="H384" s="37">
        <v>0</v>
      </c>
      <c r="I384" s="36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227"/>
      <c r="Z384" s="228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4"/>
      <c r="AR384" s="70"/>
      <c r="AS384" s="7"/>
      <c r="AT384" s="70"/>
      <c r="AU384" s="7"/>
      <c r="AV384" s="70"/>
      <c r="AW384" s="7">
        <f>(INDEX('Race 41'!$E$8:$E$200,(MATCH($B384,'Race 41'!$B$8:$B$200,0)),1))*100</f>
        <v>56.714932747188442</v>
      </c>
      <c r="AX384" s="8">
        <f>(INDEX('Race 42'!$E$8:$E$200,(MATCH($B384,'Race 42'!$B$8:$B$200,0)),1))*100</f>
        <v>60.009302137724966</v>
      </c>
      <c r="AY384" s="36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14"/>
      <c r="BL384" s="7"/>
      <c r="BM384" s="7"/>
      <c r="BN384" s="74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>
        <f>(INDEX('Race 75'!$E$8:$E$200,(MATCH($B384,'Race 75'!$B$8:$B$200,0)),1))*100</f>
        <v>55.383644079503291</v>
      </c>
      <c r="CF384" s="7">
        <f>(INDEX('Race 76'!$E$8:$E$200,(MATCH($B384,'Race 76'!$B$8:$B$200,0)),1))*100</f>
        <v>55.414661588710537</v>
      </c>
      <c r="CG384" s="7"/>
      <c r="CH384" s="7"/>
      <c r="CI384" s="7"/>
      <c r="CJ384" s="7"/>
      <c r="CK384" s="101"/>
      <c r="CL384" s="74"/>
      <c r="CM384" s="74"/>
      <c r="CN384" s="74"/>
      <c r="CO384" s="70"/>
      <c r="CP384" s="74"/>
      <c r="CQ384" s="7"/>
      <c r="CR384" s="74"/>
      <c r="CS384" s="74"/>
      <c r="CT384" s="74"/>
      <c r="CU384" s="74"/>
      <c r="CV384" s="7"/>
      <c r="CW384" s="7"/>
      <c r="CX384" s="7"/>
      <c r="CY384" s="7"/>
      <c r="CZ384" s="7"/>
      <c r="DA384" s="7"/>
      <c r="DB384" s="7"/>
      <c r="DC384" s="7"/>
      <c r="DD384" s="74"/>
      <c r="DE384" s="74"/>
      <c r="DF384" s="74"/>
      <c r="DG384" s="74"/>
      <c r="DH384" s="7"/>
      <c r="DI384" s="74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8">
        <f t="shared" si="89"/>
        <v>56.880635138281811</v>
      </c>
      <c r="EA384" s="22" t="str">
        <f t="shared" si="90"/>
        <v>Simpson, Mitchell</v>
      </c>
      <c r="EB384" s="56">
        <f t="shared" si="91"/>
        <v>1</v>
      </c>
      <c r="EC384" s="112">
        <f t="shared" si="87"/>
        <v>0</v>
      </c>
      <c r="ED384" s="112">
        <f t="shared" si="92"/>
        <v>55.962844488667663</v>
      </c>
      <c r="EE384" s="56">
        <f t="shared" si="93"/>
        <v>0</v>
      </c>
      <c r="EF384" s="111">
        <f t="shared" si="94"/>
        <v>2</v>
      </c>
      <c r="EG384" s="111">
        <f t="shared" si="95"/>
        <v>4</v>
      </c>
      <c r="EH384" s="56" t="str">
        <f t="shared" si="96"/>
        <v>MO</v>
      </c>
      <c r="EI384" s="112">
        <f>IF(COUNT(I384:AD384)&lt;5,DZ384,SUMPRODUCT(LARGE(I384:AD384,{1,2,3,4,5}))/5)</f>
        <v>56.880635138281811</v>
      </c>
      <c r="EJ384" s="112">
        <f>IF(COUNT(I384:AX384)&lt;5,DZ384,SUMPRODUCT(LARGE(I384:AX384,{1,2,3,4,5}))/5)</f>
        <v>56.880635138281811</v>
      </c>
      <c r="EK384" s="112">
        <f>IF(COUNT(I384:DY384)&lt;5,AVERAGE(I384:DY384),SUMPRODUCT(LARGE(I384:DY384,{1,2,3,4,5}))/5)</f>
        <v>56.880635138281811</v>
      </c>
      <c r="EL384" s="112">
        <f t="shared" si="97"/>
        <v>55.962844488667663</v>
      </c>
      <c r="EM384" s="163" t="str">
        <f t="shared" si="98"/>
        <v>Simpson, Mitchell</v>
      </c>
      <c r="EQ384"/>
    </row>
    <row r="385" spans="1:147" x14ac:dyDescent="0.25">
      <c r="A385" s="59">
        <f t="shared" si="85"/>
        <v>382</v>
      </c>
      <c r="B385" s="32" t="s">
        <v>695</v>
      </c>
      <c r="C385" s="55" t="s">
        <v>6</v>
      </c>
      <c r="D385" s="55" t="s">
        <v>80</v>
      </c>
      <c r="E385" s="6">
        <v>54.923238423217185</v>
      </c>
      <c r="F385" s="6">
        <v>54.923238423217185</v>
      </c>
      <c r="G385" s="5">
        <f t="shared" si="88"/>
        <v>0</v>
      </c>
      <c r="H385" s="99">
        <v>54.923238423217185</v>
      </c>
      <c r="I385" s="107"/>
      <c r="J385" s="7"/>
      <c r="K385" s="74"/>
      <c r="L385" s="7"/>
      <c r="M385" s="74"/>
      <c r="N385" s="74"/>
      <c r="O385" s="7"/>
      <c r="P385" s="74"/>
      <c r="Q385" s="74"/>
      <c r="R385" s="74"/>
      <c r="S385" s="74"/>
      <c r="T385" s="7"/>
      <c r="U385" s="7"/>
      <c r="V385" s="74"/>
      <c r="W385" s="7"/>
      <c r="X385" s="74"/>
      <c r="Y385" s="227"/>
      <c r="Z385" s="228"/>
      <c r="AA385" s="74"/>
      <c r="AB385" s="74"/>
      <c r="AC385" s="74"/>
      <c r="AD385" s="74"/>
      <c r="AE385" s="7"/>
      <c r="AF385" s="74"/>
      <c r="AG385" s="74"/>
      <c r="AH385" s="7"/>
      <c r="AI385" s="7"/>
      <c r="AJ385" s="7"/>
      <c r="AK385" s="7"/>
      <c r="AL385" s="7"/>
      <c r="AM385" s="7"/>
      <c r="AN385" s="7"/>
      <c r="AO385" s="74"/>
      <c r="AP385" s="7"/>
      <c r="AQ385" s="74"/>
      <c r="AR385" s="101"/>
      <c r="AS385" s="7"/>
      <c r="AT385" s="101"/>
      <c r="AU385" s="7"/>
      <c r="AV385" s="101"/>
      <c r="AW385" s="7"/>
      <c r="AX385" s="8"/>
      <c r="AY385" s="36"/>
      <c r="AZ385" s="74"/>
      <c r="BA385" s="74"/>
      <c r="BB385" s="74"/>
      <c r="BC385" s="74"/>
      <c r="BD385" s="7"/>
      <c r="BE385" s="7"/>
      <c r="BF385" s="74"/>
      <c r="BG385" s="74"/>
      <c r="BH385" s="74"/>
      <c r="BI385" s="74"/>
      <c r="BJ385" s="74"/>
      <c r="BK385" s="14"/>
      <c r="BL385" s="74"/>
      <c r="BM385" s="7"/>
      <c r="BN385" s="74"/>
      <c r="BO385" s="74"/>
      <c r="BP385" s="7"/>
      <c r="BQ385" s="7"/>
      <c r="BR385" s="74"/>
      <c r="BS385" s="7"/>
      <c r="BT385" s="7"/>
      <c r="BU385" s="74"/>
      <c r="BV385" s="74"/>
      <c r="BW385" s="74"/>
      <c r="BX385" s="74"/>
      <c r="BY385" s="74"/>
      <c r="BZ385" s="74"/>
      <c r="CA385" s="7"/>
      <c r="CB385" s="7"/>
      <c r="CC385" s="74"/>
      <c r="CD385" s="74"/>
      <c r="CE385" s="7"/>
      <c r="CF385" s="74"/>
      <c r="CG385" s="74"/>
      <c r="CH385" s="7"/>
      <c r="CI385" s="74"/>
      <c r="CJ385" s="74"/>
      <c r="CK385" s="101"/>
      <c r="CL385" s="74"/>
      <c r="CM385" s="74"/>
      <c r="CN385" s="74"/>
      <c r="CO385" s="101"/>
      <c r="CP385" s="74"/>
      <c r="CQ385" s="74"/>
      <c r="CR385" s="74"/>
      <c r="CS385" s="74"/>
      <c r="CT385" s="74"/>
      <c r="CU385" s="74"/>
      <c r="CV385" s="74"/>
      <c r="CW385" s="74"/>
      <c r="CX385" s="7"/>
      <c r="CY385" s="7"/>
      <c r="CZ385" s="74"/>
      <c r="DA385" s="74"/>
      <c r="DB385" s="74"/>
      <c r="DC385" s="74"/>
      <c r="DD385" s="74"/>
      <c r="DE385" s="74"/>
      <c r="DF385" s="74"/>
      <c r="DG385" s="74"/>
      <c r="DH385" s="74"/>
      <c r="DI385" s="74"/>
      <c r="DJ385" s="74"/>
      <c r="DK385" s="74"/>
      <c r="DL385" s="74"/>
      <c r="DM385" s="74"/>
      <c r="DN385" s="74"/>
      <c r="DO385" s="74"/>
      <c r="DP385" s="74"/>
      <c r="DQ385" s="74"/>
      <c r="DR385" s="7"/>
      <c r="DS385" s="7"/>
      <c r="DT385" s="74"/>
      <c r="DU385" s="74"/>
      <c r="DV385" s="74"/>
      <c r="DW385" s="74"/>
      <c r="DX385" s="74"/>
      <c r="DY385" s="74"/>
      <c r="DZ385" s="8">
        <f t="shared" si="89"/>
        <v>54.923238423217185</v>
      </c>
      <c r="EA385" s="3" t="str">
        <f t="shared" si="90"/>
        <v>Sinnett, Christopher</v>
      </c>
      <c r="EB385" s="2">
        <f t="shared" si="91"/>
        <v>0</v>
      </c>
      <c r="EC385" s="112">
        <f t="shared" si="87"/>
        <v>54.923238423217185</v>
      </c>
      <c r="ED385" s="29">
        <f t="shared" si="92"/>
        <v>0</v>
      </c>
      <c r="EE385" s="2">
        <f t="shared" si="93"/>
        <v>0</v>
      </c>
      <c r="EF385" s="46">
        <f t="shared" si="94"/>
        <v>0</v>
      </c>
      <c r="EG385" s="46">
        <f t="shared" si="95"/>
        <v>0</v>
      </c>
      <c r="EH385" s="29" t="str">
        <f t="shared" si="96"/>
        <v>IN</v>
      </c>
      <c r="EI385" s="29">
        <f>IF(COUNT(I385:Y385)&lt;5,DZ385,SUMPRODUCT(LARGE(I385:Y385,{1,2,3,4,5}))/5)</f>
        <v>54.923238423217185</v>
      </c>
      <c r="EJ385" s="29">
        <f>IF(COUNT(I385:AX385)&lt;5,DZ385,SUMPRODUCT(LARGE(I385:AX385,{1,2,3,4,5}))/5)</f>
        <v>54.923238423217185</v>
      </c>
      <c r="EK385" s="112">
        <f>IF(EG385&lt;0,AVERAGE(I385:DY385),0)</f>
        <v>0</v>
      </c>
      <c r="EL385" s="29">
        <f t="shared" si="97"/>
        <v>0</v>
      </c>
      <c r="EM385" s="116" t="str">
        <f t="shared" si="98"/>
        <v>Sinnett, Christopher</v>
      </c>
      <c r="EQ385"/>
    </row>
    <row r="386" spans="1:147" x14ac:dyDescent="0.25">
      <c r="A386" s="59">
        <f t="shared" si="85"/>
        <v>383</v>
      </c>
      <c r="B386" s="32" t="s">
        <v>770</v>
      </c>
      <c r="C386" s="5" t="s">
        <v>6</v>
      </c>
      <c r="D386" s="6" t="s">
        <v>62</v>
      </c>
      <c r="E386" s="6">
        <v>56.854090021592278</v>
      </c>
      <c r="F386" s="6">
        <v>59.898448949960425</v>
      </c>
      <c r="G386" s="5">
        <f t="shared" si="88"/>
        <v>2</v>
      </c>
      <c r="H386" s="37">
        <v>56.854090021592278</v>
      </c>
      <c r="I386" s="36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227"/>
      <c r="Z386" s="228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4">
        <f>(INDEX('Race 30'!$E$8:$E$200,(MATCH($B386,'Race 30'!$B$8:$B$200,0)),1))*100</f>
        <v>59.898448949960425</v>
      </c>
      <c r="AM386" s="7"/>
      <c r="AN386" s="7"/>
      <c r="AO386" s="74"/>
      <c r="AP386" s="7"/>
      <c r="AQ386" s="74"/>
      <c r="AR386" s="70"/>
      <c r="AS386" s="7"/>
      <c r="AT386" s="70"/>
      <c r="AU386" s="7"/>
      <c r="AV386" s="70"/>
      <c r="AW386" s="7"/>
      <c r="AX386" s="8"/>
      <c r="AY386" s="36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14"/>
      <c r="BL386" s="7"/>
      <c r="BM386" s="7"/>
      <c r="BN386" s="74"/>
      <c r="BO386" s="7"/>
      <c r="BP386" s="7"/>
      <c r="BQ386" s="7"/>
      <c r="BR386" s="7"/>
      <c r="BS386" s="7">
        <f>(INDEX('Race 63'!$E$8:$E$200,(MATCH($B386,'Race 63'!$B$8:$B$200,0)),1))*100</f>
        <v>79.555101450070097</v>
      </c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4"/>
      <c r="CG386" s="7"/>
      <c r="CH386" s="7"/>
      <c r="CI386" s="7"/>
      <c r="CJ386" s="7"/>
      <c r="CK386" s="101"/>
      <c r="CL386" s="74"/>
      <c r="CM386" s="74"/>
      <c r="CN386" s="74"/>
      <c r="CO386" s="70"/>
      <c r="CP386" s="74"/>
      <c r="CQ386" s="7"/>
      <c r="CR386" s="74"/>
      <c r="CS386" s="74"/>
      <c r="CT386" s="74"/>
      <c r="CU386" s="74"/>
      <c r="CV386" s="7"/>
      <c r="CW386" s="7"/>
      <c r="CX386" s="7"/>
      <c r="CY386" s="7"/>
      <c r="CZ386" s="7"/>
      <c r="DA386" s="7"/>
      <c r="DB386" s="7"/>
      <c r="DC386" s="7"/>
      <c r="DD386" s="7"/>
      <c r="DE386" s="74"/>
      <c r="DF386" s="74"/>
      <c r="DG386" s="74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8">
        <f t="shared" si="89"/>
        <v>69.726775200015254</v>
      </c>
      <c r="EA386" s="3" t="str">
        <f t="shared" si="90"/>
        <v>Skiba, Doug</v>
      </c>
      <c r="EB386" s="2">
        <f t="shared" si="91"/>
        <v>1</v>
      </c>
      <c r="EC386" s="112">
        <f t="shared" si="87"/>
        <v>56.854090021592278</v>
      </c>
      <c r="ED386" s="29">
        <f t="shared" si="92"/>
        <v>68.601707201904034</v>
      </c>
      <c r="EE386" s="2">
        <f t="shared" si="93"/>
        <v>0</v>
      </c>
      <c r="EF386" s="46">
        <f t="shared" si="94"/>
        <v>1</v>
      </c>
      <c r="EG386" s="46">
        <f t="shared" si="95"/>
        <v>2</v>
      </c>
      <c r="EH386" s="2" t="str">
        <f t="shared" si="96"/>
        <v>CO</v>
      </c>
      <c r="EI386" s="29">
        <f>IF(COUNT(I386:Y386)&lt;5,DZ386,SUMPRODUCT(LARGE(I386:Y386,{1,2,3,4,5}))/5)</f>
        <v>69.726775200015254</v>
      </c>
      <c r="EJ386" s="29">
        <f>IF(COUNT(I386:AX386)&lt;5,DZ386,SUMPRODUCT(LARGE(I386:AX386,{1,2,3,4,5}))/5)</f>
        <v>69.726775200015254</v>
      </c>
      <c r="EK386" s="29">
        <f>IF(COUNT(I386:DY386)&lt;5,AVERAGE(I386:DY386),SUMPRODUCT(LARGE(I386:DY386,{1,2,3,4,5}))/5)</f>
        <v>69.726775200015254</v>
      </c>
      <c r="EL386" s="29">
        <f t="shared" si="97"/>
        <v>68.601707201904034</v>
      </c>
      <c r="EM386" s="116" t="str">
        <f t="shared" si="98"/>
        <v>Skiba, Doug</v>
      </c>
      <c r="EQ386"/>
    </row>
    <row r="387" spans="1:147" x14ac:dyDescent="0.25">
      <c r="A387" s="59">
        <f t="shared" si="85"/>
        <v>384</v>
      </c>
      <c r="B387" s="32" t="s">
        <v>716</v>
      </c>
      <c r="C387" s="5" t="s">
        <v>6</v>
      </c>
      <c r="D387" s="6" t="s">
        <v>62</v>
      </c>
      <c r="E387" s="6">
        <v>55.959542997423206</v>
      </c>
      <c r="F387" s="6">
        <v>70.29271979730774</v>
      </c>
      <c r="G387" s="5">
        <f t="shared" si="88"/>
        <v>2</v>
      </c>
      <c r="H387" s="37">
        <v>55.959542997423206</v>
      </c>
      <c r="I387" s="36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227"/>
      <c r="Z387" s="228"/>
      <c r="AA387" s="7"/>
      <c r="AB387" s="7"/>
      <c r="AC387" s="7"/>
      <c r="AD387" s="7"/>
      <c r="AE387" s="7"/>
      <c r="AF387" s="7"/>
      <c r="AG387" s="74">
        <f>(INDEX('Race 25'!$E$8:$E$200,(MATCH($B387,'Race 25'!$B$8:$B$200,0)),1))*100</f>
        <v>70.29271979730774</v>
      </c>
      <c r="AH387" s="7"/>
      <c r="AI387" s="7"/>
      <c r="AJ387" s="7"/>
      <c r="AK387" s="7"/>
      <c r="AL387" s="7"/>
      <c r="AM387" s="7"/>
      <c r="AN387" s="7"/>
      <c r="AO387" s="74"/>
      <c r="AP387" s="7"/>
      <c r="AQ387" s="74"/>
      <c r="AR387" s="70"/>
      <c r="AS387" s="7"/>
      <c r="AT387" s="70"/>
      <c r="AU387" s="7"/>
      <c r="AV387" s="70"/>
      <c r="AW387" s="7"/>
      <c r="AX387" s="8"/>
      <c r="AY387" s="36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14"/>
      <c r="BL387" s="7"/>
      <c r="BM387" s="7"/>
      <c r="BN387" s="74"/>
      <c r="BO387" s="7"/>
      <c r="BP387" s="7"/>
      <c r="BQ387" s="7"/>
      <c r="BR387" s="7"/>
      <c r="BS387" s="7">
        <f>(INDEX('Race 63'!$E$8:$E$200,(MATCH($B387,'Race 63'!$B$8:$B$200,0)),1))*100</f>
        <v>58.013053073346299</v>
      </c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4"/>
      <c r="CK387" s="101"/>
      <c r="CL387" s="74"/>
      <c r="CM387" s="74"/>
      <c r="CN387" s="74"/>
      <c r="CO387" s="70"/>
      <c r="CP387" s="74"/>
      <c r="CQ387" s="7"/>
      <c r="CR387" s="74"/>
      <c r="CS387" s="74"/>
      <c r="CT387" s="74"/>
      <c r="CU387" s="74"/>
      <c r="CV387" s="7"/>
      <c r="CW387" s="7"/>
      <c r="CX387" s="7"/>
      <c r="CY387" s="7"/>
      <c r="CZ387" s="7"/>
      <c r="DA387" s="7"/>
      <c r="DB387" s="7"/>
      <c r="DC387" s="7"/>
      <c r="DD387" s="7"/>
      <c r="DE387" s="74"/>
      <c r="DF387" s="74"/>
      <c r="DG387" s="74"/>
      <c r="DH387" s="7"/>
      <c r="DI387" s="74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8">
        <f t="shared" si="89"/>
        <v>64.152886435327019</v>
      </c>
      <c r="EA387" s="3" t="str">
        <f t="shared" si="90"/>
        <v>Skoryi, Brent</v>
      </c>
      <c r="EB387" s="2">
        <f t="shared" si="91"/>
        <v>1</v>
      </c>
      <c r="EC387" s="112">
        <f t="shared" si="87"/>
        <v>55.959542997423206</v>
      </c>
      <c r="ED387" s="29">
        <f t="shared" si="92"/>
        <v>63.117755249239494</v>
      </c>
      <c r="EE387" s="2">
        <f t="shared" si="93"/>
        <v>1</v>
      </c>
      <c r="EF387" s="46">
        <f t="shared" si="94"/>
        <v>1</v>
      </c>
      <c r="EG387" s="46">
        <f t="shared" si="95"/>
        <v>2</v>
      </c>
      <c r="EH387" s="2" t="str">
        <f t="shared" si="96"/>
        <v>CO</v>
      </c>
      <c r="EI387" s="29">
        <f>IF(COUNT(I387:Y387)&lt;5,DZ387,SUMPRODUCT(LARGE(I387:Y387,{1,2,3,4,5}))/5)</f>
        <v>64.152886435327019</v>
      </c>
      <c r="EJ387" s="29">
        <f>IF(COUNT(I387:AX387)&lt;5,DZ387,SUMPRODUCT(LARGE(I387:AX387,{1,2,3,4,5}))/5)</f>
        <v>64.152886435327019</v>
      </c>
      <c r="EK387" s="29">
        <f>IF(COUNT(I387:DY387)&lt;5,AVERAGE(I387:DY387),SUMPRODUCT(LARGE(I387:DY387,{1,2,3,4,5}))/5)</f>
        <v>64.152886435327019</v>
      </c>
      <c r="EL387" s="29">
        <f t="shared" si="97"/>
        <v>63.117755249239494</v>
      </c>
      <c r="EM387" s="116" t="str">
        <f t="shared" si="98"/>
        <v>Skoryi, Brent</v>
      </c>
      <c r="EQ387"/>
    </row>
    <row r="388" spans="1:147" x14ac:dyDescent="0.25">
      <c r="A388" s="59">
        <f t="shared" si="85"/>
        <v>385</v>
      </c>
      <c r="B388" s="32" t="s">
        <v>110</v>
      </c>
      <c r="C388" s="5" t="s">
        <v>6</v>
      </c>
      <c r="D388" s="6" t="s">
        <v>57</v>
      </c>
      <c r="E388" s="6">
        <v>45.826273858324868</v>
      </c>
      <c r="F388" s="6">
        <v>46.935970923567815</v>
      </c>
      <c r="G388" s="5">
        <f t="shared" si="88"/>
        <v>6</v>
      </c>
      <c r="H388" s="37">
        <v>45.826273858324868</v>
      </c>
      <c r="I388" s="36"/>
      <c r="J388" s="7"/>
      <c r="K388" s="7"/>
      <c r="L388" s="7"/>
      <c r="M388" s="7"/>
      <c r="N388" s="7"/>
      <c r="O388" s="7"/>
      <c r="P388" s="7"/>
      <c r="Q388" s="74"/>
      <c r="R388" s="7"/>
      <c r="S388" s="7"/>
      <c r="T388" s="7"/>
      <c r="U388" s="7"/>
      <c r="V388" s="7"/>
      <c r="W388" s="7"/>
      <c r="X388" s="7"/>
      <c r="Y388" s="227"/>
      <c r="Z388" s="228"/>
      <c r="AA388" s="7"/>
      <c r="AB388" s="7"/>
      <c r="AC388" s="7"/>
      <c r="AD388" s="7"/>
      <c r="AE388" s="7"/>
      <c r="AF388" s="7"/>
      <c r="AG388" s="7"/>
      <c r="AH388" s="7"/>
      <c r="AI388" s="7"/>
      <c r="AJ388" s="74">
        <f>(INDEX('Race 28'!$E$8:$E$200,(MATCH($B388,'Race 28'!$B$8:$B$200,0)),1))*100</f>
        <v>45.324361503746694</v>
      </c>
      <c r="AK388" s="74">
        <f>(INDEX('Race 29'!$E$8:$E$200,(MATCH($B388,'Race 29'!$B$8:$B$200,0)),1))*100</f>
        <v>43.510555745492425</v>
      </c>
      <c r="AL388" s="7"/>
      <c r="AM388" s="7"/>
      <c r="AN388" s="7"/>
      <c r="AO388" s="7"/>
      <c r="AP388" s="7"/>
      <c r="AQ388" s="7"/>
      <c r="AR388" s="101">
        <f>(INDEX('Race 36'!$E$8:$E$200,(MATCH($B388,'Race 36'!$B$8:$B$200,0)),1))*100</f>
        <v>47.546921399676471</v>
      </c>
      <c r="AS388" s="7"/>
      <c r="AT388" s="70"/>
      <c r="AU388" s="7"/>
      <c r="AV388" s="70">
        <f>(INDEX('Race 40'!$E$8:$E$200,(MATCH($B388,'Race 40'!$B$8:$B$200,0)),1))*100</f>
        <v>48.373350456131149</v>
      </c>
      <c r="AW388" s="7"/>
      <c r="AX388" s="183"/>
      <c r="AY388" s="107">
        <f>(INDEX('Race 43'!$E$8:$E$200,(MATCH($B388,'Race 43'!$B$8:$B$200,0)),1))*100</f>
        <v>50.56403930506994</v>
      </c>
      <c r="AZ388" s="7"/>
      <c r="BA388" s="7"/>
      <c r="BB388" s="74"/>
      <c r="BC388" s="74"/>
      <c r="BD388" s="7"/>
      <c r="BE388" s="7"/>
      <c r="BF388" s="7"/>
      <c r="BG388" s="7"/>
      <c r="BH388" s="7"/>
      <c r="BI388" s="7"/>
      <c r="BJ388" s="7"/>
      <c r="BK388" s="14"/>
      <c r="BL388" s="7"/>
      <c r="BM388" s="7"/>
      <c r="BN388" s="7"/>
      <c r="BO388" s="7"/>
      <c r="BP388" s="7"/>
      <c r="BQ388" s="7"/>
      <c r="BR388" s="74">
        <f>(INDEX('Race 62'!$E$8:$E$200,(MATCH($B388,'Race 62'!$B$8:$B$200,0)),1))*100</f>
        <v>52.351663064688111</v>
      </c>
      <c r="BS388" s="7"/>
      <c r="BT388" s="7"/>
      <c r="BU388" s="74"/>
      <c r="BV388" s="74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4"/>
      <c r="CK388" s="101"/>
      <c r="CL388" s="74"/>
      <c r="CM388" s="74"/>
      <c r="CN388" s="74"/>
      <c r="CO388" s="70"/>
      <c r="CP388" s="74"/>
      <c r="CQ388" s="7"/>
      <c r="CR388" s="74"/>
      <c r="CS388" s="74"/>
      <c r="CT388" s="74"/>
      <c r="CU388" s="74"/>
      <c r="CV388" s="74"/>
      <c r="CW388" s="7"/>
      <c r="CX388" s="7"/>
      <c r="CY388" s="7"/>
      <c r="CZ388" s="7"/>
      <c r="DA388" s="7"/>
      <c r="DB388" s="7"/>
      <c r="DC388" s="7"/>
      <c r="DD388" s="7"/>
      <c r="DE388" s="74"/>
      <c r="DF388" s="74"/>
      <c r="DG388" s="74"/>
      <c r="DH388" s="74"/>
      <c r="DI388" s="74"/>
      <c r="DJ388" s="74"/>
      <c r="DK388" s="7"/>
      <c r="DL388" s="74"/>
      <c r="DM388" s="74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8">
        <f t="shared" si="89"/>
        <v>47.945148579134127</v>
      </c>
      <c r="EA388" s="3" t="str">
        <f t="shared" si="90"/>
        <v>Sloman, Richard</v>
      </c>
      <c r="EB388" s="2">
        <f t="shared" si="91"/>
        <v>1</v>
      </c>
      <c r="EC388" s="112">
        <f t="shared" si="87"/>
        <v>45.826273858324868</v>
      </c>
      <c r="ED388" s="29">
        <f t="shared" si="92"/>
        <v>48.04414319742471</v>
      </c>
      <c r="EE388" s="2">
        <f t="shared" si="93"/>
        <v>0</v>
      </c>
      <c r="EF388" s="46">
        <f t="shared" si="94"/>
        <v>5</v>
      </c>
      <c r="EG388" s="46">
        <f t="shared" si="95"/>
        <v>6</v>
      </c>
      <c r="EH388" s="2" t="str">
        <f t="shared" si="96"/>
        <v>NY</v>
      </c>
      <c r="EI388" s="29">
        <f>IF(COUNT(I388:Y388)&lt;5,DZ388,SUMPRODUCT(LARGE(I388:Y388,{1,2,3,4,5}))/5)</f>
        <v>47.945148579134127</v>
      </c>
      <c r="EJ388" s="29">
        <f>IF(COUNT(I388:AX388)&lt;5,DZ388,SUMPRODUCT(LARGE(I388:AX388,{1,2,3,4,5}))/5)</f>
        <v>47.945148579134127</v>
      </c>
      <c r="EK388" s="29">
        <f>IF(COUNT(I388:DY388)&lt;5,AVERAGE(I388:DY388),SUMPRODUCT(LARGE(I388:DY388,{1,2,3,4,5}))/5)</f>
        <v>48.832067145862474</v>
      </c>
      <c r="EL388" s="29">
        <f t="shared" si="97"/>
        <v>48.04414319742471</v>
      </c>
      <c r="EM388" s="116" t="str">
        <f t="shared" si="98"/>
        <v>Sloman, Richard</v>
      </c>
      <c r="EQ388"/>
    </row>
    <row r="389" spans="1:147" x14ac:dyDescent="0.25">
      <c r="A389" s="59">
        <f t="shared" si="85"/>
        <v>386</v>
      </c>
      <c r="B389" s="32" t="s">
        <v>244</v>
      </c>
      <c r="C389" s="5" t="s">
        <v>6</v>
      </c>
      <c r="D389" s="6" t="s">
        <v>69</v>
      </c>
      <c r="E389" s="6">
        <v>53.214075674963304</v>
      </c>
      <c r="F389" s="6">
        <v>63.894640519474201</v>
      </c>
      <c r="G389" s="5">
        <f t="shared" si="88"/>
        <v>3</v>
      </c>
      <c r="H389" s="99">
        <v>53.214075674963304</v>
      </c>
      <c r="I389" s="36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227"/>
      <c r="Z389" s="228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4">
        <f>(INDEX('Race 31'!$E$8:$E$200,(MATCH($B389,'Race 31'!$B$8:$B$200,0)),1))*100</f>
        <v>63.894640519474201</v>
      </c>
      <c r="AN389" s="74"/>
      <c r="AO389" s="74"/>
      <c r="AP389" s="7"/>
      <c r="AQ389" s="74"/>
      <c r="AR389" s="70"/>
      <c r="AS389" s="7"/>
      <c r="AT389" s="70"/>
      <c r="AU389" s="7"/>
      <c r="AV389" s="70"/>
      <c r="AW389" s="7"/>
      <c r="AX389" s="8"/>
      <c r="AY389" s="36"/>
      <c r="AZ389" s="7"/>
      <c r="BA389" s="7"/>
      <c r="BB389" s="7"/>
      <c r="BC389" s="74"/>
      <c r="BD389" s="7"/>
      <c r="BE389" s="7"/>
      <c r="BF389" s="7"/>
      <c r="BG389" s="7"/>
      <c r="BH389" s="7"/>
      <c r="BI389" s="7"/>
      <c r="BJ389" s="7"/>
      <c r="BK389" s="14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101">
        <f>(INDEX('Race 81'!$E$8:$E$200,(MATCH($B389,'Race 81'!$B$8:$B$200,0)),1))*100</f>
        <v>62.73798833747675</v>
      </c>
      <c r="CL389" s="74">
        <f>(INDEX('Race 82'!$E$8:$E$200,(MATCH($B389,'Race 82'!$B$8:$B$200,0)),1))*100</f>
        <v>74.971523578440852</v>
      </c>
      <c r="CM389" s="74"/>
      <c r="CN389" s="74"/>
      <c r="CO389" s="70"/>
      <c r="CP389" s="74"/>
      <c r="CQ389" s="7"/>
      <c r="CR389" s="74"/>
      <c r="CS389" s="74"/>
      <c r="CT389" s="74"/>
      <c r="CU389" s="74"/>
      <c r="CV389" s="74"/>
      <c r="CW389" s="7"/>
      <c r="CX389" s="7"/>
      <c r="CY389" s="7"/>
      <c r="CZ389" s="7"/>
      <c r="DA389" s="7"/>
      <c r="DB389" s="7"/>
      <c r="DC389" s="7"/>
      <c r="DD389" s="7"/>
      <c r="DE389" s="74"/>
      <c r="DF389" s="74"/>
      <c r="DG389" s="74"/>
      <c r="DH389" s="74"/>
      <c r="DI389" s="74"/>
      <c r="DJ389" s="74"/>
      <c r="DK389" s="7"/>
      <c r="DL389" s="74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8">
        <f t="shared" si="89"/>
        <v>67.201384145130604</v>
      </c>
      <c r="EA389" s="3" t="str">
        <f t="shared" si="90"/>
        <v>Slyfield, Jim</v>
      </c>
      <c r="EB389" s="2">
        <f t="shared" si="91"/>
        <v>1</v>
      </c>
      <c r="EC389" s="112">
        <f t="shared" si="87"/>
        <v>53.214075674963304</v>
      </c>
      <c r="ED389" s="29">
        <f t="shared" si="92"/>
        <v>66.117064290762102</v>
      </c>
      <c r="EE389" s="2">
        <f t="shared" si="93"/>
        <v>0</v>
      </c>
      <c r="EF389" s="46">
        <f t="shared" si="94"/>
        <v>1</v>
      </c>
      <c r="EG389" s="46">
        <f t="shared" si="95"/>
        <v>3</v>
      </c>
      <c r="EH389" s="2" t="str">
        <f t="shared" si="96"/>
        <v>WA</v>
      </c>
      <c r="EI389" s="29">
        <f>IF(COUNT(I389:Y389)&lt;5,DZ389,SUMPRODUCT(LARGE(I389:Y389,{1,2,3,4,5}))/5)</f>
        <v>67.201384145130604</v>
      </c>
      <c r="EJ389" s="29">
        <f>IF(COUNT(I389:AX389)&lt;5,DZ389,SUMPRODUCT(LARGE(I389:AX389,{1,2,3,4,5}))/5)</f>
        <v>67.201384145130604</v>
      </c>
      <c r="EK389" s="29">
        <f>IF(COUNT(I389:DY389)&lt;5,AVERAGE(I389:DY389),SUMPRODUCT(LARGE(I389:DY389,{1,2,3,4,5}))/5)</f>
        <v>67.201384145130604</v>
      </c>
      <c r="EL389" s="29">
        <f t="shared" si="97"/>
        <v>66.117064290762102</v>
      </c>
      <c r="EM389" s="116" t="str">
        <f t="shared" si="98"/>
        <v>Slyfield, Jim</v>
      </c>
      <c r="EQ389"/>
    </row>
    <row r="390" spans="1:147" x14ac:dyDescent="0.25">
      <c r="A390" s="59">
        <f t="shared" ref="A390:A453" si="99">A389+1</f>
        <v>387</v>
      </c>
      <c r="B390" s="4" t="s">
        <v>1152</v>
      </c>
      <c r="C390" s="5" t="s">
        <v>6</v>
      </c>
      <c r="D390" s="6" t="s">
        <v>87</v>
      </c>
      <c r="E390" s="6">
        <v>0</v>
      </c>
      <c r="F390" s="6">
        <v>45.608101996078105</v>
      </c>
      <c r="G390" s="5">
        <f t="shared" si="88"/>
        <v>4</v>
      </c>
      <c r="H390" s="37">
        <v>0</v>
      </c>
      <c r="I390" s="36"/>
      <c r="J390" s="7"/>
      <c r="K390" s="7"/>
      <c r="L390" s="7"/>
      <c r="M390" s="74"/>
      <c r="N390" s="74"/>
      <c r="O390" s="7"/>
      <c r="P390" s="74"/>
      <c r="Q390" s="7"/>
      <c r="R390" s="74"/>
      <c r="S390" s="74"/>
      <c r="T390" s="7"/>
      <c r="U390" s="7"/>
      <c r="V390" s="74"/>
      <c r="W390" s="74"/>
      <c r="X390" s="74"/>
      <c r="Y390" s="229"/>
      <c r="Z390" s="230"/>
      <c r="AA390" s="74"/>
      <c r="AB390" s="74"/>
      <c r="AC390" s="74"/>
      <c r="AD390" s="74"/>
      <c r="AE390" s="7"/>
      <c r="AF390" s="74"/>
      <c r="AG390" s="74"/>
      <c r="AH390" s="7"/>
      <c r="AI390" s="7"/>
      <c r="AJ390" s="7"/>
      <c r="AK390" s="7"/>
      <c r="AL390" s="7"/>
      <c r="AM390" s="7"/>
      <c r="AN390" s="7"/>
      <c r="AO390" s="74"/>
      <c r="AP390" s="7"/>
      <c r="AQ390" s="74"/>
      <c r="AR390" s="70"/>
      <c r="AS390" s="7"/>
      <c r="AT390" s="101"/>
      <c r="AU390" s="7"/>
      <c r="AV390" s="101"/>
      <c r="AW390" s="7">
        <f>(INDEX('Race 41'!$E$8:$E$200,(MATCH($B390,'Race 41'!$B$8:$B$200,0)),1))*100</f>
        <v>42.263858946959459</v>
      </c>
      <c r="AX390" s="8">
        <f>(INDEX('Race 42'!$E$8:$E$200,(MATCH($B390,'Race 42'!$B$8:$B$200,0)),1))*100</f>
        <v>48.952345045196743</v>
      </c>
      <c r="AY390" s="36"/>
      <c r="AZ390" s="74"/>
      <c r="BA390" s="74"/>
      <c r="BB390" s="74"/>
      <c r="BC390" s="74"/>
      <c r="BD390" s="7"/>
      <c r="BE390" s="7"/>
      <c r="BF390" s="74"/>
      <c r="BG390" s="74"/>
      <c r="BH390" s="74"/>
      <c r="BI390" s="74"/>
      <c r="BJ390" s="74"/>
      <c r="BK390" s="14"/>
      <c r="BL390" s="74"/>
      <c r="BM390" s="7"/>
      <c r="BN390" s="74"/>
      <c r="BO390" s="74"/>
      <c r="BP390" s="7"/>
      <c r="BQ390" s="7"/>
      <c r="BR390" s="74"/>
      <c r="BS390" s="7"/>
      <c r="BT390" s="7"/>
      <c r="BU390" s="74"/>
      <c r="BV390" s="74"/>
      <c r="BW390" s="74"/>
      <c r="BX390" s="74"/>
      <c r="BY390" s="74"/>
      <c r="BZ390" s="74"/>
      <c r="CA390" s="7"/>
      <c r="CB390" s="74"/>
      <c r="CC390" s="74"/>
      <c r="CD390" s="74"/>
      <c r="CE390" s="7">
        <f>(INDEX('Race 75'!$E$8:$E$200,(MATCH($B390,'Race 75'!$B$8:$B$200,0)),1))*100</f>
        <v>44.6447200774668</v>
      </c>
      <c r="CF390" s="74">
        <f>(INDEX('Race 76'!$E$8:$E$200,(MATCH($B390,'Race 76'!$B$8:$B$200,0)),1))*100</f>
        <v>46.954407911046282</v>
      </c>
      <c r="CG390" s="74"/>
      <c r="CH390" s="7"/>
      <c r="CI390" s="74"/>
      <c r="CJ390" s="74"/>
      <c r="CK390" s="101"/>
      <c r="CL390" s="74"/>
      <c r="CM390" s="74"/>
      <c r="CN390" s="74"/>
      <c r="CO390" s="101"/>
      <c r="CP390" s="74"/>
      <c r="CQ390" s="74"/>
      <c r="CR390" s="74"/>
      <c r="CS390" s="74"/>
      <c r="CT390" s="74"/>
      <c r="CU390" s="74"/>
      <c r="CV390" s="74"/>
      <c r="CW390" s="74"/>
      <c r="CX390" s="7"/>
      <c r="CY390" s="7"/>
      <c r="CZ390" s="74"/>
      <c r="DA390" s="74"/>
      <c r="DB390" s="74"/>
      <c r="DC390" s="74"/>
      <c r="DD390" s="74"/>
      <c r="DE390" s="74"/>
      <c r="DF390" s="74"/>
      <c r="DG390" s="74"/>
      <c r="DH390" s="74"/>
      <c r="DI390" s="74"/>
      <c r="DJ390" s="74"/>
      <c r="DK390" s="74"/>
      <c r="DL390" s="74"/>
      <c r="DM390" s="74"/>
      <c r="DN390" s="74"/>
      <c r="DO390" s="74"/>
      <c r="DP390" s="74"/>
      <c r="DQ390" s="74"/>
      <c r="DR390" s="74"/>
      <c r="DS390" s="74"/>
      <c r="DT390" s="74"/>
      <c r="DU390" s="74"/>
      <c r="DV390" s="74"/>
      <c r="DW390" s="74"/>
      <c r="DX390" s="74"/>
      <c r="DY390" s="74"/>
      <c r="DZ390" s="8">
        <f t="shared" si="89"/>
        <v>45.703832995167325</v>
      </c>
      <c r="EA390" s="3" t="str">
        <f t="shared" si="90"/>
        <v>Smith, Keegan</v>
      </c>
      <c r="EB390" s="2">
        <f t="shared" si="91"/>
        <v>1</v>
      </c>
      <c r="EC390" s="112">
        <f t="shared" si="87"/>
        <v>0</v>
      </c>
      <c r="ED390" s="29">
        <f t="shared" si="92"/>
        <v>44.966384292765959</v>
      </c>
      <c r="EE390" s="2">
        <f t="shared" si="93"/>
        <v>0</v>
      </c>
      <c r="EF390" s="46">
        <f t="shared" si="94"/>
        <v>2</v>
      </c>
      <c r="EG390" s="46">
        <f t="shared" si="95"/>
        <v>4</v>
      </c>
      <c r="EH390" s="29" t="str">
        <f t="shared" si="96"/>
        <v>CA</v>
      </c>
      <c r="EI390" s="29">
        <f>IF(COUNT(I390:AD390)&lt;5,DZ390,SUMPRODUCT(LARGE(I390:AD390,{1,2,3,4,5}))/5)</f>
        <v>45.703832995167325</v>
      </c>
      <c r="EJ390" s="29">
        <f>IF(COUNT(I390:AX390)&lt;5,DZ390,SUMPRODUCT(LARGE(I390:AX390,{1,2,3,4,5}))/5)</f>
        <v>45.703832995167325</v>
      </c>
      <c r="EK390" s="112">
        <f>IF(COUNT(I390:DY390)&lt;5,AVERAGE(I390:DY390),SUMPRODUCT(LARGE(I390:DY390,{1,2,3,4,5}))/5)</f>
        <v>45.703832995167325</v>
      </c>
      <c r="EL390" s="29">
        <f t="shared" si="97"/>
        <v>44.966384292765959</v>
      </c>
      <c r="EM390" s="116" t="str">
        <f t="shared" si="98"/>
        <v>Smith, Keegan</v>
      </c>
      <c r="EQ390"/>
    </row>
    <row r="391" spans="1:147" x14ac:dyDescent="0.25">
      <c r="A391" s="59">
        <f t="shared" si="99"/>
        <v>388</v>
      </c>
      <c r="B391" s="32" t="s">
        <v>864</v>
      </c>
      <c r="C391" s="5" t="s">
        <v>6</v>
      </c>
      <c r="D391" s="6" t="s">
        <v>62</v>
      </c>
      <c r="E391" s="6">
        <v>36.92521163114376</v>
      </c>
      <c r="F391" s="6">
        <v>36.92521163114376</v>
      </c>
      <c r="G391" s="5">
        <f t="shared" si="88"/>
        <v>0</v>
      </c>
      <c r="H391" s="37">
        <v>36.92521163114376</v>
      </c>
      <c r="I391" s="36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227"/>
      <c r="Z391" s="228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4"/>
      <c r="AP391" s="7"/>
      <c r="AQ391" s="74"/>
      <c r="AR391" s="70"/>
      <c r="AS391" s="7"/>
      <c r="AT391" s="70"/>
      <c r="AU391" s="7"/>
      <c r="AV391" s="70"/>
      <c r="AW391" s="7"/>
      <c r="AX391" s="8"/>
      <c r="AY391" s="36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14"/>
      <c r="BL391" s="7"/>
      <c r="BM391" s="7"/>
      <c r="BN391" s="74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101"/>
      <c r="CL391" s="74"/>
      <c r="CM391" s="74"/>
      <c r="CN391" s="74"/>
      <c r="CO391" s="70"/>
      <c r="CP391" s="74"/>
      <c r="CQ391" s="7"/>
      <c r="CR391" s="74"/>
      <c r="CS391" s="74"/>
      <c r="CT391" s="74"/>
      <c r="CU391" s="74"/>
      <c r="CV391" s="7"/>
      <c r="CW391" s="7"/>
      <c r="CX391" s="7"/>
      <c r="CY391" s="7"/>
      <c r="CZ391" s="7"/>
      <c r="DA391" s="7"/>
      <c r="DB391" s="7"/>
      <c r="DC391" s="7"/>
      <c r="DD391" s="7"/>
      <c r="DE391" s="74"/>
      <c r="DF391" s="74"/>
      <c r="DG391" s="74"/>
      <c r="DH391" s="7"/>
      <c r="DI391" s="74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8">
        <f t="shared" si="89"/>
        <v>36.92521163114376</v>
      </c>
      <c r="EA391" s="3" t="str">
        <f t="shared" si="90"/>
        <v>SOPER, Robert</v>
      </c>
      <c r="EB391" s="2">
        <f t="shared" si="91"/>
        <v>0</v>
      </c>
      <c r="EC391" s="112">
        <f t="shared" si="87"/>
        <v>36.92521163114376</v>
      </c>
      <c r="ED391" s="29">
        <f t="shared" si="92"/>
        <v>0</v>
      </c>
      <c r="EE391" s="2">
        <f t="shared" si="93"/>
        <v>0</v>
      </c>
      <c r="EF391" s="46">
        <f t="shared" si="94"/>
        <v>0</v>
      </c>
      <c r="EG391" s="46">
        <f t="shared" si="95"/>
        <v>0</v>
      </c>
      <c r="EH391" s="29" t="str">
        <f t="shared" si="96"/>
        <v>CO</v>
      </c>
      <c r="EI391" s="29">
        <f>IF(COUNT(I391:Y391)&lt;5,DZ391,SUMPRODUCT(LARGE(I391:Y391,{1,2,3,4,5}))/5)</f>
        <v>36.92521163114376</v>
      </c>
      <c r="EJ391" s="29">
        <f>IF(COUNT(I391:AX391)&lt;5,DZ391,SUMPRODUCT(LARGE(I391:AX391,{1,2,3,4,5}))/5)</f>
        <v>36.92521163114376</v>
      </c>
      <c r="EK391" s="112">
        <f>IF(EG391&lt;0,AVERAGE(I391:DY391),0)</f>
        <v>0</v>
      </c>
      <c r="EL391" s="29">
        <f t="shared" si="97"/>
        <v>0</v>
      </c>
      <c r="EM391" s="116" t="str">
        <f t="shared" si="98"/>
        <v>SOPER, Robert</v>
      </c>
      <c r="EQ391"/>
    </row>
    <row r="392" spans="1:147" x14ac:dyDescent="0.25">
      <c r="A392" s="59">
        <f t="shared" si="99"/>
        <v>389</v>
      </c>
      <c r="B392" s="32" t="s">
        <v>1163</v>
      </c>
      <c r="C392" s="5" t="s">
        <v>6</v>
      </c>
      <c r="D392" s="6" t="s">
        <v>63</v>
      </c>
      <c r="E392" s="6">
        <v>0</v>
      </c>
      <c r="F392" s="6">
        <v>0</v>
      </c>
      <c r="G392" s="5">
        <f t="shared" si="88"/>
        <v>1</v>
      </c>
      <c r="H392" s="37">
        <v>0</v>
      </c>
      <c r="I392" s="36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227"/>
      <c r="Z392" s="228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4"/>
      <c r="AP392" s="7"/>
      <c r="AQ392" s="74"/>
      <c r="AR392" s="70"/>
      <c r="AS392" s="7"/>
      <c r="AT392" s="70"/>
      <c r="AU392" s="7"/>
      <c r="AV392" s="70"/>
      <c r="AW392" s="7"/>
      <c r="AX392" s="8"/>
      <c r="AY392" s="36"/>
      <c r="AZ392" s="7">
        <f>(INDEX('Race 44'!$E$8:$E$200,(MATCH($B392,'Race 44'!$B$8:$B$200,0)),1))*100</f>
        <v>34.727657373155331</v>
      </c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14"/>
      <c r="BL392" s="7"/>
      <c r="BM392" s="7"/>
      <c r="BN392" s="74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101"/>
      <c r="CL392" s="74"/>
      <c r="CM392" s="74"/>
      <c r="CN392" s="74"/>
      <c r="CO392" s="70"/>
      <c r="CP392" s="74"/>
      <c r="CQ392" s="7"/>
      <c r="CR392" s="74"/>
      <c r="CS392" s="74"/>
      <c r="CT392" s="74"/>
      <c r="CU392" s="74"/>
      <c r="CV392" s="7"/>
      <c r="CW392" s="7"/>
      <c r="CX392" s="7"/>
      <c r="CY392" s="7"/>
      <c r="CZ392" s="7"/>
      <c r="DA392" s="7"/>
      <c r="DB392" s="7"/>
      <c r="DC392" s="7"/>
      <c r="DD392" s="7"/>
      <c r="DE392" s="74"/>
      <c r="DF392" s="74"/>
      <c r="DG392" s="74"/>
      <c r="DH392" s="7"/>
      <c r="DI392" s="74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8">
        <f t="shared" si="89"/>
        <v>34.727657373155331</v>
      </c>
      <c r="EA392" s="3" t="str">
        <f t="shared" si="90"/>
        <v>Srdagna, Sal</v>
      </c>
      <c r="EB392" s="2">
        <f t="shared" si="91"/>
        <v>1</v>
      </c>
      <c r="EC392" s="112">
        <f t="shared" si="87"/>
        <v>0</v>
      </c>
      <c r="ED392" s="29">
        <f t="shared" si="92"/>
        <v>34.167313432856481</v>
      </c>
      <c r="EE392" s="2">
        <f t="shared" si="93"/>
        <v>0</v>
      </c>
      <c r="EF392" s="46">
        <f t="shared" si="94"/>
        <v>1</v>
      </c>
      <c r="EG392" s="46">
        <f t="shared" si="95"/>
        <v>1</v>
      </c>
      <c r="EH392" s="2" t="str">
        <f t="shared" si="96"/>
        <v>VT</v>
      </c>
      <c r="EI392" s="29">
        <f>IF(COUNT(I392:AD392)&lt;5,DZ392,SUMPRODUCT(LARGE(I392:AD392,{1,2,3,4,5}))/5)</f>
        <v>34.727657373155331</v>
      </c>
      <c r="EJ392" s="29">
        <f>IF(COUNT(I392:AX392)&lt;5,DZ392,SUMPRODUCT(LARGE(I392:AX392,{1,2,3,4,5}))/5)</f>
        <v>34.727657373155331</v>
      </c>
      <c r="EK392" s="112">
        <f>IF(COUNT(I392:DY392)&lt;5,AVERAGE(I392:DY392),SUMPRODUCT(LARGE(I392:DY392,{1,2,3,4,5}))/5)</f>
        <v>34.727657373155331</v>
      </c>
      <c r="EL392" s="29">
        <f t="shared" si="97"/>
        <v>34.167313432856481</v>
      </c>
      <c r="EM392" s="116" t="str">
        <f t="shared" si="98"/>
        <v>Srdagna, Sal</v>
      </c>
      <c r="EQ392"/>
    </row>
    <row r="393" spans="1:147" x14ac:dyDescent="0.25">
      <c r="A393" s="59">
        <f t="shared" si="99"/>
        <v>390</v>
      </c>
      <c r="B393" s="32" t="s">
        <v>280</v>
      </c>
      <c r="C393" s="5" t="s">
        <v>6</v>
      </c>
      <c r="D393" s="6" t="s">
        <v>62</v>
      </c>
      <c r="E393" s="6">
        <v>51.87683747526976</v>
      </c>
      <c r="F393" s="6">
        <v>50.630724077529777</v>
      </c>
      <c r="G393" s="5">
        <f t="shared" si="88"/>
        <v>1</v>
      </c>
      <c r="H393" s="99">
        <v>51.87683747526976</v>
      </c>
      <c r="I393" s="36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227"/>
      <c r="Z393" s="228"/>
      <c r="AA393" s="7"/>
      <c r="AB393" s="7"/>
      <c r="AC393" s="7"/>
      <c r="AD393" s="7"/>
      <c r="AE393" s="7"/>
      <c r="AF393" s="7"/>
      <c r="AG393" s="74">
        <f>(INDEX('Race 25'!$E$8:$E$200,(MATCH($B393,'Race 25'!$B$8:$B$200,0)),1))*100</f>
        <v>50.630724077529777</v>
      </c>
      <c r="AH393" s="7"/>
      <c r="AI393" s="7"/>
      <c r="AJ393" s="7"/>
      <c r="AK393" s="7"/>
      <c r="AL393" s="7"/>
      <c r="AM393" s="7"/>
      <c r="AN393" s="7"/>
      <c r="AO393" s="74"/>
      <c r="AP393" s="7"/>
      <c r="AQ393" s="74"/>
      <c r="AR393" s="70"/>
      <c r="AS393" s="7"/>
      <c r="AT393" s="70"/>
      <c r="AU393" s="7"/>
      <c r="AV393" s="70"/>
      <c r="AW393" s="7"/>
      <c r="AX393" s="8"/>
      <c r="AY393" s="36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14"/>
      <c r="BL393" s="7"/>
      <c r="BM393" s="7"/>
      <c r="BN393" s="74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14"/>
      <c r="CG393" s="7"/>
      <c r="CH393" s="7"/>
      <c r="CI393" s="7"/>
      <c r="CJ393" s="7"/>
      <c r="CK393" s="101"/>
      <c r="CL393" s="74"/>
      <c r="CM393" s="74"/>
      <c r="CN393" s="74"/>
      <c r="CO393" s="70"/>
      <c r="CP393" s="74"/>
      <c r="CQ393" s="7"/>
      <c r="CR393" s="74"/>
      <c r="CS393" s="74"/>
      <c r="CT393" s="74"/>
      <c r="CU393" s="74"/>
      <c r="CV393" s="74"/>
      <c r="CW393" s="7"/>
      <c r="CX393" s="7"/>
      <c r="CY393" s="7"/>
      <c r="CZ393" s="7"/>
      <c r="DA393" s="7"/>
      <c r="DB393" s="7"/>
      <c r="DC393" s="7"/>
      <c r="DD393" s="7"/>
      <c r="DE393" s="74"/>
      <c r="DF393" s="74"/>
      <c r="DG393" s="74"/>
      <c r="DH393" s="74"/>
      <c r="DI393" s="74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8">
        <f t="shared" si="89"/>
        <v>50.630724077529777</v>
      </c>
      <c r="EA393" s="3" t="str">
        <f t="shared" si="90"/>
        <v>Stanfel, Larry</v>
      </c>
      <c r="EB393" s="2">
        <f t="shared" si="91"/>
        <v>1</v>
      </c>
      <c r="EC393" s="112">
        <f t="shared" si="87"/>
        <v>51.87683747526976</v>
      </c>
      <c r="ED393" s="29">
        <f t="shared" si="92"/>
        <v>49.81377811642048</v>
      </c>
      <c r="EE393" s="2">
        <f t="shared" si="93"/>
        <v>1</v>
      </c>
      <c r="EF393" s="46">
        <f t="shared" si="94"/>
        <v>1</v>
      </c>
      <c r="EG393" s="46">
        <f t="shared" si="95"/>
        <v>1</v>
      </c>
      <c r="EH393" s="2" t="str">
        <f t="shared" si="96"/>
        <v>CO</v>
      </c>
      <c r="EI393" s="29">
        <f>IF(COUNT(I393:Y393)&lt;5,DZ393,SUMPRODUCT(LARGE(I393:Y393,{1,2,3,4,5}))/5)</f>
        <v>50.630724077529777</v>
      </c>
      <c r="EJ393" s="29">
        <f>IF(COUNT(I393:AX393)&lt;5,DZ393,SUMPRODUCT(LARGE(I393:AX393,{1,2,3,4,5}))/5)</f>
        <v>50.630724077529777</v>
      </c>
      <c r="EK393" s="29">
        <f>IF(COUNT(I393:DY393)&lt;5,AVERAGE(I393:DY393),SUMPRODUCT(LARGE(I393:DY393,{1,2,3,4,5}))/5)</f>
        <v>50.630724077529777</v>
      </c>
      <c r="EL393" s="29">
        <f t="shared" si="97"/>
        <v>49.81377811642048</v>
      </c>
      <c r="EM393" s="116" t="str">
        <f t="shared" si="98"/>
        <v>Stanfel, Larry</v>
      </c>
      <c r="EQ393"/>
    </row>
    <row r="394" spans="1:147" x14ac:dyDescent="0.25">
      <c r="A394" s="59">
        <f t="shared" si="99"/>
        <v>391</v>
      </c>
      <c r="B394" s="32" t="s">
        <v>780</v>
      </c>
      <c r="C394" s="5" t="s">
        <v>6</v>
      </c>
      <c r="D394" s="6" t="s">
        <v>89</v>
      </c>
      <c r="E394" s="6">
        <v>43.547029406122483</v>
      </c>
      <c r="F394" s="6">
        <v>43.547029406122483</v>
      </c>
      <c r="G394" s="5">
        <f t="shared" si="88"/>
        <v>0</v>
      </c>
      <c r="H394" s="37">
        <v>43.547029406122483</v>
      </c>
      <c r="I394" s="36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227"/>
      <c r="Z394" s="228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4"/>
      <c r="AP394" s="7"/>
      <c r="AQ394" s="74"/>
      <c r="AR394" s="70"/>
      <c r="AS394" s="7"/>
      <c r="AT394" s="70"/>
      <c r="AU394" s="7"/>
      <c r="AV394" s="70"/>
      <c r="AW394" s="7"/>
      <c r="AX394" s="8"/>
      <c r="AY394" s="36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14"/>
      <c r="BL394" s="7"/>
      <c r="BM394" s="7"/>
      <c r="BN394" s="74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101"/>
      <c r="CL394" s="74"/>
      <c r="CM394" s="74"/>
      <c r="CN394" s="74"/>
      <c r="CO394" s="70"/>
      <c r="CP394" s="74"/>
      <c r="CQ394" s="7"/>
      <c r="CR394" s="74"/>
      <c r="CS394" s="74"/>
      <c r="CT394" s="74"/>
      <c r="CU394" s="74"/>
      <c r="CV394" s="7"/>
      <c r="CW394" s="7"/>
      <c r="CX394" s="7"/>
      <c r="CY394" s="7"/>
      <c r="CZ394" s="7"/>
      <c r="DA394" s="7"/>
      <c r="DB394" s="7"/>
      <c r="DC394" s="7"/>
      <c r="DD394" s="7"/>
      <c r="DE394" s="74"/>
      <c r="DF394" s="74"/>
      <c r="DG394" s="74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8">
        <f t="shared" si="89"/>
        <v>43.547029406122483</v>
      </c>
      <c r="EA394" s="3" t="str">
        <f t="shared" si="90"/>
        <v>Stapleton, Ryan</v>
      </c>
      <c r="EB394" s="2">
        <f t="shared" si="91"/>
        <v>0</v>
      </c>
      <c r="EC394" s="112">
        <f t="shared" si="87"/>
        <v>43.547029406122483</v>
      </c>
      <c r="ED394" s="29">
        <f t="shared" si="92"/>
        <v>0</v>
      </c>
      <c r="EE394" s="2">
        <f t="shared" si="93"/>
        <v>0</v>
      </c>
      <c r="EF394" s="46">
        <f t="shared" si="94"/>
        <v>0</v>
      </c>
      <c r="EG394" s="46">
        <f t="shared" si="95"/>
        <v>0</v>
      </c>
      <c r="EH394" s="2" t="str">
        <f t="shared" si="96"/>
        <v>OR</v>
      </c>
      <c r="EI394" s="29">
        <f>IF(COUNT(I394:Y394)&lt;5,DZ394,SUMPRODUCT(LARGE(I394:Y394,{1,2,3,4,5}))/5)</f>
        <v>43.547029406122483</v>
      </c>
      <c r="EJ394" s="29">
        <f>IF(COUNT(I394:AX394)&lt;5,DZ394,SUMPRODUCT(LARGE(I394:AX394,{1,2,3,4,5}))/5)</f>
        <v>43.547029406122483</v>
      </c>
      <c r="EK394" s="112">
        <f>IF(EG394&lt;0,AVERAGE(I394:DY394),0)</f>
        <v>0</v>
      </c>
      <c r="EL394" s="29">
        <f t="shared" si="97"/>
        <v>0</v>
      </c>
      <c r="EM394" s="116" t="str">
        <f t="shared" si="98"/>
        <v>Stapleton, Ryan</v>
      </c>
      <c r="EQ394"/>
    </row>
    <row r="395" spans="1:147" x14ac:dyDescent="0.25">
      <c r="A395" s="59">
        <f t="shared" si="99"/>
        <v>392</v>
      </c>
      <c r="B395" s="32" t="s">
        <v>1084</v>
      </c>
      <c r="C395" s="5" t="s">
        <v>6</v>
      </c>
      <c r="D395" s="6" t="s">
        <v>69</v>
      </c>
      <c r="E395" s="6">
        <v>51.279679442015549</v>
      </c>
      <c r="F395" s="6">
        <v>59.914210747568333</v>
      </c>
      <c r="G395" s="5">
        <f t="shared" si="88"/>
        <v>8</v>
      </c>
      <c r="H395" s="37">
        <v>51.279679442015549</v>
      </c>
      <c r="I395" s="36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227"/>
      <c r="Z395" s="228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4">
        <f>(INDEX('Race 31'!$E$8:$E$200,(MATCH($B395,'Race 31'!$B$8:$B$200,0)),1))*100</f>
        <v>62.952742725446178</v>
      </c>
      <c r="AN395" s="74">
        <f>(INDEX('Race 32'!$E$8:$E$200,(MATCH($B395,'Race 32'!$B$8:$B$200,0)),1))*100</f>
        <v>56.875678769690488</v>
      </c>
      <c r="AO395" s="74"/>
      <c r="AP395" s="7"/>
      <c r="AQ395" s="74"/>
      <c r="AR395" s="70"/>
      <c r="AS395" s="7"/>
      <c r="AT395" s="70"/>
      <c r="AU395" s="7"/>
      <c r="AV395" s="70"/>
      <c r="AW395" s="7"/>
      <c r="AX395" s="8"/>
      <c r="AY395" s="36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14"/>
      <c r="BL395" s="7"/>
      <c r="BM395" s="7"/>
      <c r="BN395" s="74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>
        <f>(INDEX('Race 71'!$E$8:$E$200,(MATCH($B395,'Race 71'!$B$8:$B$200,0)),1))*100</f>
        <v>61.713318233592084</v>
      </c>
      <c r="CB395" s="7"/>
      <c r="CC395" s="7"/>
      <c r="CD395" s="7"/>
      <c r="CE395" s="74"/>
      <c r="CF395" s="74"/>
      <c r="CG395" s="7"/>
      <c r="CH395" s="7"/>
      <c r="CI395" s="7"/>
      <c r="CJ395" s="7"/>
      <c r="CK395" s="101">
        <f>(INDEX('Race 81'!$E$8:$E$200,(MATCH($B395,'Race 81'!$B$8:$B$200,0)),1))*100</f>
        <v>62.807083038288944</v>
      </c>
      <c r="CL395" s="74">
        <f>(INDEX('Race 82'!$E$8:$E$200,(MATCH($B395,'Race 82'!$B$8:$B$200,0)),1))*100</f>
        <v>56.478377003915995</v>
      </c>
      <c r="CM395" s="74"/>
      <c r="CN395" s="74"/>
      <c r="CO395" s="70">
        <f>(INDEX('Race 85'!$E$8:$E$200,(MATCH($B395,'Race 85'!$B$8:$B$200,0)),1))*100</f>
        <v>58.051318769396346</v>
      </c>
      <c r="CP395" s="74"/>
      <c r="CQ395" s="7">
        <f>(INDEX('Race 87'!$E$8:$E$200,(MATCH($B395,'Race 87'!$B$8:$B$200,0)),1))*100</f>
        <v>56.737553434844465</v>
      </c>
      <c r="CR395" s="74"/>
      <c r="CS395" s="74"/>
      <c r="CT395" s="74"/>
      <c r="CU395" s="74"/>
      <c r="CV395" s="7">
        <f>(INDEX('Race 92'!$E$8:$E$200,(MATCH($B395,'Race 92'!$B$8:$B$200,0)),1))*100</f>
        <v>53.341968788125349</v>
      </c>
      <c r="CW395" s="7"/>
      <c r="CX395" s="7"/>
      <c r="CY395" s="7"/>
      <c r="CZ395" s="7"/>
      <c r="DA395" s="7"/>
      <c r="DB395" s="7"/>
      <c r="DC395" s="7"/>
      <c r="DD395" s="7"/>
      <c r="DE395" s="74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8">
        <f t="shared" si="89"/>
        <v>58.619755095412486</v>
      </c>
      <c r="EA395" s="3" t="str">
        <f t="shared" si="90"/>
        <v>Stefanoff, Jim</v>
      </c>
      <c r="EB395" s="2">
        <f t="shared" si="91"/>
        <v>1</v>
      </c>
      <c r="EC395" s="112">
        <f t="shared" si="87"/>
        <v>51.279679442015549</v>
      </c>
      <c r="ED395" s="29">
        <f t="shared" si="92"/>
        <v>59.504160081939013</v>
      </c>
      <c r="EE395" s="2">
        <f t="shared" si="93"/>
        <v>0</v>
      </c>
      <c r="EF395" s="46">
        <f t="shared" si="94"/>
        <v>2</v>
      </c>
      <c r="EG395" s="46">
        <f t="shared" si="95"/>
        <v>8</v>
      </c>
      <c r="EH395" s="2" t="str">
        <f t="shared" si="96"/>
        <v>WA</v>
      </c>
      <c r="EI395" s="29">
        <f>IF(COUNT(I395:Y395)&lt;5,DZ395,SUMPRODUCT(LARGE(I395:Y395,{1,2,3,4,5}))/5)</f>
        <v>58.619755095412486</v>
      </c>
      <c r="EJ395" s="29">
        <f>IF(COUNT(I395:AX395)&lt;5,DZ395,SUMPRODUCT(LARGE(I395:AX395,{1,2,3,4,5}))/5)</f>
        <v>58.619755095412486</v>
      </c>
      <c r="EK395" s="29">
        <f>IF(COUNT(I395:DY395)&lt;5,AVERAGE(I395:DY395),SUMPRODUCT(LARGE(I395:DY395,{1,2,3,4,5}))/5)</f>
        <v>60.480028307282808</v>
      </c>
      <c r="EL395" s="29">
        <f t="shared" si="97"/>
        <v>59.504160081939013</v>
      </c>
      <c r="EM395" s="116" t="str">
        <f t="shared" si="98"/>
        <v>Stefanoff, Jim</v>
      </c>
      <c r="EQ395"/>
    </row>
    <row r="396" spans="1:147" x14ac:dyDescent="0.25">
      <c r="A396" s="59">
        <f t="shared" si="99"/>
        <v>393</v>
      </c>
      <c r="B396" s="32" t="s">
        <v>140</v>
      </c>
      <c r="C396" s="5" t="s">
        <v>6</v>
      </c>
      <c r="D396" s="6" t="s">
        <v>57</v>
      </c>
      <c r="E396" s="6">
        <v>41.802096726598563</v>
      </c>
      <c r="F396" s="6">
        <v>43.796149464140271</v>
      </c>
      <c r="G396" s="5">
        <f t="shared" si="88"/>
        <v>2</v>
      </c>
      <c r="H396" s="99">
        <v>41.802096726598563</v>
      </c>
      <c r="I396" s="36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227"/>
      <c r="Z396" s="228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4"/>
      <c r="AR396" s="101">
        <f>(INDEX('Race 36'!$E$8:$E$200,(MATCH($B396,'Race 36'!$B$8:$B$200,0)),1))*100</f>
        <v>44.003761391527505</v>
      </c>
      <c r="AS396" s="7"/>
      <c r="AT396" s="70"/>
      <c r="AU396" s="7"/>
      <c r="AV396" s="70"/>
      <c r="AW396" s="7"/>
      <c r="AX396" s="8"/>
      <c r="AY396" s="36">
        <f>(INDEX('Race 43'!$E$8:$E$200,(MATCH($B396,'Race 43'!$B$8:$B$200,0)),1))*100</f>
        <v>44.146765984724645</v>
      </c>
      <c r="AZ396" s="7"/>
      <c r="BA396" s="7"/>
      <c r="BB396" s="7"/>
      <c r="BC396" s="74"/>
      <c r="BD396" s="7"/>
      <c r="BE396" s="7"/>
      <c r="BF396" s="7"/>
      <c r="BG396" s="7"/>
      <c r="BH396" s="7"/>
      <c r="BI396" s="7"/>
      <c r="BJ396" s="7"/>
      <c r="BK396" s="14"/>
      <c r="BL396" s="7"/>
      <c r="BM396" s="7"/>
      <c r="BN396" s="7"/>
      <c r="BO396" s="7"/>
      <c r="BP396" s="7"/>
      <c r="BQ396" s="7"/>
      <c r="BR396" s="7"/>
      <c r="BS396" s="7"/>
      <c r="BT396" s="7"/>
      <c r="BU396" s="74"/>
      <c r="BV396" s="74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101"/>
      <c r="CL396" s="74"/>
      <c r="CM396" s="74"/>
      <c r="CN396" s="74"/>
      <c r="CO396" s="101"/>
      <c r="CP396" s="74"/>
      <c r="CQ396" s="7"/>
      <c r="CR396" s="74"/>
      <c r="CS396" s="74"/>
      <c r="CT396" s="74"/>
      <c r="CU396" s="74"/>
      <c r="CV396" s="74"/>
      <c r="CW396" s="7"/>
      <c r="CX396" s="7"/>
      <c r="CY396" s="7"/>
      <c r="CZ396" s="7"/>
      <c r="DA396" s="7"/>
      <c r="DB396" s="7"/>
      <c r="DC396" s="7"/>
      <c r="DD396" s="7"/>
      <c r="DE396" s="74"/>
      <c r="DF396" s="74"/>
      <c r="DG396" s="74"/>
      <c r="DH396" s="74"/>
      <c r="DI396" s="74"/>
      <c r="DJ396" s="7"/>
      <c r="DK396" s="7"/>
      <c r="DL396" s="7"/>
      <c r="DM396" s="74"/>
      <c r="DN396" s="74"/>
      <c r="DO396" s="74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8">
        <f t="shared" si="89"/>
        <v>44.075263688126071</v>
      </c>
      <c r="EA396" s="3" t="str">
        <f t="shared" si="90"/>
        <v>Stegen, Arthur</v>
      </c>
      <c r="EB396" s="2">
        <f t="shared" si="91"/>
        <v>1</v>
      </c>
      <c r="EC396" s="112">
        <f t="shared" si="87"/>
        <v>41.802096726598563</v>
      </c>
      <c r="ED396" s="29">
        <f t="shared" si="92"/>
        <v>43.364092569978425</v>
      </c>
      <c r="EE396" s="2">
        <f t="shared" si="93"/>
        <v>0</v>
      </c>
      <c r="EF396" s="46">
        <f t="shared" si="94"/>
        <v>2</v>
      </c>
      <c r="EG396" s="46">
        <f t="shared" si="95"/>
        <v>2</v>
      </c>
      <c r="EH396" s="2" t="str">
        <f t="shared" si="96"/>
        <v>NY</v>
      </c>
      <c r="EI396" s="29">
        <f>IF(COUNT(I396:Y396)&lt;5,DZ396,SUMPRODUCT(LARGE(I396:Y396,{1,2,3,4,5}))/5)</f>
        <v>44.075263688126071</v>
      </c>
      <c r="EJ396" s="29">
        <f>IF(COUNT(I396:AX396)&lt;5,DZ396,SUMPRODUCT(LARGE(I396:AX396,{1,2,3,4,5}))/5)</f>
        <v>44.075263688126071</v>
      </c>
      <c r="EK396" s="29">
        <f>IF(COUNT(I396:DY396)&lt;5,AVERAGE(I396:DY396),SUMPRODUCT(LARGE(I396:DY396,{1,2,3,4,5}))/5)</f>
        <v>44.075263688126071</v>
      </c>
      <c r="EL396" s="29">
        <f t="shared" si="97"/>
        <v>43.364092569978425</v>
      </c>
      <c r="EM396" s="116" t="str">
        <f t="shared" si="98"/>
        <v>Stegen, Arthur</v>
      </c>
      <c r="EQ396"/>
    </row>
    <row r="397" spans="1:147" x14ac:dyDescent="0.25">
      <c r="A397" s="59">
        <f t="shared" si="99"/>
        <v>394</v>
      </c>
      <c r="B397" s="32" t="s">
        <v>1222</v>
      </c>
      <c r="C397" s="5" t="s">
        <v>6</v>
      </c>
      <c r="D397" s="6" t="s">
        <v>88</v>
      </c>
      <c r="E397" s="6">
        <v>0</v>
      </c>
      <c r="F397" s="6">
        <v>0</v>
      </c>
      <c r="G397" s="5">
        <f t="shared" si="88"/>
        <v>1</v>
      </c>
      <c r="H397" s="99">
        <v>0</v>
      </c>
      <c r="I397" s="107"/>
      <c r="J397" s="7"/>
      <c r="K397" s="74"/>
      <c r="L397" s="7"/>
      <c r="M397" s="74"/>
      <c r="N397" s="74"/>
      <c r="O397" s="7"/>
      <c r="P397" s="74"/>
      <c r="Q397" s="74"/>
      <c r="R397" s="74"/>
      <c r="S397" s="74"/>
      <c r="T397" s="7"/>
      <c r="U397" s="7"/>
      <c r="V397" s="74"/>
      <c r="W397" s="7"/>
      <c r="X397" s="74"/>
      <c r="Y397" s="227"/>
      <c r="Z397" s="228"/>
      <c r="AA397" s="74"/>
      <c r="AB397" s="74"/>
      <c r="AC397" s="7"/>
      <c r="AD397" s="74"/>
      <c r="AE397" s="7"/>
      <c r="AF397" s="74"/>
      <c r="AG397" s="74"/>
      <c r="AH397" s="7"/>
      <c r="AI397" s="7"/>
      <c r="AJ397" s="7"/>
      <c r="AK397" s="7"/>
      <c r="AL397" s="7"/>
      <c r="AM397" s="7"/>
      <c r="AN397" s="7"/>
      <c r="AO397" s="74"/>
      <c r="AP397" s="7"/>
      <c r="AQ397" s="74"/>
      <c r="AR397" s="101"/>
      <c r="AS397" s="7"/>
      <c r="AT397" s="74"/>
      <c r="AU397" s="7"/>
      <c r="AV397" s="74"/>
      <c r="AW397" s="7"/>
      <c r="AX397" s="183"/>
      <c r="AY397" s="107"/>
      <c r="AZ397" s="74"/>
      <c r="BA397" s="74"/>
      <c r="BB397" s="74"/>
      <c r="BC397" s="74"/>
      <c r="BD397" s="7"/>
      <c r="BE397" s="7"/>
      <c r="BF397" s="74"/>
      <c r="BG397" s="74"/>
      <c r="BH397" s="74"/>
      <c r="BI397" s="74"/>
      <c r="BJ397" s="74"/>
      <c r="BK397" s="14"/>
      <c r="BL397" s="74"/>
      <c r="BM397" s="7"/>
      <c r="BN397" s="74"/>
      <c r="BO397" s="74"/>
      <c r="BP397" s="7"/>
      <c r="BQ397" s="7"/>
      <c r="BR397" s="74"/>
      <c r="BS397" s="7"/>
      <c r="BT397" s="7"/>
      <c r="BU397" s="74"/>
      <c r="BV397" s="74"/>
      <c r="BW397" s="74"/>
      <c r="BX397" s="74"/>
      <c r="BY397" s="74"/>
      <c r="BZ397" s="74"/>
      <c r="CA397" s="7"/>
      <c r="CB397" s="74"/>
      <c r="CC397" s="74"/>
      <c r="CD397" s="74">
        <f>(INDEX('Race 74'!$E$8:$E$200,(MATCH($B397,'Race 74'!$B$8:$B$200,0)),1))*100</f>
        <v>45.307880608312644</v>
      </c>
      <c r="CE397" s="7"/>
      <c r="CF397" s="74"/>
      <c r="CG397" s="74"/>
      <c r="CH397" s="7"/>
      <c r="CI397" s="74"/>
      <c r="CJ397" s="74"/>
      <c r="CK397" s="101"/>
      <c r="CL397" s="74"/>
      <c r="CM397" s="74"/>
      <c r="CN397" s="74"/>
      <c r="CO397" s="101"/>
      <c r="CP397" s="74"/>
      <c r="CQ397" s="74"/>
      <c r="CR397" s="74"/>
      <c r="CS397" s="74"/>
      <c r="CT397" s="74"/>
      <c r="CU397" s="74"/>
      <c r="CV397" s="74"/>
      <c r="CW397" s="7"/>
      <c r="CX397" s="7"/>
      <c r="CY397" s="7"/>
      <c r="CZ397" s="74"/>
      <c r="DA397" s="74"/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8">
        <f t="shared" si="89"/>
        <v>45.307880608312644</v>
      </c>
      <c r="EA397" s="3" t="str">
        <f t="shared" si="90"/>
        <v>Steinle, Dick</v>
      </c>
      <c r="EB397" s="2">
        <f t="shared" si="91"/>
        <v>1</v>
      </c>
      <c r="EC397" s="112">
        <f t="shared" si="87"/>
        <v>0</v>
      </c>
      <c r="ED397" s="29">
        <f t="shared" si="92"/>
        <v>44.57682074804471</v>
      </c>
      <c r="EE397" s="2">
        <f t="shared" si="93"/>
        <v>0</v>
      </c>
      <c r="EF397" s="46">
        <f t="shared" si="94"/>
        <v>0</v>
      </c>
      <c r="EG397" s="46">
        <f t="shared" si="95"/>
        <v>1</v>
      </c>
      <c r="EH397" s="29" t="str">
        <f t="shared" si="96"/>
        <v>WI</v>
      </c>
      <c r="EI397" s="29">
        <f>IF(COUNT(I397:AD397)&lt;5,DZ397,SUMPRODUCT(LARGE(I397:AD397,{1,2,3,4,5}))/5)</f>
        <v>45.307880608312644</v>
      </c>
      <c r="EJ397" s="29">
        <f>IF(COUNT(I397:BE397)&lt;5,DZ397,SUMPRODUCT(LARGE(I397:BE397,{1,2,3,4,5}))/5)</f>
        <v>45.307880608312644</v>
      </c>
      <c r="EK397" s="112">
        <f>IF(COUNT(I397:DY397)&lt;5,AVERAGE(I397:DY397),SUMPRODUCT(LARGE(I397:DY397,{1,2,3,4,5}))/5)</f>
        <v>45.307880608312644</v>
      </c>
      <c r="EL397" s="29">
        <f t="shared" si="97"/>
        <v>44.57682074804471</v>
      </c>
      <c r="EM397" s="116" t="str">
        <f t="shared" si="98"/>
        <v>Steinle, Dick</v>
      </c>
      <c r="EQ397"/>
    </row>
    <row r="398" spans="1:147" x14ac:dyDescent="0.25">
      <c r="A398" s="59">
        <f t="shared" si="99"/>
        <v>395</v>
      </c>
      <c r="B398" s="32" t="s">
        <v>411</v>
      </c>
      <c r="C398" s="5" t="s">
        <v>6</v>
      </c>
      <c r="D398" s="6" t="s">
        <v>143</v>
      </c>
      <c r="E398" s="6">
        <v>52.571291503624565</v>
      </c>
      <c r="F398" s="6">
        <v>56.418739356973049</v>
      </c>
      <c r="G398" s="5">
        <f t="shared" si="88"/>
        <v>2</v>
      </c>
      <c r="H398" s="37">
        <v>52.571291503624565</v>
      </c>
      <c r="I398" s="36"/>
      <c r="J398" s="7"/>
      <c r="K398" s="7"/>
      <c r="L398" s="7"/>
      <c r="M398" s="7"/>
      <c r="N398" s="7"/>
      <c r="O398" s="74"/>
      <c r="P398" s="74"/>
      <c r="Q398" s="7"/>
      <c r="R398" s="74"/>
      <c r="S398" s="74"/>
      <c r="T398" s="7"/>
      <c r="U398" s="7"/>
      <c r="V398" s="7"/>
      <c r="W398" s="7"/>
      <c r="X398" s="74"/>
      <c r="Y398" s="227"/>
      <c r="Z398" s="228"/>
      <c r="AA398" s="74"/>
      <c r="AB398" s="74"/>
      <c r="AC398" s="74"/>
      <c r="AD398" s="7"/>
      <c r="AE398" s="74"/>
      <c r="AF398" s="74"/>
      <c r="AG398" s="7"/>
      <c r="AH398" s="74"/>
      <c r="AI398" s="74"/>
      <c r="AJ398" s="74"/>
      <c r="AK398" s="74"/>
      <c r="AL398" s="74"/>
      <c r="AM398" s="74"/>
      <c r="AN398" s="74"/>
      <c r="AO398" s="74"/>
      <c r="AP398" s="74"/>
      <c r="AQ398" s="74"/>
      <c r="AR398" s="101"/>
      <c r="AS398" s="7"/>
      <c r="AT398" s="74"/>
      <c r="AU398" s="7"/>
      <c r="AV398" s="74"/>
      <c r="AW398" s="7">
        <f>(INDEX('Race 41'!$E$8:$E$200,(MATCH($B398,'Race 41'!$B$8:$B$200,0)),1))*100</f>
        <v>55.009053910651929</v>
      </c>
      <c r="AX398" s="8">
        <f>(INDEX('Race 42'!$E$8:$E$200,(MATCH($B398,'Race 42'!$B$8:$B$200,0)),1))*100</f>
        <v>57.828424803294162</v>
      </c>
      <c r="AY398" s="36"/>
      <c r="AZ398" s="74"/>
      <c r="BA398" s="74"/>
      <c r="BB398" s="74"/>
      <c r="BC398" s="74"/>
      <c r="BD398" s="7"/>
      <c r="BE398" s="7"/>
      <c r="BF398" s="74"/>
      <c r="BG398" s="74"/>
      <c r="BH398" s="74"/>
      <c r="BI398" s="74"/>
      <c r="BJ398" s="74"/>
      <c r="BK398" s="14"/>
      <c r="BL398" s="74"/>
      <c r="BM398" s="7"/>
      <c r="BN398" s="74"/>
      <c r="BO398" s="74"/>
      <c r="BP398" s="7"/>
      <c r="BQ398" s="7"/>
      <c r="BR398" s="74"/>
      <c r="BS398" s="7"/>
      <c r="BT398" s="7"/>
      <c r="BU398" s="74"/>
      <c r="BV398" s="74"/>
      <c r="BW398" s="74"/>
      <c r="BX398" s="74"/>
      <c r="BY398" s="74"/>
      <c r="BZ398" s="74"/>
      <c r="CA398" s="7"/>
      <c r="CB398" s="74"/>
      <c r="CC398" s="74"/>
      <c r="CD398" s="74"/>
      <c r="CE398" s="74"/>
      <c r="CF398" s="74"/>
      <c r="CG398" s="74"/>
      <c r="CH398" s="74"/>
      <c r="CI398" s="74"/>
      <c r="CJ398" s="74"/>
      <c r="CK398" s="101"/>
      <c r="CL398" s="74"/>
      <c r="CM398" s="74"/>
      <c r="CN398" s="74"/>
      <c r="CO398" s="101"/>
      <c r="CP398" s="74"/>
      <c r="CQ398" s="74"/>
      <c r="CR398" s="74"/>
      <c r="CS398" s="74"/>
      <c r="CT398" s="74"/>
      <c r="CU398" s="74"/>
      <c r="CV398" s="74"/>
      <c r="CW398" s="7"/>
      <c r="CX398" s="7"/>
      <c r="CY398" s="7"/>
      <c r="CZ398" s="74"/>
      <c r="DA398" s="74"/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  <c r="DP398" s="74"/>
      <c r="DQ398" s="74"/>
      <c r="DR398" s="7"/>
      <c r="DS398" s="7"/>
      <c r="DT398" s="74"/>
      <c r="DU398" s="74"/>
      <c r="DV398" s="74"/>
      <c r="DW398" s="74"/>
      <c r="DX398" s="74"/>
      <c r="DY398" s="74"/>
      <c r="DZ398" s="8">
        <f t="shared" si="89"/>
        <v>56.418739356973049</v>
      </c>
      <c r="EA398" s="3" t="str">
        <f t="shared" si="90"/>
        <v>Stern, Matthew</v>
      </c>
      <c r="EB398" s="2">
        <f t="shared" si="91"/>
        <v>1</v>
      </c>
      <c r="EC398" s="112">
        <f t="shared" si="87"/>
        <v>52.571291503624565</v>
      </c>
      <c r="ED398" s="29">
        <f t="shared" si="92"/>
        <v>55.508401571205283</v>
      </c>
      <c r="EE398" s="2">
        <f t="shared" si="93"/>
        <v>0</v>
      </c>
      <c r="EF398" s="46">
        <f t="shared" si="94"/>
        <v>2</v>
      </c>
      <c r="EG398" s="46">
        <f t="shared" si="95"/>
        <v>2</v>
      </c>
      <c r="EH398" s="2" t="str">
        <f t="shared" si="96"/>
        <v>PA</v>
      </c>
      <c r="EI398" s="29">
        <f>IF(COUNT(I398:Y398)&lt;5,DZ398,SUMPRODUCT(LARGE(I398:Y398,{1,2,3,4,5}))/5)</f>
        <v>56.418739356973049</v>
      </c>
      <c r="EJ398" s="29">
        <f>IF(COUNT(I398:AX398)&lt;5,DZ398,SUMPRODUCT(LARGE(I398:AX398,{1,2,3,4,5}))/5)</f>
        <v>56.418739356973049</v>
      </c>
      <c r="EK398" s="29">
        <f>IF(COUNT(I398:DY398)&lt;5,AVERAGE(I398:DY398),SUMPRODUCT(LARGE(I398:DY398,{1,2,3,4,5}))/5)</f>
        <v>56.418739356973049</v>
      </c>
      <c r="EL398" s="29">
        <f t="shared" si="97"/>
        <v>55.508401571205283</v>
      </c>
      <c r="EM398" s="116" t="str">
        <f t="shared" si="98"/>
        <v>Stern, Matthew</v>
      </c>
      <c r="EQ398"/>
    </row>
    <row r="399" spans="1:147" x14ac:dyDescent="0.25">
      <c r="A399" s="59">
        <f t="shared" si="99"/>
        <v>396</v>
      </c>
      <c r="B399" s="186" t="s">
        <v>1030</v>
      </c>
      <c r="C399" s="106" t="s">
        <v>16</v>
      </c>
      <c r="D399" s="187" t="s">
        <v>58</v>
      </c>
      <c r="E399" s="6">
        <v>72.059582235115087</v>
      </c>
      <c r="F399" s="6">
        <v>72.059582235115087</v>
      </c>
      <c r="G399" s="5">
        <f t="shared" si="88"/>
        <v>3</v>
      </c>
      <c r="H399" s="37">
        <v>0</v>
      </c>
      <c r="I399" s="107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">
        <f>(INDEX('Race 15'!$E$8:$E$200,(MATCH($B399,'Race 15'!$B$8:$B$200,0)),1))*100</f>
        <v>68.989939281913195</v>
      </c>
      <c r="X399" s="7">
        <f>(INDEX('Race 16'!$E$8:$E$200,(MATCH($B399,'Race 16'!$B$8:$B$200,0)),1))*100</f>
        <v>77.475175723564831</v>
      </c>
      <c r="Y399" s="227">
        <f>(INDEX('Race 17'!$E$8:$E$200,(MATCH($B399,'Race 17'!$B$8:$B$200,0)),1))*100</f>
        <v>69.713631699867236</v>
      </c>
      <c r="Z399" s="230"/>
      <c r="AA399" s="74"/>
      <c r="AB399" s="74"/>
      <c r="AC399" s="74"/>
      <c r="AD399" s="74"/>
      <c r="AE399" s="74"/>
      <c r="AF399" s="74"/>
      <c r="AG399" s="74"/>
      <c r="AH399" s="74"/>
      <c r="AI399" s="74"/>
      <c r="AJ399" s="74"/>
      <c r="AK399" s="74"/>
      <c r="AL399" s="74"/>
      <c r="AM399" s="74"/>
      <c r="AN399" s="74"/>
      <c r="AO399" s="74"/>
      <c r="AP399" s="74"/>
      <c r="AQ399" s="74"/>
      <c r="AR399" s="101"/>
      <c r="AS399" s="74"/>
      <c r="AT399" s="74"/>
      <c r="AU399" s="74"/>
      <c r="AV399" s="74"/>
      <c r="AW399" s="74"/>
      <c r="AX399" s="8"/>
      <c r="AY399" s="36"/>
      <c r="AZ399" s="74"/>
      <c r="BA399" s="74"/>
      <c r="BB399" s="74"/>
      <c r="BC399" s="74"/>
      <c r="BD399" s="7"/>
      <c r="BE399" s="7"/>
      <c r="BF399" s="74"/>
      <c r="BG399" s="74"/>
      <c r="BH399" s="74"/>
      <c r="BI399" s="74"/>
      <c r="BJ399" s="74"/>
      <c r="BK399" s="103"/>
      <c r="BL399" s="74"/>
      <c r="BM399" s="74"/>
      <c r="BN399" s="74"/>
      <c r="BO399" s="74"/>
      <c r="BP399" s="7"/>
      <c r="BQ399" s="7"/>
      <c r="BR399" s="74"/>
      <c r="BS399" s="7"/>
      <c r="BT399" s="7"/>
      <c r="BU399" s="74"/>
      <c r="BV399" s="74"/>
      <c r="BW399" s="74"/>
      <c r="BX399" s="74"/>
      <c r="BY399" s="74"/>
      <c r="BZ399" s="74"/>
      <c r="CA399" s="7"/>
      <c r="CB399" s="74"/>
      <c r="CC399" s="74"/>
      <c r="CD399" s="74"/>
      <c r="CE399" s="74"/>
      <c r="CF399" s="74"/>
      <c r="CG399" s="74"/>
      <c r="CH399" s="74"/>
      <c r="CI399" s="74"/>
      <c r="CJ399" s="74"/>
      <c r="CK399" s="101"/>
      <c r="CL399" s="74"/>
      <c r="CM399" s="74"/>
      <c r="CN399" s="74"/>
      <c r="CO399" s="101"/>
      <c r="CP399" s="74"/>
      <c r="CQ399" s="74"/>
      <c r="CR399" s="74"/>
      <c r="CS399" s="74"/>
      <c r="CT399" s="74"/>
      <c r="CU399" s="74"/>
      <c r="CV399" s="74"/>
      <c r="CW399" s="74"/>
      <c r="CX399" s="7"/>
      <c r="CY399" s="7"/>
      <c r="CZ399" s="74"/>
      <c r="DA399" s="74"/>
      <c r="DB399" s="74"/>
      <c r="DC399" s="74"/>
      <c r="DD399" s="74"/>
      <c r="DE399" s="74"/>
      <c r="DF399" s="74"/>
      <c r="DG399" s="74"/>
      <c r="DH399" s="74"/>
      <c r="DI399" s="74"/>
      <c r="DJ399" s="74"/>
      <c r="DK399" s="74"/>
      <c r="DL399" s="74"/>
      <c r="DM399" s="74"/>
      <c r="DN399" s="74"/>
      <c r="DO399" s="74"/>
      <c r="DP399" s="74"/>
      <c r="DQ399" s="74"/>
      <c r="DR399" s="74"/>
      <c r="DS399" s="74"/>
      <c r="DT399" s="74"/>
      <c r="DU399" s="74"/>
      <c r="DV399" s="74"/>
      <c r="DW399" s="74"/>
      <c r="DX399" s="74"/>
      <c r="DY399" s="74"/>
      <c r="DZ399" s="8">
        <f t="shared" si="89"/>
        <v>72.059582235115087</v>
      </c>
      <c r="EA399" s="3" t="str">
        <f t="shared" si="90"/>
        <v>Stertz, Sam</v>
      </c>
      <c r="EB399" s="2">
        <f t="shared" si="91"/>
        <v>1</v>
      </c>
      <c r="EC399" s="112">
        <f t="shared" si="87"/>
        <v>0</v>
      </c>
      <c r="ED399" s="29">
        <f t="shared" si="92"/>
        <v>70.896873509558333</v>
      </c>
      <c r="EE399" s="2">
        <f t="shared" si="93"/>
        <v>3</v>
      </c>
      <c r="EF399" s="46">
        <f t="shared" si="94"/>
        <v>3</v>
      </c>
      <c r="EG399" s="46">
        <f t="shared" si="95"/>
        <v>3</v>
      </c>
      <c r="EH399" s="29" t="str">
        <f t="shared" si="96"/>
        <v>MN</v>
      </c>
      <c r="EI399" s="29">
        <f>IF(COUNT(I399:Y399)&lt;5,DZ399,SUMPRODUCT(LARGE(I399:Y399,{1,2,3,4,5}))/5)</f>
        <v>72.059582235115087</v>
      </c>
      <c r="EJ399" s="29">
        <f>IF(COUNT(I399:AX399)&lt;5,DZ399,SUMPRODUCT(LARGE(I399:AX399,{1,2,3,4,5}))/5)</f>
        <v>72.059582235115087</v>
      </c>
      <c r="EK399" s="29">
        <f>IF(COUNT(I399:DY399)&lt;5,AVERAGE(I399:DY399),SUMPRODUCT(LARGE(I399:DY399,{1,2,3,4,5}))/5)</f>
        <v>72.059582235115087</v>
      </c>
      <c r="EL399" s="29">
        <f t="shared" si="97"/>
        <v>70.896873509558333</v>
      </c>
      <c r="EM399" s="116" t="str">
        <f t="shared" si="98"/>
        <v>Stertz, Sam</v>
      </c>
      <c r="EQ399"/>
    </row>
    <row r="400" spans="1:147" x14ac:dyDescent="0.25">
      <c r="A400" s="59">
        <f t="shared" si="99"/>
        <v>397</v>
      </c>
      <c r="B400" s="32" t="s">
        <v>1185</v>
      </c>
      <c r="C400" s="5" t="s">
        <v>6</v>
      </c>
      <c r="D400" s="6" t="s">
        <v>88</v>
      </c>
      <c r="E400" s="6">
        <v>0</v>
      </c>
      <c r="F400" s="6">
        <v>0</v>
      </c>
      <c r="G400" s="5">
        <f t="shared" si="88"/>
        <v>1</v>
      </c>
      <c r="H400" s="37">
        <v>0</v>
      </c>
      <c r="I400" s="36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227"/>
      <c r="Z400" s="228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4"/>
      <c r="AP400" s="7"/>
      <c r="AQ400" s="74"/>
      <c r="AR400" s="70"/>
      <c r="AS400" s="7"/>
      <c r="AT400" s="70"/>
      <c r="AU400" s="7"/>
      <c r="AV400" s="70"/>
      <c r="AW400" s="7"/>
      <c r="AX400" s="8"/>
      <c r="AY400" s="36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14"/>
      <c r="BL400" s="7"/>
      <c r="BM400" s="7"/>
      <c r="BN400" s="74"/>
      <c r="BO400" s="7">
        <f>(INDEX('Race 59'!$E$8:$E$200,(MATCH($B400,'Race 59'!$B$8:$B$200,0)),1))*100</f>
        <v>43.262385411826095</v>
      </c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101"/>
      <c r="CL400" s="74"/>
      <c r="CM400" s="74"/>
      <c r="CN400" s="74"/>
      <c r="CO400" s="70"/>
      <c r="CP400" s="74"/>
      <c r="CQ400" s="7"/>
      <c r="CR400" s="74"/>
      <c r="CS400" s="74"/>
      <c r="CT400" s="74"/>
      <c r="CU400" s="74"/>
      <c r="CV400" s="7"/>
      <c r="CW400" s="7"/>
      <c r="CX400" s="7"/>
      <c r="CY400" s="7"/>
      <c r="CZ400" s="7"/>
      <c r="DA400" s="7"/>
      <c r="DB400" s="7"/>
      <c r="DC400" s="7"/>
      <c r="DD400" s="7"/>
      <c r="DE400" s="74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8">
        <f t="shared" si="89"/>
        <v>43.262385411826095</v>
      </c>
      <c r="EA400" s="3" t="str">
        <f t="shared" si="90"/>
        <v>Stogin, William</v>
      </c>
      <c r="EB400" s="2">
        <f t="shared" si="91"/>
        <v>1</v>
      </c>
      <c r="EC400" s="112">
        <f t="shared" si="87"/>
        <v>0</v>
      </c>
      <c r="ED400" s="29">
        <f t="shared" si="92"/>
        <v>42.564330393374753</v>
      </c>
      <c r="EE400" s="2">
        <f t="shared" si="93"/>
        <v>0</v>
      </c>
      <c r="EF400" s="46">
        <f t="shared" si="94"/>
        <v>1</v>
      </c>
      <c r="EG400" s="46">
        <f t="shared" si="95"/>
        <v>1</v>
      </c>
      <c r="EH400" s="29" t="str">
        <f t="shared" si="96"/>
        <v>WI</v>
      </c>
      <c r="EI400" s="29">
        <f>IF(COUNT(I400:AD400)&lt;5,DZ400,SUMPRODUCT(LARGE(I400:AD400,{1,2,3,4,5}))/5)</f>
        <v>43.262385411826095</v>
      </c>
      <c r="EJ400" s="29">
        <f>IF(COUNT(I400:AX400)&lt;5,DZ400,SUMPRODUCT(LARGE(I400:AX400,{1,2,3,4,5}))/5)</f>
        <v>43.262385411826095</v>
      </c>
      <c r="EK400" s="29">
        <f>IF(COUNT(I400:DY400)&lt;5,AVERAGE(I400:DY400),SUMPRODUCT(LARGE(I400:DY400,{1,2,3,4,5}))/5)</f>
        <v>43.262385411826095</v>
      </c>
      <c r="EL400" s="29">
        <f t="shared" si="97"/>
        <v>42.564330393374753</v>
      </c>
      <c r="EM400" s="116" t="str">
        <f t="shared" si="98"/>
        <v>Stogin, William</v>
      </c>
      <c r="EQ400"/>
    </row>
    <row r="401" spans="1:147" x14ac:dyDescent="0.25">
      <c r="A401" s="59">
        <f t="shared" si="99"/>
        <v>398</v>
      </c>
      <c r="B401" s="32" t="s">
        <v>132</v>
      </c>
      <c r="C401" s="5" t="s">
        <v>6</v>
      </c>
      <c r="D401" s="6" t="s">
        <v>79</v>
      </c>
      <c r="E401" s="6">
        <v>45.438067890189281</v>
      </c>
      <c r="F401" s="6">
        <v>46.5521889772631</v>
      </c>
      <c r="G401" s="5">
        <f t="shared" si="88"/>
        <v>4</v>
      </c>
      <c r="H401" s="37">
        <v>45.438067890189281</v>
      </c>
      <c r="I401" s="107"/>
      <c r="J401" s="7"/>
      <c r="K401" s="74"/>
      <c r="L401" s="7"/>
      <c r="M401" s="74"/>
      <c r="N401" s="74"/>
      <c r="O401" s="7"/>
      <c r="P401" s="74"/>
      <c r="Q401" s="74"/>
      <c r="R401" s="74"/>
      <c r="S401" s="74"/>
      <c r="T401" s="7"/>
      <c r="U401" s="7"/>
      <c r="V401" s="74"/>
      <c r="W401" s="7"/>
      <c r="X401" s="74"/>
      <c r="Y401" s="227"/>
      <c r="Z401" s="228"/>
      <c r="AA401" s="74"/>
      <c r="AB401" s="74"/>
      <c r="AC401" s="74"/>
      <c r="AD401" s="74"/>
      <c r="AE401" s="7"/>
      <c r="AF401" s="74"/>
      <c r="AG401" s="74"/>
      <c r="AH401" s="7"/>
      <c r="AI401" s="7"/>
      <c r="AJ401" s="7"/>
      <c r="AK401" s="7"/>
      <c r="AL401" s="7"/>
      <c r="AM401" s="7"/>
      <c r="AN401" s="7"/>
      <c r="AO401" s="74"/>
      <c r="AP401" s="7"/>
      <c r="AQ401" s="74"/>
      <c r="AR401" s="101"/>
      <c r="AS401" s="7"/>
      <c r="AT401" s="101"/>
      <c r="AU401" s="7"/>
      <c r="AV401" s="101"/>
      <c r="AW401" s="7">
        <f>(INDEX('Race 41'!$E$8:$E$200,(MATCH($B401,'Race 41'!$B$8:$B$200,0)),1))*100</f>
        <v>46.080882857090621</v>
      </c>
      <c r="AX401" s="8">
        <f>(INDEX('Race 42'!$E$8:$E$200,(MATCH($B401,'Race 42'!$B$8:$B$200,0)),1))*100</f>
        <v>47.023495097435571</v>
      </c>
      <c r="AY401" s="36"/>
      <c r="AZ401" s="74"/>
      <c r="BA401" s="74"/>
      <c r="BB401" s="74"/>
      <c r="BC401" s="74"/>
      <c r="BD401" s="7"/>
      <c r="BE401" s="7"/>
      <c r="BF401" s="74"/>
      <c r="BG401" s="74"/>
      <c r="BH401" s="74"/>
      <c r="BI401" s="74"/>
      <c r="BJ401" s="74"/>
      <c r="BK401" s="14"/>
      <c r="BL401" s="74"/>
      <c r="BM401" s="7"/>
      <c r="BN401" s="74"/>
      <c r="BO401" s="74"/>
      <c r="BP401" s="7"/>
      <c r="BQ401" s="7"/>
      <c r="BR401" s="74"/>
      <c r="BS401" s="7"/>
      <c r="BT401" s="7"/>
      <c r="BU401" s="74"/>
      <c r="BV401" s="74"/>
      <c r="BW401" s="74"/>
      <c r="BX401" s="74"/>
      <c r="BY401" s="74"/>
      <c r="BZ401" s="74"/>
      <c r="CA401" s="7"/>
      <c r="CB401" s="74"/>
      <c r="CC401" s="74"/>
      <c r="CD401" s="74"/>
      <c r="CE401" s="7">
        <f>(INDEX('Race 75'!$E$8:$E$200,(MATCH($B401,'Race 75'!$B$8:$B$200,0)),1))*100</f>
        <v>50.513532901541623</v>
      </c>
      <c r="CF401" s="74">
        <f>(INDEX('Race 76'!$E$8:$E$200,(MATCH($B401,'Race 76'!$B$8:$B$200,0)),1))*100</f>
        <v>48.758144312507149</v>
      </c>
      <c r="CG401" s="7"/>
      <c r="CH401" s="7"/>
      <c r="CI401" s="74"/>
      <c r="CJ401" s="74"/>
      <c r="CK401" s="101"/>
      <c r="CL401" s="74"/>
      <c r="CM401" s="74"/>
      <c r="CN401" s="74"/>
      <c r="CO401" s="101"/>
      <c r="CP401" s="74"/>
      <c r="CQ401" s="74"/>
      <c r="CR401" s="74"/>
      <c r="CS401" s="74"/>
      <c r="CT401" s="74"/>
      <c r="CU401" s="74"/>
      <c r="CV401" s="74"/>
      <c r="CW401" s="7"/>
      <c r="CX401" s="7"/>
      <c r="CY401" s="7"/>
      <c r="CZ401" s="74"/>
      <c r="DA401" s="74"/>
      <c r="DB401" s="74"/>
      <c r="DC401" s="74"/>
      <c r="DD401" s="74"/>
      <c r="DE401" s="74"/>
      <c r="DF401" s="74"/>
      <c r="DG401" s="74"/>
      <c r="DH401" s="74"/>
      <c r="DI401" s="74"/>
      <c r="DJ401" s="74"/>
      <c r="DK401" s="74"/>
      <c r="DL401" s="74"/>
      <c r="DM401" s="74"/>
      <c r="DN401" s="74"/>
      <c r="DO401" s="74"/>
      <c r="DP401" s="74"/>
      <c r="DQ401" s="74"/>
      <c r="DR401" s="7"/>
      <c r="DS401" s="7"/>
      <c r="DT401" s="74"/>
      <c r="DU401" s="74"/>
      <c r="DV401" s="74"/>
      <c r="DW401" s="74"/>
      <c r="DX401" s="74"/>
      <c r="DY401" s="74"/>
      <c r="DZ401" s="8">
        <f t="shared" si="89"/>
        <v>48.094013792143741</v>
      </c>
      <c r="EA401" s="3" t="str">
        <f t="shared" si="90"/>
        <v>Studenicka, Erick</v>
      </c>
      <c r="EB401" s="2">
        <f t="shared" si="91"/>
        <v>1</v>
      </c>
      <c r="EC401" s="112">
        <f t="shared" si="87"/>
        <v>45.438067890189281</v>
      </c>
      <c r="ED401" s="29">
        <f t="shared" si="92"/>
        <v>47.317998614860038</v>
      </c>
      <c r="EE401" s="2">
        <f t="shared" si="93"/>
        <v>0</v>
      </c>
      <c r="EF401" s="46">
        <f t="shared" si="94"/>
        <v>2</v>
      </c>
      <c r="EG401" s="46">
        <f t="shared" si="95"/>
        <v>4</v>
      </c>
      <c r="EH401" s="29" t="str">
        <f t="shared" si="96"/>
        <v>NV</v>
      </c>
      <c r="EI401" s="29">
        <f>IF(COUNT(I401:Y401)&lt;5,DZ401,SUMPRODUCT(LARGE(I401:Y401,{1,2,3,4,5}))/5)</f>
        <v>48.094013792143741</v>
      </c>
      <c r="EJ401" s="29">
        <f>IF(COUNT(I401:AX401)&lt;5,DZ401,SUMPRODUCT(LARGE(I401:AX401,{1,2,3,4,5}))/5)</f>
        <v>48.094013792143741</v>
      </c>
      <c r="EK401" s="112">
        <f>IF(COUNT(I401:DY401)&lt;5,AVERAGE(I401:DY401),SUMPRODUCT(LARGE(I401:DY401,{1,2,3,4,5}))/5)</f>
        <v>48.094013792143741</v>
      </c>
      <c r="EL401" s="29">
        <f t="shared" si="97"/>
        <v>47.317998614860038</v>
      </c>
      <c r="EM401" s="116" t="str">
        <f t="shared" si="98"/>
        <v>Studenicka, Erick</v>
      </c>
      <c r="EQ401"/>
    </row>
    <row r="402" spans="1:147" x14ac:dyDescent="0.25">
      <c r="A402" s="59">
        <f t="shared" si="99"/>
        <v>399</v>
      </c>
      <c r="B402" s="32" t="s">
        <v>1125</v>
      </c>
      <c r="C402" s="5" t="s">
        <v>6</v>
      </c>
      <c r="D402" s="6" t="s">
        <v>77</v>
      </c>
      <c r="E402" s="6">
        <v>0</v>
      </c>
      <c r="F402" s="6">
        <v>49.137260700923846</v>
      </c>
      <c r="G402" s="5">
        <f t="shared" si="88"/>
        <v>2</v>
      </c>
      <c r="H402" s="37">
        <v>0</v>
      </c>
      <c r="I402" s="36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227"/>
      <c r="Z402" s="228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4"/>
      <c r="AP402" s="7"/>
      <c r="AQ402" s="74"/>
      <c r="AR402" s="70"/>
      <c r="AS402" s="7"/>
      <c r="AT402" s="70"/>
      <c r="AU402" s="7"/>
      <c r="AV402" s="70"/>
      <c r="AW402" s="7">
        <f>(INDEX('Race 41'!$E$8:$E$200,(MATCH($B402,'Race 41'!$B$8:$B$200,0)),1))*100</f>
        <v>42.82943370172412</v>
      </c>
      <c r="AX402" s="183">
        <f>(INDEX('Race 42'!$E$8:$E$200,(MATCH($B402,'Race 42'!$B$8:$B$200,0)),1))*100</f>
        <v>55.445087700123565</v>
      </c>
      <c r="AY402" s="10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14"/>
      <c r="BL402" s="7"/>
      <c r="BM402" s="7"/>
      <c r="BN402" s="74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4"/>
      <c r="CF402" s="74"/>
      <c r="CG402" s="7"/>
      <c r="CH402" s="7"/>
      <c r="CI402" s="7"/>
      <c r="CJ402" s="7"/>
      <c r="CK402" s="101"/>
      <c r="CL402" s="74"/>
      <c r="CM402" s="74"/>
      <c r="CN402" s="74"/>
      <c r="CO402" s="70"/>
      <c r="CP402" s="74"/>
      <c r="CQ402" s="7"/>
      <c r="CR402" s="74"/>
      <c r="CS402" s="74"/>
      <c r="CT402" s="74"/>
      <c r="CU402" s="74"/>
      <c r="CV402" s="7"/>
      <c r="CW402" s="7"/>
      <c r="CX402" s="7"/>
      <c r="CY402" s="7"/>
      <c r="CZ402" s="7"/>
      <c r="DA402" s="7"/>
      <c r="DB402" s="7"/>
      <c r="DC402" s="7"/>
      <c r="DD402" s="7"/>
      <c r="DE402" s="74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8">
        <f t="shared" si="89"/>
        <v>49.137260700923846</v>
      </c>
      <c r="EA402" s="3" t="str">
        <f t="shared" si="90"/>
        <v>Studer, Harvey</v>
      </c>
      <c r="EB402" s="2">
        <f t="shared" si="91"/>
        <v>1</v>
      </c>
      <c r="EC402" s="29">
        <v>0</v>
      </c>
      <c r="ED402" s="29">
        <f t="shared" si="92"/>
        <v>48.344412338571274</v>
      </c>
      <c r="EE402" s="2">
        <f t="shared" si="93"/>
        <v>0</v>
      </c>
      <c r="EF402" s="46">
        <f t="shared" si="94"/>
        <v>2</v>
      </c>
      <c r="EG402" s="46">
        <f t="shared" si="95"/>
        <v>2</v>
      </c>
      <c r="EH402" s="29" t="str">
        <f t="shared" si="96"/>
        <v>OH</v>
      </c>
      <c r="EI402" s="29">
        <f>IF(COUNT(I402:AD402)&lt;5,DZ402,SUMPRODUCT(LARGE(I402:AD402,{1,2,3,4,5}))/5)</f>
        <v>49.137260700923846</v>
      </c>
      <c r="EJ402" s="29">
        <f>IF(COUNT(I402:AX402)&lt;5,DZ402,SUMPRODUCT(LARGE(I402:AX402,{1,2,3,4,5}))/5)</f>
        <v>49.137260700923846</v>
      </c>
      <c r="EK402" s="112">
        <f>IF(COUNT(I402:DY402)&lt;5,AVERAGE(I402:DY402),SUMPRODUCT(LARGE(I402:DY402,{1,2,3,4,5}))/5)</f>
        <v>49.137260700923846</v>
      </c>
      <c r="EL402" s="29">
        <f t="shared" si="97"/>
        <v>48.344412338571274</v>
      </c>
      <c r="EM402" s="116" t="str">
        <f t="shared" si="98"/>
        <v>Studer, Harvey</v>
      </c>
      <c r="EQ402"/>
    </row>
    <row r="403" spans="1:147" x14ac:dyDescent="0.25">
      <c r="A403" s="59">
        <f t="shared" si="99"/>
        <v>400</v>
      </c>
      <c r="B403" s="32" t="s">
        <v>308</v>
      </c>
      <c r="C403" s="5" t="s">
        <v>6</v>
      </c>
      <c r="D403" s="6" t="s">
        <v>77</v>
      </c>
      <c r="E403" s="6">
        <v>52.425251951062656</v>
      </c>
      <c r="F403" s="6">
        <v>52.425251951062656</v>
      </c>
      <c r="G403" s="5">
        <f t="shared" si="88"/>
        <v>0</v>
      </c>
      <c r="H403" s="37">
        <v>52.425251951062656</v>
      </c>
      <c r="I403" s="10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227"/>
      <c r="Z403" s="228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4"/>
      <c r="AP403" s="7"/>
      <c r="AQ403" s="74"/>
      <c r="AR403" s="70"/>
      <c r="AS403" s="7"/>
      <c r="AT403" s="70"/>
      <c r="AU403" s="7"/>
      <c r="AV403" s="70"/>
      <c r="AW403" s="7"/>
      <c r="AX403" s="183"/>
      <c r="AY403" s="10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14"/>
      <c r="BL403" s="7"/>
      <c r="BM403" s="7"/>
      <c r="BN403" s="74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101"/>
      <c r="CL403" s="74"/>
      <c r="CM403" s="74"/>
      <c r="CN403" s="74"/>
      <c r="CO403" s="70"/>
      <c r="CP403" s="74"/>
      <c r="CQ403" s="7"/>
      <c r="CR403" s="74"/>
      <c r="CS403" s="74"/>
      <c r="CT403" s="74"/>
      <c r="CU403" s="74"/>
      <c r="CV403" s="74"/>
      <c r="CW403" s="7"/>
      <c r="CX403" s="7"/>
      <c r="CY403" s="7"/>
      <c r="CZ403" s="7"/>
      <c r="DA403" s="7"/>
      <c r="DB403" s="7"/>
      <c r="DC403" s="7"/>
      <c r="DD403" s="7"/>
      <c r="DE403" s="74"/>
      <c r="DF403" s="74"/>
      <c r="DG403" s="74"/>
      <c r="DH403" s="74"/>
      <c r="DI403" s="74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8">
        <f t="shared" si="89"/>
        <v>52.425251951062656</v>
      </c>
      <c r="EA403" s="3" t="str">
        <f t="shared" si="90"/>
        <v>Sundbury, Mark</v>
      </c>
      <c r="EB403" s="2">
        <f t="shared" si="91"/>
        <v>0</v>
      </c>
      <c r="EC403" s="112">
        <f>H403</f>
        <v>52.425251951062656</v>
      </c>
      <c r="ED403" s="29">
        <f t="shared" si="92"/>
        <v>0</v>
      </c>
      <c r="EE403" s="2">
        <f t="shared" si="93"/>
        <v>0</v>
      </c>
      <c r="EF403" s="46">
        <f t="shared" si="94"/>
        <v>0</v>
      </c>
      <c r="EG403" s="46">
        <f t="shared" si="95"/>
        <v>0</v>
      </c>
      <c r="EH403" s="2" t="str">
        <f t="shared" si="96"/>
        <v>OH</v>
      </c>
      <c r="EI403" s="29">
        <f>IF(COUNT(I403:Y403)&lt;5,DZ403,SUMPRODUCT(LARGE(I403:Y403,{1,2,3,4,5}))/5)</f>
        <v>52.425251951062656</v>
      </c>
      <c r="EJ403" s="29">
        <f>IF(COUNT(I403:AX403)&lt;5,DZ403,SUMPRODUCT(LARGE(I403:AX403,{1,2,3,4,5}))/5)</f>
        <v>52.425251951062656</v>
      </c>
      <c r="EK403" s="112">
        <f>IF(EG403&lt;0,AVERAGE(I403:DY403),0)</f>
        <v>0</v>
      </c>
      <c r="EL403" s="29">
        <f t="shared" si="97"/>
        <v>0</v>
      </c>
      <c r="EM403" s="116" t="str">
        <f t="shared" si="98"/>
        <v>Sundbury, Mark</v>
      </c>
      <c r="EQ403"/>
    </row>
    <row r="404" spans="1:147" x14ac:dyDescent="0.25">
      <c r="A404" s="59">
        <f t="shared" si="99"/>
        <v>401</v>
      </c>
      <c r="B404" s="32" t="s">
        <v>1339</v>
      </c>
      <c r="C404" s="5" t="s">
        <v>6</v>
      </c>
      <c r="D404" s="5" t="s">
        <v>87</v>
      </c>
      <c r="E404" s="6">
        <v>0</v>
      </c>
      <c r="F404" s="6">
        <v>0</v>
      </c>
      <c r="G404" s="5">
        <f t="shared" si="88"/>
        <v>1</v>
      </c>
      <c r="H404" s="37">
        <v>0</v>
      </c>
      <c r="I404" s="10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227"/>
      <c r="Z404" s="228"/>
      <c r="AA404" s="7"/>
      <c r="AB404" s="7"/>
      <c r="AC404" s="7"/>
      <c r="AD404" s="74"/>
      <c r="AE404" s="74"/>
      <c r="AF404" s="7"/>
      <c r="AG404" s="7"/>
      <c r="AH404" s="7"/>
      <c r="AI404" s="7"/>
      <c r="AJ404" s="7"/>
      <c r="AK404" s="7"/>
      <c r="AL404" s="7"/>
      <c r="AM404" s="7"/>
      <c r="AN404" s="7"/>
      <c r="AO404" s="74"/>
      <c r="AP404" s="7"/>
      <c r="AQ404" s="74"/>
      <c r="AR404" s="70"/>
      <c r="AS404" s="7"/>
      <c r="AT404" s="70"/>
      <c r="AU404" s="7"/>
      <c r="AV404" s="70"/>
      <c r="AW404" s="7"/>
      <c r="AX404" s="8"/>
      <c r="AY404" s="36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14"/>
      <c r="BL404" s="7"/>
      <c r="BM404" s="7"/>
      <c r="BN404" s="74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4"/>
      <c r="CG404" s="7"/>
      <c r="CH404" s="7"/>
      <c r="CI404" s="7"/>
      <c r="CJ404" s="7"/>
      <c r="CK404" s="101"/>
      <c r="CL404" s="74"/>
      <c r="CM404" s="74"/>
      <c r="CN404" s="74"/>
      <c r="CO404" s="70"/>
      <c r="CP404" s="74"/>
      <c r="CQ404" s="7"/>
      <c r="CR404" s="74"/>
      <c r="CS404" s="74"/>
      <c r="CT404" s="74">
        <f>(INDEX('Race 90'!$E$8:$E$200,(MATCH($B404,'Race 90'!$B$8:$B$200,0)),1))*100</f>
        <v>38.58351480225631</v>
      </c>
      <c r="CU404" s="74"/>
      <c r="CV404" s="7"/>
      <c r="CW404" s="7"/>
      <c r="CX404" s="7"/>
      <c r="CY404" s="7"/>
      <c r="CZ404" s="7"/>
      <c r="DA404" s="7"/>
      <c r="DB404" s="7"/>
      <c r="DC404" s="7"/>
      <c r="DD404" s="7"/>
      <c r="DE404" s="74"/>
      <c r="DF404" s="74"/>
      <c r="DG404" s="74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8">
        <f t="shared" si="89"/>
        <v>38.58351480225631</v>
      </c>
      <c r="EA404" s="3" t="str">
        <f t="shared" si="90"/>
        <v>Swan, Michael</v>
      </c>
      <c r="EB404" s="2">
        <f t="shared" si="91"/>
        <v>1</v>
      </c>
      <c r="EC404" s="112">
        <f>H404</f>
        <v>0</v>
      </c>
      <c r="ED404" s="29">
        <f t="shared" si="92"/>
        <v>37.960955137993217</v>
      </c>
      <c r="EE404" s="2">
        <f t="shared" si="93"/>
        <v>0</v>
      </c>
      <c r="EF404" s="46">
        <f t="shared" si="94"/>
        <v>0</v>
      </c>
      <c r="EG404" s="46">
        <f t="shared" si="95"/>
        <v>1</v>
      </c>
      <c r="EH404" s="2" t="str">
        <f t="shared" si="96"/>
        <v>CA</v>
      </c>
      <c r="EI404" s="29">
        <f>IF(COUNT(I404:AD404)&lt;5,DZ404,SUMPRODUCT(LARGE(I404:AD404,{1,2,3,4,5}))/5)</f>
        <v>38.58351480225631</v>
      </c>
      <c r="EJ404" s="29">
        <f>IF(COUNT(I404:BE404)&lt;5,DZ404,SUMPRODUCT(LARGE(I404:BE404,{1,2,3,4,5}))/5)</f>
        <v>38.58351480225631</v>
      </c>
      <c r="EK404" s="112">
        <f>IF(COUNT(I404:DY404)&lt;5,AVERAGE(I404:DY404),SUMPRODUCT(LARGE(I404:DY404,{1,2,3,4,5}))/5)</f>
        <v>38.58351480225631</v>
      </c>
      <c r="EL404" s="29">
        <f t="shared" si="97"/>
        <v>37.960955137993217</v>
      </c>
      <c r="EM404" s="116" t="str">
        <f t="shared" si="98"/>
        <v>Swan, Michael</v>
      </c>
      <c r="EQ404"/>
    </row>
    <row r="405" spans="1:147" x14ac:dyDescent="0.25">
      <c r="A405" s="59">
        <f t="shared" si="99"/>
        <v>402</v>
      </c>
      <c r="B405" s="32" t="s">
        <v>1196</v>
      </c>
      <c r="C405" s="5" t="s">
        <v>6</v>
      </c>
      <c r="D405" s="6" t="s">
        <v>62</v>
      </c>
      <c r="E405" s="6">
        <v>0</v>
      </c>
      <c r="F405" s="6">
        <v>0</v>
      </c>
      <c r="G405" s="5">
        <f t="shared" si="88"/>
        <v>2</v>
      </c>
      <c r="H405" s="37">
        <v>0</v>
      </c>
      <c r="I405" s="36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227"/>
      <c r="Z405" s="228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4"/>
      <c r="AP405" s="7"/>
      <c r="AQ405" s="74"/>
      <c r="AR405" s="70"/>
      <c r="AS405" s="7"/>
      <c r="AT405" s="70"/>
      <c r="AU405" s="7"/>
      <c r="AV405" s="70"/>
      <c r="AW405" s="7"/>
      <c r="AX405" s="183"/>
      <c r="AY405" s="10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14"/>
      <c r="BL405" s="7"/>
      <c r="BM405" s="7"/>
      <c r="BN405" s="74"/>
      <c r="BO405" s="7"/>
      <c r="BP405" s="7"/>
      <c r="BQ405" s="7"/>
      <c r="BR405" s="7"/>
      <c r="BS405" s="7">
        <f>(INDEX('Race 63'!$E$8:$E$200,(MATCH($B405,'Race 63'!$B$8:$B$200,0)),1))*100</f>
        <v>54.398237397597526</v>
      </c>
      <c r="BT405" s="7">
        <f>(INDEX('Race 64'!$E$8:$E$200,(MATCH($B405,'Race 64'!$B$8:$B$200,0)),1))*100</f>
        <v>53.713209109940053</v>
      </c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4"/>
      <c r="CG405" s="7"/>
      <c r="CH405" s="7"/>
      <c r="CI405" s="7"/>
      <c r="CJ405" s="7"/>
      <c r="CK405" s="101"/>
      <c r="CL405" s="74"/>
      <c r="CM405" s="74"/>
      <c r="CN405" s="74"/>
      <c r="CO405" s="70"/>
      <c r="CP405" s="74"/>
      <c r="CQ405" s="7"/>
      <c r="CR405" s="74"/>
      <c r="CS405" s="74"/>
      <c r="CT405" s="74"/>
      <c r="CU405" s="74"/>
      <c r="CV405" s="7"/>
      <c r="CW405" s="7"/>
      <c r="CX405" s="7"/>
      <c r="CY405" s="7"/>
      <c r="CZ405" s="7"/>
      <c r="DA405" s="7"/>
      <c r="DB405" s="7"/>
      <c r="DC405" s="7"/>
      <c r="DD405" s="7"/>
      <c r="DE405" s="74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8">
        <f t="shared" si="89"/>
        <v>54.05572325376879</v>
      </c>
      <c r="EA405" s="3" t="str">
        <f t="shared" si="90"/>
        <v>Swartz, Scott</v>
      </c>
      <c r="EB405" s="2">
        <f t="shared" si="91"/>
        <v>1</v>
      </c>
      <c r="EC405" s="112">
        <f>H405</f>
        <v>0</v>
      </c>
      <c r="ED405" s="29">
        <f t="shared" si="92"/>
        <v>53.183513630232973</v>
      </c>
      <c r="EE405" s="2">
        <f t="shared" si="93"/>
        <v>0</v>
      </c>
      <c r="EF405" s="46">
        <f t="shared" si="94"/>
        <v>0</v>
      </c>
      <c r="EG405" s="46">
        <f t="shared" si="95"/>
        <v>2</v>
      </c>
      <c r="EH405" s="29" t="str">
        <f t="shared" si="96"/>
        <v>CO</v>
      </c>
      <c r="EI405" s="29">
        <f>IF(COUNT(I405:AD405)&lt;5,DZ405,SUMPRODUCT(LARGE(I405:AD405,{1,2,3,4,5}))/5)</f>
        <v>54.05572325376879</v>
      </c>
      <c r="EJ405" s="29">
        <f>IF(COUNT(I405:AX405)&lt;5,DZ405,SUMPRODUCT(LARGE(I405:AX405,{1,2,3,4,5}))/5)</f>
        <v>54.05572325376879</v>
      </c>
      <c r="EK405" s="112">
        <f>IF(COUNT(I405:DY405)&lt;5,AVERAGE(I405:DY405),SUMPRODUCT(LARGE(I405:DY405,{1,2,3,4,5}))/5)</f>
        <v>54.05572325376879</v>
      </c>
      <c r="EL405" s="29">
        <f t="shared" si="97"/>
        <v>53.183513630232973</v>
      </c>
      <c r="EM405" s="116" t="str">
        <f t="shared" si="98"/>
        <v>Swartz, Scott</v>
      </c>
      <c r="EQ405"/>
    </row>
    <row r="406" spans="1:147" x14ac:dyDescent="0.25">
      <c r="A406" s="59">
        <f t="shared" si="99"/>
        <v>403</v>
      </c>
      <c r="B406" s="32" t="s">
        <v>892</v>
      </c>
      <c r="C406" s="5" t="s">
        <v>6</v>
      </c>
      <c r="D406" s="6" t="s">
        <v>143</v>
      </c>
      <c r="E406" s="6">
        <v>45.442720739462018</v>
      </c>
      <c r="F406" s="6">
        <v>55.834358374180702</v>
      </c>
      <c r="G406" s="5">
        <f t="shared" si="88"/>
        <v>2</v>
      </c>
      <c r="H406" s="37">
        <v>45.442720739462018</v>
      </c>
      <c r="I406" s="36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227"/>
      <c r="Z406" s="228"/>
      <c r="AA406" s="7"/>
      <c r="AB406" s="7"/>
      <c r="AC406" s="7"/>
      <c r="AD406" s="7"/>
      <c r="AE406" s="7"/>
      <c r="AF406" s="7"/>
      <c r="AG406" s="7"/>
      <c r="AH406" s="7"/>
      <c r="AI406" s="7"/>
      <c r="AJ406" s="74">
        <f>(INDEX('Race 28'!$E$8:$E$200,(MATCH($B406,'Race 28'!$B$8:$B$200,0)),1))*100</f>
        <v>55.834358374180702</v>
      </c>
      <c r="AK406" s="74"/>
      <c r="AL406" s="7"/>
      <c r="AM406" s="7"/>
      <c r="AN406" s="7"/>
      <c r="AO406" s="74"/>
      <c r="AP406" s="7"/>
      <c r="AQ406" s="74"/>
      <c r="AR406" s="70"/>
      <c r="AS406" s="7"/>
      <c r="AT406" s="70"/>
      <c r="AU406" s="7"/>
      <c r="AV406" s="70"/>
      <c r="AW406" s="7"/>
      <c r="AX406" s="183"/>
      <c r="AY406" s="10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14"/>
      <c r="BL406" s="74">
        <f>(INDEX('Race 56'!$E$8:$E$200,(MATCH($B406,'Race 56'!$B$8:$B$200,0)),1))*100</f>
        <v>54.812178493093256</v>
      </c>
      <c r="BM406" s="7"/>
      <c r="BN406" s="74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4"/>
      <c r="CF406" s="74"/>
      <c r="CG406" s="7"/>
      <c r="CH406" s="7"/>
      <c r="CI406" s="7"/>
      <c r="CJ406" s="7"/>
      <c r="CK406" s="101"/>
      <c r="CL406" s="74"/>
      <c r="CM406" s="74"/>
      <c r="CN406" s="74"/>
      <c r="CO406" s="70"/>
      <c r="CP406" s="74"/>
      <c r="CQ406" s="7"/>
      <c r="CR406" s="74"/>
      <c r="CS406" s="74"/>
      <c r="CT406" s="74"/>
      <c r="CU406" s="74"/>
      <c r="CV406" s="7"/>
      <c r="CW406" s="7"/>
      <c r="CX406" s="7"/>
      <c r="CY406" s="7"/>
      <c r="CZ406" s="7"/>
      <c r="DA406" s="7"/>
      <c r="DB406" s="7"/>
      <c r="DC406" s="7"/>
      <c r="DD406" s="7"/>
      <c r="DE406" s="74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8">
        <f t="shared" si="89"/>
        <v>55.323268433636983</v>
      </c>
      <c r="EA406" s="3" t="str">
        <f t="shared" si="90"/>
        <v>Teed, Dan</v>
      </c>
      <c r="EB406" s="2">
        <f t="shared" si="91"/>
        <v>1</v>
      </c>
      <c r="EC406" s="29">
        <v>0</v>
      </c>
      <c r="ED406" s="29">
        <f t="shared" si="92"/>
        <v>54.430606487246152</v>
      </c>
      <c r="EE406" s="2">
        <f t="shared" si="93"/>
        <v>0</v>
      </c>
      <c r="EF406" s="46">
        <f t="shared" si="94"/>
        <v>2</v>
      </c>
      <c r="EG406" s="46">
        <f t="shared" si="95"/>
        <v>2</v>
      </c>
      <c r="EH406" s="29" t="str">
        <f t="shared" si="96"/>
        <v>PA</v>
      </c>
      <c r="EI406" s="29">
        <f>IF(COUNT(I406:Y406)&lt;5,DZ406,SUMPRODUCT(LARGE(I406:Y406,{1,2,3,4,5}))/5)</f>
        <v>55.323268433636983</v>
      </c>
      <c r="EJ406" s="29">
        <f>IF(COUNT(I406:AX406)&lt;5,DZ406,SUMPRODUCT(LARGE(I406:AX406,{1,2,3,4,5}))/5)</f>
        <v>55.323268433636983</v>
      </c>
      <c r="EK406" s="112">
        <f>IF(COUNT(I406:DY406)&lt;5,AVERAGE(I406:DY406),SUMPRODUCT(LARGE(I406:DY406,{1,2,3,4,5}))/5)</f>
        <v>55.323268433636983</v>
      </c>
      <c r="EL406" s="29">
        <f t="shared" si="97"/>
        <v>54.430606487246152</v>
      </c>
      <c r="EM406" s="116" t="str">
        <f t="shared" si="98"/>
        <v>Teed, Dan</v>
      </c>
      <c r="EQ406"/>
    </row>
    <row r="407" spans="1:147" x14ac:dyDescent="0.25">
      <c r="A407" s="59">
        <f t="shared" si="99"/>
        <v>404</v>
      </c>
      <c r="B407" s="32" t="s">
        <v>5</v>
      </c>
      <c r="C407" s="5" t="s">
        <v>6</v>
      </c>
      <c r="D407" s="6" t="s">
        <v>61</v>
      </c>
      <c r="E407" s="6">
        <v>73.952833974019228</v>
      </c>
      <c r="F407" s="6">
        <v>73.952833974019228</v>
      </c>
      <c r="G407" s="5">
        <f t="shared" si="88"/>
        <v>2</v>
      </c>
      <c r="H407" s="99">
        <v>73.952833974019228</v>
      </c>
      <c r="I407" s="107"/>
      <c r="J407" s="7"/>
      <c r="K407" s="74"/>
      <c r="L407" s="7"/>
      <c r="M407" s="7"/>
      <c r="N407" s="7"/>
      <c r="O407" s="7"/>
      <c r="P407" s="74"/>
      <c r="Q407" s="74"/>
      <c r="R407" s="74"/>
      <c r="S407" s="74"/>
      <c r="T407" s="7"/>
      <c r="U407" s="7"/>
      <c r="V407" s="74"/>
      <c r="W407" s="7"/>
      <c r="X407" s="7"/>
      <c r="Y407" s="227"/>
      <c r="Z407" s="228"/>
      <c r="AA407" s="74"/>
      <c r="AB407" s="74"/>
      <c r="AC407" s="74"/>
      <c r="AD407" s="74"/>
      <c r="AE407" s="7"/>
      <c r="AF407" s="74"/>
      <c r="AG407" s="74"/>
      <c r="AH407" s="7"/>
      <c r="AI407" s="7"/>
      <c r="AJ407" s="7"/>
      <c r="AK407" s="7"/>
      <c r="AL407" s="7"/>
      <c r="AM407" s="7"/>
      <c r="AN407" s="7"/>
      <c r="AO407" s="7"/>
      <c r="AP407" s="7"/>
      <c r="AQ407" s="74"/>
      <c r="AR407" s="70"/>
      <c r="AS407" s="7"/>
      <c r="AT407" s="70"/>
      <c r="AU407" s="7"/>
      <c r="AV407" s="70"/>
      <c r="AW407" s="7"/>
      <c r="AX407" s="183"/>
      <c r="AY407" s="107"/>
      <c r="AZ407" s="74"/>
      <c r="BA407" s="74"/>
      <c r="BB407" s="74"/>
      <c r="BC407" s="74"/>
      <c r="BD407" s="7"/>
      <c r="BE407" s="7"/>
      <c r="BF407" s="74"/>
      <c r="BG407" s="74"/>
      <c r="BH407" s="74"/>
      <c r="BI407" s="74"/>
      <c r="BJ407" s="74"/>
      <c r="BK407" s="14"/>
      <c r="BL407" s="74"/>
      <c r="BM407" s="7"/>
      <c r="BN407" s="74"/>
      <c r="BO407" s="74"/>
      <c r="BP407" s="7"/>
      <c r="BQ407" s="7"/>
      <c r="BR407" s="74"/>
      <c r="BS407" s="7"/>
      <c r="BT407" s="7"/>
      <c r="BU407" s="74"/>
      <c r="BV407" s="74"/>
      <c r="BW407" s="74"/>
      <c r="BX407" s="74"/>
      <c r="BY407" s="74"/>
      <c r="BZ407" s="74"/>
      <c r="CA407" s="7"/>
      <c r="CB407" s="74"/>
      <c r="CC407" s="74"/>
      <c r="CD407" s="74"/>
      <c r="CE407" s="7">
        <f>(INDEX('Race 75'!$E$8:$E$200,(MATCH($B407,'Race 75'!$B$8:$B$200,0)),1))*100</f>
        <v>83.390955455246214</v>
      </c>
      <c r="CF407" s="74">
        <f>(INDEX('Race 76'!$E$8:$E$200,(MATCH($B407,'Race 76'!$B$8:$B$200,0)),1))*100</f>
        <v>78.742842612022713</v>
      </c>
      <c r="CG407" s="74"/>
      <c r="CH407" s="7"/>
      <c r="CI407" s="74"/>
      <c r="CJ407" s="74"/>
      <c r="CK407" s="101"/>
      <c r="CL407" s="74"/>
      <c r="CM407" s="74"/>
      <c r="CN407" s="74"/>
      <c r="CO407" s="101"/>
      <c r="CP407" s="74"/>
      <c r="CQ407" s="74"/>
      <c r="CR407" s="74"/>
      <c r="CS407" s="74"/>
      <c r="CT407" s="74"/>
      <c r="CU407" s="74"/>
      <c r="CV407" s="74"/>
      <c r="CW407" s="74"/>
      <c r="CX407" s="7"/>
      <c r="CY407" s="7"/>
      <c r="CZ407" s="74"/>
      <c r="DA407" s="74"/>
      <c r="DB407" s="74"/>
      <c r="DC407" s="74"/>
      <c r="DD407" s="7"/>
      <c r="DE407" s="74"/>
      <c r="DF407" s="74"/>
      <c r="DG407" s="74"/>
      <c r="DH407" s="74"/>
      <c r="DI407" s="74"/>
      <c r="DJ407" s="7"/>
      <c r="DK407" s="74"/>
      <c r="DL407" s="7"/>
      <c r="DM407" s="74"/>
      <c r="DN407" s="74"/>
      <c r="DO407" s="74"/>
      <c r="DP407" s="74"/>
      <c r="DQ407" s="74"/>
      <c r="DR407" s="7"/>
      <c r="DS407" s="7"/>
      <c r="DT407" s="74"/>
      <c r="DU407" s="74"/>
      <c r="DV407" s="74"/>
      <c r="DW407" s="74"/>
      <c r="DX407" s="74"/>
      <c r="DY407" s="74"/>
      <c r="DZ407" s="8">
        <f t="shared" si="89"/>
        <v>81.066899033634456</v>
      </c>
      <c r="EA407" s="3" t="str">
        <f t="shared" si="90"/>
        <v>Teela, Jeremy</v>
      </c>
      <c r="EB407" s="2">
        <f t="shared" si="91"/>
        <v>1</v>
      </c>
      <c r="EC407" s="112">
        <f t="shared" ref="EC407:EC416" si="100">H407</f>
        <v>73.952833974019228</v>
      </c>
      <c r="ED407" s="29">
        <f t="shared" si="92"/>
        <v>79.758853830809187</v>
      </c>
      <c r="EE407" s="2">
        <f t="shared" si="93"/>
        <v>0</v>
      </c>
      <c r="EF407" s="46">
        <f t="shared" si="94"/>
        <v>0</v>
      </c>
      <c r="EG407" s="46">
        <f t="shared" si="95"/>
        <v>2</v>
      </c>
      <c r="EH407" s="2" t="str">
        <f t="shared" si="96"/>
        <v>AK</v>
      </c>
      <c r="EI407" s="29">
        <f>IF(COUNT(I407:Y407)&lt;5,DZ407,SUMPRODUCT(LARGE(I407:Y407,{1,2,3,4,5}))/5)</f>
        <v>81.066899033634456</v>
      </c>
      <c r="EJ407" s="29">
        <f>IF(COUNT(I407:AX407)&lt;5,DZ407,SUMPRODUCT(LARGE(I407:AX407,{1,2,3,4,5}))/5)</f>
        <v>81.066899033634456</v>
      </c>
      <c r="EK407" s="29">
        <f>IF(COUNT(I407:DY407)&lt;5,AVERAGE(I407:DY407),SUMPRODUCT(LARGE(I407:DY407,{1,2,3,4,5}))/5)</f>
        <v>81.066899033634456</v>
      </c>
      <c r="EL407" s="29">
        <f t="shared" si="97"/>
        <v>79.758853830809187</v>
      </c>
      <c r="EM407" s="116" t="str">
        <f t="shared" si="98"/>
        <v>Teela, Jeremy</v>
      </c>
      <c r="EQ407"/>
    </row>
    <row r="408" spans="1:147" x14ac:dyDescent="0.25">
      <c r="A408" s="59">
        <f t="shared" si="99"/>
        <v>405</v>
      </c>
      <c r="B408" s="32" t="s">
        <v>909</v>
      </c>
      <c r="C408" s="5" t="s">
        <v>6</v>
      </c>
      <c r="D408" s="6" t="s">
        <v>96</v>
      </c>
      <c r="E408" s="6">
        <v>62.314957240197394</v>
      </c>
      <c r="F408" s="6">
        <v>62.314957240197394</v>
      </c>
      <c r="G408" s="5">
        <f t="shared" si="88"/>
        <v>0</v>
      </c>
      <c r="H408" s="37">
        <v>62.314957240197394</v>
      </c>
      <c r="I408" s="36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227"/>
      <c r="Z408" s="228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4"/>
      <c r="AP408" s="7"/>
      <c r="AQ408" s="74"/>
      <c r="AR408" s="70"/>
      <c r="AS408" s="7"/>
      <c r="AT408" s="70"/>
      <c r="AU408" s="7"/>
      <c r="AV408" s="70"/>
      <c r="AW408" s="7"/>
      <c r="AX408" s="8"/>
      <c r="AY408" s="36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14"/>
      <c r="BL408" s="7"/>
      <c r="BM408" s="7"/>
      <c r="BN408" s="74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4"/>
      <c r="CF408" s="74"/>
      <c r="CG408" s="7"/>
      <c r="CH408" s="7"/>
      <c r="CI408" s="7"/>
      <c r="CJ408" s="7"/>
      <c r="CK408" s="101"/>
      <c r="CL408" s="74"/>
      <c r="CM408" s="74"/>
      <c r="CN408" s="74"/>
      <c r="CO408" s="70"/>
      <c r="CP408" s="74"/>
      <c r="CQ408" s="7"/>
      <c r="CR408" s="74"/>
      <c r="CS408" s="74"/>
      <c r="CT408" s="74"/>
      <c r="CU408" s="74"/>
      <c r="CV408" s="7"/>
      <c r="CW408" s="7"/>
      <c r="CX408" s="7"/>
      <c r="CY408" s="7"/>
      <c r="CZ408" s="7"/>
      <c r="DA408" s="7"/>
      <c r="DB408" s="7"/>
      <c r="DC408" s="7"/>
      <c r="DD408" s="7"/>
      <c r="DE408" s="74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8">
        <f t="shared" si="89"/>
        <v>62.314957240197394</v>
      </c>
      <c r="EA408" s="3" t="str">
        <f t="shared" si="90"/>
        <v>Theisen, Jordan</v>
      </c>
      <c r="EB408" s="2">
        <f t="shared" si="91"/>
        <v>0</v>
      </c>
      <c r="EC408" s="112">
        <f t="shared" si="100"/>
        <v>62.314957240197394</v>
      </c>
      <c r="ED408" s="29">
        <f t="shared" si="92"/>
        <v>0</v>
      </c>
      <c r="EE408" s="2">
        <f t="shared" si="93"/>
        <v>0</v>
      </c>
      <c r="EF408" s="46">
        <f t="shared" si="94"/>
        <v>0</v>
      </c>
      <c r="EG408" s="46">
        <f t="shared" si="95"/>
        <v>0</v>
      </c>
      <c r="EH408" s="29" t="str">
        <f t="shared" si="96"/>
        <v>SD</v>
      </c>
      <c r="EI408" s="29">
        <f>IF(COUNT(I408:Y408)&lt;5,DZ408,SUMPRODUCT(LARGE(I408:Y408,{1,2,3,4,5}))/5)</f>
        <v>62.314957240197394</v>
      </c>
      <c r="EJ408" s="29">
        <f>IF(COUNT(I408:AX408)&lt;5,DZ408,SUMPRODUCT(LARGE(I408:AX408,{1,2,3,4,5}))/5)</f>
        <v>62.314957240197394</v>
      </c>
      <c r="EK408" s="112">
        <f>IF(EG408&lt;0,AVERAGE(I408:DY408),0)</f>
        <v>0</v>
      </c>
      <c r="EL408" s="29">
        <f t="shared" si="97"/>
        <v>0</v>
      </c>
      <c r="EM408" s="116" t="str">
        <f t="shared" si="98"/>
        <v>Theisen, Jordan</v>
      </c>
      <c r="EQ408"/>
    </row>
    <row r="409" spans="1:147" x14ac:dyDescent="0.25">
      <c r="A409" s="59">
        <f t="shared" si="99"/>
        <v>406</v>
      </c>
      <c r="B409" s="32" t="s">
        <v>1345</v>
      </c>
      <c r="C409" s="5" t="s">
        <v>6</v>
      </c>
      <c r="D409" s="6" t="s">
        <v>87</v>
      </c>
      <c r="E409" s="6">
        <v>48.414196577914218</v>
      </c>
      <c r="F409" s="6">
        <v>48.414196577914218</v>
      </c>
      <c r="G409" s="5">
        <f t="shared" si="88"/>
        <v>4</v>
      </c>
      <c r="H409" s="99">
        <v>48.414196577914218</v>
      </c>
      <c r="I409" s="107"/>
      <c r="J409" s="7"/>
      <c r="K409" s="7"/>
      <c r="L409" s="7"/>
      <c r="M409" s="74"/>
      <c r="N409" s="74"/>
      <c r="O409" s="7"/>
      <c r="P409" s="74"/>
      <c r="Q409" s="7"/>
      <c r="R409" s="7"/>
      <c r="S409" s="7"/>
      <c r="T409" s="7"/>
      <c r="U409" s="7"/>
      <c r="V409" s="74"/>
      <c r="W409" s="7"/>
      <c r="X409" s="74"/>
      <c r="Y409" s="227"/>
      <c r="Z409" s="228"/>
      <c r="AA409" s="74"/>
      <c r="AB409" s="74"/>
      <c r="AC409" s="74"/>
      <c r="AD409" s="74"/>
      <c r="AE409" s="7"/>
      <c r="AF409" s="74"/>
      <c r="AG409" s="74"/>
      <c r="AH409" s="7"/>
      <c r="AI409" s="7"/>
      <c r="AJ409" s="7"/>
      <c r="AK409" s="7"/>
      <c r="AL409" s="7"/>
      <c r="AM409" s="7"/>
      <c r="AN409" s="7"/>
      <c r="AO409" s="74"/>
      <c r="AP409" s="7"/>
      <c r="AQ409" s="74"/>
      <c r="AR409" s="101"/>
      <c r="AS409" s="7"/>
      <c r="AT409" s="70"/>
      <c r="AU409" s="7"/>
      <c r="AV409" s="70"/>
      <c r="AW409" s="7"/>
      <c r="AX409" s="8"/>
      <c r="AY409" s="36"/>
      <c r="AZ409" s="7"/>
      <c r="BA409" s="74"/>
      <c r="BB409" s="74"/>
      <c r="BC409" s="74"/>
      <c r="BD409" s="7"/>
      <c r="BE409" s="7"/>
      <c r="BF409" s="74"/>
      <c r="BG409" s="74"/>
      <c r="BH409" s="74"/>
      <c r="BI409" s="74"/>
      <c r="BJ409" s="74"/>
      <c r="BK409" s="14"/>
      <c r="BL409" s="74"/>
      <c r="BM409" s="7"/>
      <c r="BN409" s="74"/>
      <c r="BO409" s="74"/>
      <c r="BP409" s="7"/>
      <c r="BQ409" s="7"/>
      <c r="BR409" s="74"/>
      <c r="BS409" s="7"/>
      <c r="BT409" s="7"/>
      <c r="BU409" s="74"/>
      <c r="BV409" s="74"/>
      <c r="BW409" s="74"/>
      <c r="BX409" s="74"/>
      <c r="BY409" s="74"/>
      <c r="BZ409" s="74"/>
      <c r="CA409" s="7"/>
      <c r="CB409" s="74"/>
      <c r="CC409" s="74"/>
      <c r="CD409" s="74"/>
      <c r="CE409" s="7"/>
      <c r="CF409" s="74"/>
      <c r="CG409" s="74"/>
      <c r="CH409" s="7"/>
      <c r="CI409" s="74"/>
      <c r="CJ409" s="74"/>
      <c r="CK409" s="101"/>
      <c r="CL409" s="74"/>
      <c r="CM409" s="74"/>
      <c r="CN409" s="74"/>
      <c r="CO409" s="101"/>
      <c r="CP409" s="74"/>
      <c r="CQ409" s="74"/>
      <c r="CR409" s="74">
        <f>(INDEX('Race 88'!$E$8:$E$200,(MATCH($B409,'Race 88'!$B$8:$B$200,0)),1))*100</f>
        <v>49.294880452113212</v>
      </c>
      <c r="CS409" s="74">
        <f>(INDEX('Race 89'!$E$8:$E$200,(MATCH($B409,'Race 89'!$B$8:$B$200,0)),1))*100</f>
        <v>56.821839566895918</v>
      </c>
      <c r="CT409" s="74">
        <f>(INDEX('Race 90'!$E$8:$E$200,(MATCH($B409,'Race 90'!$B$8:$B$200,0)),1))*100</f>
        <v>44.140037259583394</v>
      </c>
      <c r="CU409" s="74">
        <f>(INDEX('Race 91'!$E$8:$E$200,(MATCH($B409,'Race 91'!$B$8:$B$200,0)),1))*100</f>
        <v>44.990768588282677</v>
      </c>
      <c r="CV409" s="74"/>
      <c r="CW409" s="74"/>
      <c r="CX409" s="7"/>
      <c r="CY409" s="7"/>
      <c r="CZ409" s="74"/>
      <c r="DA409" s="74"/>
      <c r="DB409" s="74"/>
      <c r="DC409" s="74"/>
      <c r="DD409" s="74"/>
      <c r="DE409" s="74"/>
      <c r="DF409" s="74"/>
      <c r="DG409" s="74"/>
      <c r="DH409" s="74"/>
      <c r="DI409" s="74"/>
      <c r="DJ409" s="74"/>
      <c r="DK409" s="74"/>
      <c r="DL409" s="74"/>
      <c r="DM409" s="74"/>
      <c r="DN409" s="74"/>
      <c r="DO409" s="74"/>
      <c r="DP409" s="74"/>
      <c r="DQ409" s="74"/>
      <c r="DR409" s="7"/>
      <c r="DS409" s="7"/>
      <c r="DT409" s="74"/>
      <c r="DU409" s="74"/>
      <c r="DV409" s="74"/>
      <c r="DW409" s="74"/>
      <c r="DX409" s="74"/>
      <c r="DY409" s="74"/>
      <c r="DZ409" s="8">
        <f t="shared" si="89"/>
        <v>48.811881466718802</v>
      </c>
      <c r="EA409" s="3" t="str">
        <f t="shared" si="90"/>
        <v>Thiele, Wolfram</v>
      </c>
      <c r="EB409" s="2">
        <f t="shared" si="91"/>
        <v>1</v>
      </c>
      <c r="EC409" s="112">
        <f t="shared" si="100"/>
        <v>48.414196577914218</v>
      </c>
      <c r="ED409" s="29">
        <f t="shared" si="92"/>
        <v>48.024283221879976</v>
      </c>
      <c r="EE409" s="2">
        <f t="shared" si="93"/>
        <v>0</v>
      </c>
      <c r="EF409" s="46">
        <f t="shared" si="94"/>
        <v>0</v>
      </c>
      <c r="EG409" s="46">
        <f t="shared" si="95"/>
        <v>4</v>
      </c>
      <c r="EH409" s="2" t="str">
        <f t="shared" si="96"/>
        <v>CA</v>
      </c>
      <c r="EI409" s="29">
        <f>IF(COUNT(I409:Y409)&lt;5,DZ409,SUMPRODUCT(LARGE(I409:Y409,{1,2,3,4,5}))/5)</f>
        <v>48.811881466718802</v>
      </c>
      <c r="EJ409" s="29">
        <f>IF(COUNT(I409:AX409)&lt;5,DZ409,SUMPRODUCT(LARGE(I409:AX409,{1,2,3,4,5}))/5)</f>
        <v>48.811881466718802</v>
      </c>
      <c r="EK409" s="29">
        <f>IF(COUNT(I409:DY409)&lt;5,AVERAGE(I409:DY409),SUMPRODUCT(LARGE(I409:DY409,{1,2,3,4,5}))/5)</f>
        <v>48.811881466718802</v>
      </c>
      <c r="EL409" s="29">
        <f t="shared" si="97"/>
        <v>48.024283221879976</v>
      </c>
      <c r="EM409" s="116" t="str">
        <f t="shared" si="98"/>
        <v>Thiele, Wolfram</v>
      </c>
      <c r="EQ409"/>
    </row>
    <row r="410" spans="1:147" x14ac:dyDescent="0.25">
      <c r="A410" s="59">
        <f t="shared" si="99"/>
        <v>407</v>
      </c>
      <c r="B410" s="32" t="s">
        <v>856</v>
      </c>
      <c r="C410" s="5" t="s">
        <v>6</v>
      </c>
      <c r="D410" s="6" t="s">
        <v>69</v>
      </c>
      <c r="E410" s="6">
        <v>49.453335550873589</v>
      </c>
      <c r="F410" s="6">
        <v>49.453335550873589</v>
      </c>
      <c r="G410" s="5">
        <f t="shared" si="88"/>
        <v>0</v>
      </c>
      <c r="H410" s="37">
        <v>49.453335550873589</v>
      </c>
      <c r="I410" s="36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227"/>
      <c r="Z410" s="228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4"/>
      <c r="AP410" s="7"/>
      <c r="AQ410" s="74"/>
      <c r="AR410" s="70"/>
      <c r="AS410" s="7"/>
      <c r="AT410" s="70"/>
      <c r="AU410" s="7"/>
      <c r="AV410" s="70"/>
      <c r="AW410" s="7"/>
      <c r="AX410" s="183"/>
      <c r="AY410" s="10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4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101"/>
      <c r="CL410" s="74"/>
      <c r="CM410" s="74"/>
      <c r="CN410" s="74"/>
      <c r="CO410" s="70"/>
      <c r="CP410" s="74"/>
      <c r="CQ410" s="7"/>
      <c r="CR410" s="74"/>
      <c r="CS410" s="74"/>
      <c r="CT410" s="74"/>
      <c r="CU410" s="74"/>
      <c r="CV410" s="7"/>
      <c r="CW410" s="7"/>
      <c r="CX410" s="7"/>
      <c r="CY410" s="7"/>
      <c r="CZ410" s="7"/>
      <c r="DA410" s="7"/>
      <c r="DB410" s="7"/>
      <c r="DC410" s="7"/>
      <c r="DD410" s="7"/>
      <c r="DE410" s="74"/>
      <c r="DF410" s="74"/>
      <c r="DG410" s="74"/>
      <c r="DH410" s="7"/>
      <c r="DI410" s="74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8">
        <f t="shared" si="89"/>
        <v>49.453335550873589</v>
      </c>
      <c r="EA410" s="3" t="str">
        <f t="shared" si="90"/>
        <v>THOMPSON, Brendan</v>
      </c>
      <c r="EB410" s="2">
        <f t="shared" si="91"/>
        <v>0</v>
      </c>
      <c r="EC410" s="112">
        <f t="shared" si="100"/>
        <v>49.453335550873589</v>
      </c>
      <c r="ED410" s="29">
        <f t="shared" si="92"/>
        <v>0</v>
      </c>
      <c r="EE410" s="2">
        <f t="shared" si="93"/>
        <v>0</v>
      </c>
      <c r="EF410" s="46">
        <f t="shared" si="94"/>
        <v>0</v>
      </c>
      <c r="EG410" s="46">
        <f t="shared" si="95"/>
        <v>0</v>
      </c>
      <c r="EH410" s="29" t="str">
        <f t="shared" si="96"/>
        <v>WA</v>
      </c>
      <c r="EI410" s="29">
        <f>IF(COUNT(I410:Y410)&lt;5,DZ410,SUMPRODUCT(LARGE(I410:Y410,{1,2,3,4,5}))/5)</f>
        <v>49.453335550873589</v>
      </c>
      <c r="EJ410" s="29">
        <f>IF(COUNT(I410:AX410)&lt;5,DZ410,SUMPRODUCT(LARGE(I410:AX410,{1,2,3,4,5}))/5)</f>
        <v>49.453335550873589</v>
      </c>
      <c r="EK410" s="112">
        <f>IF(EG410&lt;0,AVERAGE(I410:DY410),0)</f>
        <v>0</v>
      </c>
      <c r="EL410" s="29">
        <f t="shared" si="97"/>
        <v>0</v>
      </c>
      <c r="EM410" s="116" t="str">
        <f t="shared" si="98"/>
        <v>THOMPSON, Brendan</v>
      </c>
      <c r="EQ410"/>
    </row>
    <row r="411" spans="1:147" x14ac:dyDescent="0.25">
      <c r="A411" s="59">
        <f t="shared" si="99"/>
        <v>408</v>
      </c>
      <c r="B411" s="32" t="s">
        <v>1111</v>
      </c>
      <c r="C411" s="5" t="s">
        <v>6</v>
      </c>
      <c r="D411" s="6" t="s">
        <v>63</v>
      </c>
      <c r="E411" s="6">
        <v>45.893597632545209</v>
      </c>
      <c r="F411" s="6">
        <v>54.49956190669171</v>
      </c>
      <c r="G411" s="5">
        <f t="shared" si="88"/>
        <v>2</v>
      </c>
      <c r="H411" s="37">
        <v>45.893597632545209</v>
      </c>
      <c r="I411" s="36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227"/>
      <c r="Z411" s="228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4"/>
      <c r="AP411" s="7"/>
      <c r="AQ411" s="74"/>
      <c r="AR411" s="70"/>
      <c r="AS411" s="7"/>
      <c r="AT411" s="101">
        <f>(INDEX('Race 38'!$E$8:$E$200,(MATCH($B411,'Race 38'!$B$8:$B$200,0)),1))*100</f>
        <v>54.359689131171237</v>
      </c>
      <c r="AU411" s="74">
        <f>(INDEX('Race 39'!$E$8:$E$200,(MATCH($B411,'Race 39'!$B$8:$B$200,0)),1))*100</f>
        <v>54.639434682212183</v>
      </c>
      <c r="AV411" s="101"/>
      <c r="AW411" s="74"/>
      <c r="AX411" s="8"/>
      <c r="AY411" s="36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4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101"/>
      <c r="CL411" s="74"/>
      <c r="CM411" s="74"/>
      <c r="CN411" s="74"/>
      <c r="CO411" s="70"/>
      <c r="CP411" s="74"/>
      <c r="CQ411" s="7"/>
      <c r="CR411" s="74"/>
      <c r="CS411" s="74"/>
      <c r="CT411" s="74"/>
      <c r="CU411" s="74"/>
      <c r="CV411" s="7"/>
      <c r="CW411" s="7"/>
      <c r="CX411" s="7"/>
      <c r="CY411" s="7"/>
      <c r="CZ411" s="7"/>
      <c r="DA411" s="7"/>
      <c r="DB411" s="7"/>
      <c r="DC411" s="7"/>
      <c r="DD411" s="7"/>
      <c r="DE411" s="74"/>
      <c r="DF411" s="74"/>
      <c r="DG411" s="74"/>
      <c r="DH411" s="7"/>
      <c r="DI411" s="74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8">
        <f t="shared" si="89"/>
        <v>54.49956190669171</v>
      </c>
      <c r="EA411" s="3" t="str">
        <f t="shared" si="90"/>
        <v>Thomson, Matt</v>
      </c>
      <c r="EB411" s="2">
        <f t="shared" si="91"/>
        <v>1</v>
      </c>
      <c r="EC411" s="112">
        <f t="shared" si="100"/>
        <v>45.893597632545209</v>
      </c>
      <c r="ED411" s="29">
        <f t="shared" si="92"/>
        <v>53.620190777933594</v>
      </c>
      <c r="EE411" s="2">
        <f t="shared" si="93"/>
        <v>0</v>
      </c>
      <c r="EF411" s="46">
        <f t="shared" si="94"/>
        <v>2</v>
      </c>
      <c r="EG411" s="46">
        <f t="shared" si="95"/>
        <v>2</v>
      </c>
      <c r="EH411" s="29" t="str">
        <f t="shared" si="96"/>
        <v>VT</v>
      </c>
      <c r="EI411" s="29">
        <f>IF(COUNT(I411:Y411)&lt;5,DZ411,SUMPRODUCT(LARGE(I411:Y411,{1,2,3,4,5}))/5)</f>
        <v>54.49956190669171</v>
      </c>
      <c r="EJ411" s="29">
        <f>IF(COUNT(I411:AX411)&lt;5,DZ411,SUMPRODUCT(LARGE(I411:AX411,{1,2,3,4,5}))/5)</f>
        <v>54.49956190669171</v>
      </c>
      <c r="EK411" s="29">
        <f>IF(COUNT(I411:DY411)&lt;5,AVERAGE(I411:DY411),SUMPRODUCT(LARGE(I411:DY411,{1,2,3,4,5}))/5)</f>
        <v>54.49956190669171</v>
      </c>
      <c r="EL411" s="29">
        <f t="shared" si="97"/>
        <v>53.620190777933594</v>
      </c>
      <c r="EM411" s="116" t="str">
        <f t="shared" si="98"/>
        <v>Thomson, Matt</v>
      </c>
      <c r="EQ411"/>
    </row>
    <row r="412" spans="1:147" x14ac:dyDescent="0.25">
      <c r="A412" s="59">
        <f t="shared" si="99"/>
        <v>409</v>
      </c>
      <c r="B412" s="32" t="s">
        <v>900</v>
      </c>
      <c r="C412" s="5" t="s">
        <v>6</v>
      </c>
      <c r="D412" s="6" t="s">
        <v>69</v>
      </c>
      <c r="E412" s="6">
        <v>34.831596322857962</v>
      </c>
      <c r="F412" s="6">
        <v>34.831596322857962</v>
      </c>
      <c r="G412" s="5">
        <f t="shared" si="88"/>
        <v>0</v>
      </c>
      <c r="H412" s="37">
        <v>34.831596322857962</v>
      </c>
      <c r="I412" s="36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227"/>
      <c r="Z412" s="228"/>
      <c r="AA412" s="7"/>
      <c r="AB412" s="7"/>
      <c r="AC412" s="74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4"/>
      <c r="AP412" s="7"/>
      <c r="AQ412" s="74"/>
      <c r="AR412" s="70"/>
      <c r="AS412" s="7"/>
      <c r="AT412" s="70"/>
      <c r="AU412" s="7"/>
      <c r="AV412" s="70"/>
      <c r="AW412" s="7"/>
      <c r="AX412" s="183"/>
      <c r="AY412" s="10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4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4"/>
      <c r="CF412" s="74"/>
      <c r="CG412" s="7"/>
      <c r="CH412" s="7"/>
      <c r="CI412" s="7"/>
      <c r="CJ412" s="7"/>
      <c r="CK412" s="101"/>
      <c r="CL412" s="74"/>
      <c r="CM412" s="74"/>
      <c r="CN412" s="74"/>
      <c r="CO412" s="70"/>
      <c r="CP412" s="74"/>
      <c r="CQ412" s="7"/>
      <c r="CR412" s="74"/>
      <c r="CS412" s="74"/>
      <c r="CT412" s="74"/>
      <c r="CU412" s="74"/>
      <c r="CV412" s="7"/>
      <c r="CW412" s="7"/>
      <c r="CX412" s="7"/>
      <c r="CY412" s="7"/>
      <c r="CZ412" s="7"/>
      <c r="DA412" s="7"/>
      <c r="DB412" s="7"/>
      <c r="DC412" s="7"/>
      <c r="DD412" s="7"/>
      <c r="DE412" s="74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8">
        <f t="shared" si="89"/>
        <v>34.831596322857962</v>
      </c>
      <c r="EA412" s="3" t="str">
        <f t="shared" si="90"/>
        <v>Tiffany, Andre</v>
      </c>
      <c r="EB412" s="2">
        <f t="shared" si="91"/>
        <v>0</v>
      </c>
      <c r="EC412" s="112">
        <f t="shared" si="100"/>
        <v>34.831596322857962</v>
      </c>
      <c r="ED412" s="29">
        <f t="shared" si="92"/>
        <v>0</v>
      </c>
      <c r="EE412" s="2">
        <f t="shared" si="93"/>
        <v>0</v>
      </c>
      <c r="EF412" s="46">
        <f t="shared" si="94"/>
        <v>0</v>
      </c>
      <c r="EG412" s="46">
        <f t="shared" si="95"/>
        <v>0</v>
      </c>
      <c r="EH412" s="2" t="str">
        <f t="shared" si="96"/>
        <v>WA</v>
      </c>
      <c r="EI412" s="29">
        <f>IF(COUNT(I412:Y412)&lt;5,DZ412,SUMPRODUCT(LARGE(I412:Y412,{1,2,3,4,5}))/5)</f>
        <v>34.831596322857962</v>
      </c>
      <c r="EJ412" s="29">
        <f>IF(COUNT(I412:AX412)&lt;5,DZ412,SUMPRODUCT(LARGE(I412:AX412,{1,2,3,4,5}))/5)</f>
        <v>34.831596322857962</v>
      </c>
      <c r="EK412" s="112">
        <f>IF(EG412&lt;0,AVERAGE(I412:DY412),0)</f>
        <v>0</v>
      </c>
      <c r="EL412" s="29">
        <f t="shared" si="97"/>
        <v>0</v>
      </c>
      <c r="EM412" s="116" t="str">
        <f t="shared" si="98"/>
        <v>Tiffany, Andre</v>
      </c>
      <c r="EQ412"/>
    </row>
    <row r="413" spans="1:147" x14ac:dyDescent="0.25">
      <c r="A413" s="59">
        <f t="shared" si="99"/>
        <v>410</v>
      </c>
      <c r="B413" s="32" t="s">
        <v>816</v>
      </c>
      <c r="C413" s="5" t="s">
        <v>6</v>
      </c>
      <c r="D413" s="6" t="s">
        <v>88</v>
      </c>
      <c r="E413" s="6">
        <v>50.037446296979134</v>
      </c>
      <c r="F413" s="6">
        <v>50.696736747366344</v>
      </c>
      <c r="G413" s="5">
        <f t="shared" si="88"/>
        <v>3</v>
      </c>
      <c r="H413" s="37">
        <v>50.037446296979134</v>
      </c>
      <c r="I413" s="36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227"/>
      <c r="Z413" s="228"/>
      <c r="AA413" s="7"/>
      <c r="AB413" s="7"/>
      <c r="AC413" s="74">
        <f>(INDEX('Race 21'!$E$8:$E$200,(MATCH($B413,'Race 21'!$B$8:$B$200,0)),1))*100</f>
        <v>50.696736747366344</v>
      </c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4"/>
      <c r="AR413" s="70"/>
      <c r="AS413" s="7"/>
      <c r="AT413" s="70"/>
      <c r="AU413" s="7"/>
      <c r="AV413" s="70"/>
      <c r="AW413" s="7"/>
      <c r="AX413" s="8"/>
      <c r="AY413" s="36"/>
      <c r="AZ413" s="7"/>
      <c r="BA413" s="7"/>
      <c r="BB413" s="7"/>
      <c r="BC413" s="7"/>
      <c r="BD413" s="7"/>
      <c r="BE413" s="7"/>
      <c r="BF413" s="7"/>
      <c r="BG413" s="7">
        <f>(INDEX('Race 51'!$E$8:$E$200,(MATCH($B413,'Race 51'!$B$8:$B$200,0)),1))*100</f>
        <v>50.086606300734445</v>
      </c>
      <c r="BH413" s="7"/>
      <c r="BI413" s="7"/>
      <c r="BJ413" s="7"/>
      <c r="BK413" s="7"/>
      <c r="BL413" s="7"/>
      <c r="BM413" s="7"/>
      <c r="BN413" s="74"/>
      <c r="BO413" s="7">
        <f>(INDEX('Race 59'!$E$8:$E$200,(MATCH($B413,'Race 59'!$B$8:$B$200,0)),1))*100</f>
        <v>52.796118632274315</v>
      </c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101"/>
      <c r="CL413" s="74"/>
      <c r="CM413" s="74"/>
      <c r="CN413" s="74"/>
      <c r="CO413" s="70"/>
      <c r="CP413" s="74"/>
      <c r="CQ413" s="7"/>
      <c r="CR413" s="74"/>
      <c r="CS413" s="74"/>
      <c r="CT413" s="74"/>
      <c r="CU413" s="74"/>
      <c r="CV413" s="7"/>
      <c r="CW413" s="7"/>
      <c r="CX413" s="7"/>
      <c r="CY413" s="7"/>
      <c r="CZ413" s="7"/>
      <c r="DA413" s="7"/>
      <c r="DB413" s="7"/>
      <c r="DC413" s="7"/>
      <c r="DD413" s="7"/>
      <c r="DE413" s="74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8">
        <f t="shared" si="89"/>
        <v>51.193153893458373</v>
      </c>
      <c r="EA413" s="3" t="str">
        <f t="shared" si="90"/>
        <v>Toft, Patrick</v>
      </c>
      <c r="EB413" s="2">
        <f t="shared" si="91"/>
        <v>1</v>
      </c>
      <c r="EC413" s="112">
        <f t="shared" si="100"/>
        <v>50.037446296979134</v>
      </c>
      <c r="ED413" s="29">
        <f t="shared" si="92"/>
        <v>50.367132913674119</v>
      </c>
      <c r="EE413" s="2">
        <f t="shared" si="93"/>
        <v>1</v>
      </c>
      <c r="EF413" s="46">
        <f t="shared" si="94"/>
        <v>3</v>
      </c>
      <c r="EG413" s="46">
        <f t="shared" si="95"/>
        <v>3</v>
      </c>
      <c r="EH413" s="29" t="str">
        <f t="shared" si="96"/>
        <v>WI</v>
      </c>
      <c r="EI413" s="29">
        <f>IF(COUNT(I413:Y413)&lt;5,DZ413,SUMPRODUCT(LARGE(I413:Y413,{1,2,3,4,5}))/5)</f>
        <v>51.193153893458373</v>
      </c>
      <c r="EJ413" s="29">
        <f>IF(COUNT(I413:AX413)&lt;5,DZ413,SUMPRODUCT(LARGE(I413:AX413,{1,2,3,4,5}))/5)</f>
        <v>51.193153893458373</v>
      </c>
      <c r="EK413" s="29">
        <f>IF(COUNT(I413:DY413)&lt;5,AVERAGE(I413:DY413),SUMPRODUCT(LARGE(I413:DY413,{1,2,3,4,5}))/5)</f>
        <v>51.193153893458373</v>
      </c>
      <c r="EL413" s="29">
        <f t="shared" si="97"/>
        <v>50.367132913674119</v>
      </c>
      <c r="EM413" s="116" t="str">
        <f t="shared" si="98"/>
        <v>Toft, Patrick</v>
      </c>
      <c r="EQ413"/>
    </row>
    <row r="414" spans="1:147" x14ac:dyDescent="0.25">
      <c r="A414" s="59">
        <f t="shared" si="99"/>
        <v>411</v>
      </c>
      <c r="B414" s="32" t="s">
        <v>1184</v>
      </c>
      <c r="C414" s="5" t="s">
        <v>6</v>
      </c>
      <c r="D414" s="6" t="s">
        <v>88</v>
      </c>
      <c r="E414" s="6">
        <v>0</v>
      </c>
      <c r="F414" s="6">
        <v>0</v>
      </c>
      <c r="G414" s="5">
        <f t="shared" si="88"/>
        <v>1</v>
      </c>
      <c r="H414" s="37">
        <v>0</v>
      </c>
      <c r="I414" s="36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227"/>
      <c r="Z414" s="228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4"/>
      <c r="AP414" s="7"/>
      <c r="AQ414" s="74"/>
      <c r="AR414" s="70"/>
      <c r="AS414" s="7"/>
      <c r="AT414" s="70"/>
      <c r="AU414" s="7"/>
      <c r="AV414" s="70"/>
      <c r="AW414" s="7"/>
      <c r="AX414" s="8"/>
      <c r="AY414" s="36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4"/>
      <c r="BO414" s="7">
        <f>(INDEX('Race 59'!$E$8:$E$200,(MATCH($B414,'Race 59'!$B$8:$B$200,0)),1))*100</f>
        <v>62.168682401549923</v>
      </c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101"/>
      <c r="CL414" s="74"/>
      <c r="CM414" s="74"/>
      <c r="CN414" s="74"/>
      <c r="CO414" s="70"/>
      <c r="CP414" s="74"/>
      <c r="CQ414" s="7"/>
      <c r="CR414" s="74"/>
      <c r="CS414" s="74"/>
      <c r="CT414" s="74"/>
      <c r="CU414" s="74"/>
      <c r="CV414" s="7"/>
      <c r="CW414" s="7"/>
      <c r="CX414" s="7"/>
      <c r="CY414" s="7"/>
      <c r="CZ414" s="7"/>
      <c r="DA414" s="7"/>
      <c r="DB414" s="7"/>
      <c r="DC414" s="7"/>
      <c r="DD414" s="7"/>
      <c r="DE414" s="74"/>
      <c r="DF414" s="74"/>
      <c r="DG414" s="74"/>
      <c r="DH414" s="7"/>
      <c r="DI414" s="74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8">
        <f t="shared" si="89"/>
        <v>62.168682401549923</v>
      </c>
      <c r="EA414" s="3" t="str">
        <f t="shared" si="90"/>
        <v>Torresani, Mark</v>
      </c>
      <c r="EB414" s="2">
        <f t="shared" si="91"/>
        <v>1</v>
      </c>
      <c r="EC414" s="112">
        <f t="shared" si="100"/>
        <v>0</v>
      </c>
      <c r="ED414" s="29">
        <f t="shared" si="92"/>
        <v>61.165567101092016</v>
      </c>
      <c r="EE414" s="2">
        <f t="shared" si="93"/>
        <v>0</v>
      </c>
      <c r="EF414" s="46">
        <f t="shared" si="94"/>
        <v>1</v>
      </c>
      <c r="EG414" s="46">
        <f t="shared" si="95"/>
        <v>1</v>
      </c>
      <c r="EH414" s="2" t="str">
        <f t="shared" si="96"/>
        <v>WI</v>
      </c>
      <c r="EI414" s="29">
        <f>IF(COUNT(I414:AD414)&lt;5,DZ414,SUMPRODUCT(LARGE(I414:AD414,{1,2,3,4,5}))/5)</f>
        <v>62.168682401549923</v>
      </c>
      <c r="EJ414" s="29">
        <f>IF(COUNT(I414:AX414)&lt;5,DZ414,SUMPRODUCT(LARGE(I414:AX414,{1,2,3,4,5}))/5)</f>
        <v>62.168682401549923</v>
      </c>
      <c r="EK414" s="112">
        <f>IF(COUNT(I414:DY414)&lt;5,AVERAGE(I414:DY414),SUMPRODUCT(LARGE(I414:DY414,{1,2,3,4,5}))/5)</f>
        <v>62.168682401549923</v>
      </c>
      <c r="EL414" s="29">
        <f t="shared" si="97"/>
        <v>61.165567101092016</v>
      </c>
      <c r="EM414" s="116" t="str">
        <f t="shared" si="98"/>
        <v>Torresani, Mark</v>
      </c>
      <c r="EQ414"/>
    </row>
    <row r="415" spans="1:147" x14ac:dyDescent="0.25">
      <c r="A415" s="59">
        <f t="shared" si="99"/>
        <v>412</v>
      </c>
      <c r="B415" s="32" t="s">
        <v>1157</v>
      </c>
      <c r="C415" s="5" t="s">
        <v>6</v>
      </c>
      <c r="D415" s="6" t="s">
        <v>63</v>
      </c>
      <c r="E415" s="6">
        <v>0</v>
      </c>
      <c r="F415" s="6">
        <v>53.204849909808686</v>
      </c>
      <c r="G415" s="5">
        <f t="shared" si="88"/>
        <v>3</v>
      </c>
      <c r="H415" s="37">
        <v>0</v>
      </c>
      <c r="I415" s="36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227"/>
      <c r="Z415" s="228"/>
      <c r="AA415" s="7"/>
      <c r="AB415" s="7"/>
      <c r="AC415" s="7"/>
      <c r="AD415" s="7"/>
      <c r="AE415" s="7"/>
      <c r="AF415" s="7"/>
      <c r="AG415" s="74"/>
      <c r="AH415" s="7"/>
      <c r="AI415" s="7"/>
      <c r="AJ415" s="7"/>
      <c r="AK415" s="7"/>
      <c r="AL415" s="7"/>
      <c r="AM415" s="7"/>
      <c r="AN415" s="7"/>
      <c r="AO415" s="74"/>
      <c r="AP415" s="7"/>
      <c r="AQ415" s="74"/>
      <c r="AR415" s="70"/>
      <c r="AS415" s="7"/>
      <c r="AT415" s="70"/>
      <c r="AU415" s="7"/>
      <c r="AV415" s="70"/>
      <c r="AW415" s="7">
        <f>(INDEX('Race 41'!$E$8:$E$200,(MATCH($B415,'Race 41'!$B$8:$B$200,0)),1))*100</f>
        <v>48.694044955487179</v>
      </c>
      <c r="AX415" s="8">
        <f>(INDEX('Race 42'!$E$8:$E$200,(MATCH($B415,'Race 42'!$B$8:$B$200,0)),1))*100</f>
        <v>57.715654864130187</v>
      </c>
      <c r="AY415" s="36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>
        <f>(INDEX('Race 75'!$E$8:$E$200,(MATCH($B415,'Race 75'!$B$8:$B$200,0)),1))*100</f>
        <v>36.16044458864144</v>
      </c>
      <c r="CF415" s="74"/>
      <c r="CG415" s="7"/>
      <c r="CH415" s="7"/>
      <c r="CI415" s="7"/>
      <c r="CJ415" s="7"/>
      <c r="CK415" s="101"/>
      <c r="CL415" s="74"/>
      <c r="CM415" s="74"/>
      <c r="CN415" s="74"/>
      <c r="CO415" s="70"/>
      <c r="CP415" s="74"/>
      <c r="CQ415" s="7"/>
      <c r="CR415" s="74"/>
      <c r="CS415" s="74"/>
      <c r="CT415" s="74"/>
      <c r="CU415" s="74"/>
      <c r="CV415" s="74"/>
      <c r="CW415" s="7"/>
      <c r="CX415" s="7"/>
      <c r="CY415" s="7"/>
      <c r="CZ415" s="74"/>
      <c r="DA415" s="7"/>
      <c r="DB415" s="7"/>
      <c r="DC415" s="7"/>
      <c r="DD415" s="7"/>
      <c r="DE415" s="74"/>
      <c r="DF415" s="74"/>
      <c r="DG415" s="74"/>
      <c r="DH415" s="74"/>
      <c r="DI415" s="74"/>
      <c r="DJ415" s="74"/>
      <c r="DK415" s="7"/>
      <c r="DL415" s="74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8">
        <f t="shared" si="89"/>
        <v>47.523381469419604</v>
      </c>
      <c r="EA415" s="3" t="str">
        <f t="shared" si="90"/>
        <v>Tourville, Matthew</v>
      </c>
      <c r="EB415" s="2">
        <f t="shared" si="91"/>
        <v>1</v>
      </c>
      <c r="EC415" s="112">
        <f t="shared" si="100"/>
        <v>0</v>
      </c>
      <c r="ED415" s="29">
        <f t="shared" si="92"/>
        <v>46.756573661373082</v>
      </c>
      <c r="EE415" s="2">
        <f t="shared" si="93"/>
        <v>0</v>
      </c>
      <c r="EF415" s="46">
        <f t="shared" si="94"/>
        <v>2</v>
      </c>
      <c r="EG415" s="46">
        <f t="shared" si="95"/>
        <v>3</v>
      </c>
      <c r="EH415" s="2" t="str">
        <f t="shared" si="96"/>
        <v>VT</v>
      </c>
      <c r="EI415" s="29">
        <f>IF(COUNT(I415:AD415)&lt;5,DZ415,SUMPRODUCT(LARGE(I415:AD415,{1,2,3,4,5}))/5)</f>
        <v>47.523381469419604</v>
      </c>
      <c r="EJ415" s="29">
        <f>IF(COUNT(I415:AX415)&lt;5,DZ415,SUMPRODUCT(LARGE(I415:AX415,{1,2,3,4,5}))/5)</f>
        <v>47.523381469419604</v>
      </c>
      <c r="EK415" s="112">
        <f>IF(COUNT(I415:DY415)&lt;5,AVERAGE(I415:DY415),SUMPRODUCT(LARGE(I415:DY415,{1,2,3,4,5}))/5)</f>
        <v>47.523381469419604</v>
      </c>
      <c r="EL415" s="29">
        <f t="shared" si="97"/>
        <v>46.756573661373082</v>
      </c>
      <c r="EM415" s="116" t="str">
        <f t="shared" si="98"/>
        <v>Tourville, Matthew</v>
      </c>
      <c r="EQ415"/>
    </row>
    <row r="416" spans="1:147" x14ac:dyDescent="0.25">
      <c r="A416" s="59">
        <f t="shared" si="99"/>
        <v>413</v>
      </c>
      <c r="B416" s="32" t="s">
        <v>113</v>
      </c>
      <c r="C416" s="5" t="s">
        <v>6</v>
      </c>
      <c r="D416" s="6" t="s">
        <v>62</v>
      </c>
      <c r="E416" s="6">
        <v>69.43679629570974</v>
      </c>
      <c r="F416" s="6">
        <v>69.43679629570974</v>
      </c>
      <c r="G416" s="5">
        <f t="shared" si="88"/>
        <v>2</v>
      </c>
      <c r="H416" s="37">
        <v>69.43679629570974</v>
      </c>
      <c r="I416" s="107"/>
      <c r="J416" s="7"/>
      <c r="K416" s="74"/>
      <c r="L416" s="7"/>
      <c r="M416" s="74"/>
      <c r="N416" s="7"/>
      <c r="O416" s="7"/>
      <c r="P416" s="74"/>
      <c r="Q416" s="74"/>
      <c r="R416" s="74"/>
      <c r="S416" s="74"/>
      <c r="T416" s="7"/>
      <c r="U416" s="7"/>
      <c r="V416" s="74"/>
      <c r="W416" s="7"/>
      <c r="X416" s="74"/>
      <c r="Y416" s="227"/>
      <c r="Z416" s="228"/>
      <c r="AA416" s="74"/>
      <c r="AB416" s="74"/>
      <c r="AC416" s="74"/>
      <c r="AD416" s="74"/>
      <c r="AE416" s="7"/>
      <c r="AF416" s="74"/>
      <c r="AG416" s="74"/>
      <c r="AH416" s="7"/>
      <c r="AI416" s="7"/>
      <c r="AJ416" s="7"/>
      <c r="AK416" s="7"/>
      <c r="AL416" s="7"/>
      <c r="AM416" s="7"/>
      <c r="AN416" s="7"/>
      <c r="AO416" s="7"/>
      <c r="AP416" s="7"/>
      <c r="AQ416" s="74"/>
      <c r="AR416" s="101"/>
      <c r="AS416" s="7"/>
      <c r="AT416" s="70"/>
      <c r="AU416" s="7"/>
      <c r="AV416" s="70"/>
      <c r="AW416" s="7"/>
      <c r="AX416" s="8"/>
      <c r="AY416" s="36"/>
      <c r="AZ416" s="74"/>
      <c r="BA416" s="74"/>
      <c r="BB416" s="74"/>
      <c r="BC416" s="74"/>
      <c r="BD416" s="7"/>
      <c r="BE416" s="7"/>
      <c r="BF416" s="74"/>
      <c r="BG416" s="74"/>
      <c r="BH416" s="74"/>
      <c r="BI416" s="74"/>
      <c r="BJ416" s="74"/>
      <c r="BK416" s="7"/>
      <c r="BL416" s="74"/>
      <c r="BM416" s="7"/>
      <c r="BN416" s="74"/>
      <c r="BO416" s="74"/>
      <c r="BP416" s="7"/>
      <c r="BQ416" s="7"/>
      <c r="BR416" s="74"/>
      <c r="BS416" s="7">
        <f>(INDEX('Race 63'!$E$8:$E$200,(MATCH($B416,'Race 63'!$B$8:$B$200,0)),1))*100</f>
        <v>71.677874307719975</v>
      </c>
      <c r="BT416" s="7">
        <f>(INDEX('Race 64'!$E$8:$E$200,(MATCH($B416,'Race 64'!$B$8:$B$200,0)),1))*100</f>
        <v>71.649799837439133</v>
      </c>
      <c r="BU416" s="74"/>
      <c r="BV416" s="74"/>
      <c r="BW416" s="74"/>
      <c r="BX416" s="74"/>
      <c r="BY416" s="74"/>
      <c r="BZ416" s="74"/>
      <c r="CA416" s="7"/>
      <c r="CB416" s="74"/>
      <c r="CC416" s="74"/>
      <c r="CD416" s="74"/>
      <c r="CE416" s="7"/>
      <c r="CF416" s="74"/>
      <c r="CG416" s="74"/>
      <c r="CH416" s="7"/>
      <c r="CI416" s="74"/>
      <c r="CJ416" s="74"/>
      <c r="CK416" s="101"/>
      <c r="CL416" s="74"/>
      <c r="CM416" s="74"/>
      <c r="CN416" s="74"/>
      <c r="CO416" s="101"/>
      <c r="CP416" s="74"/>
      <c r="CQ416" s="74"/>
      <c r="CR416" s="74"/>
      <c r="CS416" s="74"/>
      <c r="CT416" s="74"/>
      <c r="CU416" s="74"/>
      <c r="CV416" s="74"/>
      <c r="CW416" s="74"/>
      <c r="CX416" s="7"/>
      <c r="CY416" s="7"/>
      <c r="CZ416" s="74"/>
      <c r="DA416" s="74"/>
      <c r="DB416" s="74"/>
      <c r="DC416" s="74"/>
      <c r="DD416" s="74"/>
      <c r="DE416" s="74"/>
      <c r="DF416" s="74"/>
      <c r="DG416" s="74"/>
      <c r="DH416" s="74"/>
      <c r="DI416" s="74"/>
      <c r="DJ416" s="74"/>
      <c r="DK416" s="74"/>
      <c r="DL416" s="74"/>
      <c r="DM416" s="74"/>
      <c r="DN416" s="74"/>
      <c r="DO416" s="74"/>
      <c r="DP416" s="74"/>
      <c r="DQ416" s="74"/>
      <c r="DR416" s="7"/>
      <c r="DS416" s="7"/>
      <c r="DT416" s="74"/>
      <c r="DU416" s="74"/>
      <c r="DV416" s="74"/>
      <c r="DW416" s="74"/>
      <c r="DX416" s="74"/>
      <c r="DY416" s="74"/>
      <c r="DZ416" s="8">
        <f t="shared" si="89"/>
        <v>71.663837072579554</v>
      </c>
      <c r="EA416" s="3" t="str">
        <f t="shared" si="90"/>
        <v>Toutenhoofd, Nico</v>
      </c>
      <c r="EB416" s="2">
        <f t="shared" si="91"/>
        <v>1</v>
      </c>
      <c r="EC416" s="112">
        <f t="shared" si="100"/>
        <v>69.43679629570974</v>
      </c>
      <c r="ED416" s="29">
        <f t="shared" si="92"/>
        <v>70.507513845513145</v>
      </c>
      <c r="EE416" s="2">
        <f t="shared" si="93"/>
        <v>0</v>
      </c>
      <c r="EF416" s="46">
        <f t="shared" si="94"/>
        <v>0</v>
      </c>
      <c r="EG416" s="46">
        <f t="shared" si="95"/>
        <v>2</v>
      </c>
      <c r="EH416" s="29" t="str">
        <f t="shared" si="96"/>
        <v>CO</v>
      </c>
      <c r="EI416" s="29">
        <f>IF(COUNT(I416:Y416)&lt;5,DZ416,SUMPRODUCT(LARGE(I416:Y416,{1,2,3,4,5}))/5)</f>
        <v>71.663837072579554</v>
      </c>
      <c r="EJ416" s="29">
        <f>IF(COUNT(I416:AX416)&lt;5,DZ416,SUMPRODUCT(LARGE(I416:AX416,{1,2,3,4,5}))/5)</f>
        <v>71.663837072579554</v>
      </c>
      <c r="EK416" s="29">
        <f>IF(COUNT(I416:DY416)&lt;5,AVERAGE(I416:DY416),SUMPRODUCT(LARGE(I416:DY416,{1,2,3,4,5}))/5)</f>
        <v>71.663837072579554</v>
      </c>
      <c r="EL416" s="29">
        <f t="shared" si="97"/>
        <v>70.507513845513145</v>
      </c>
      <c r="EM416" s="116" t="str">
        <f t="shared" si="98"/>
        <v>Toutenhoofd, Nico</v>
      </c>
      <c r="EQ416"/>
    </row>
    <row r="417" spans="1:147" x14ac:dyDescent="0.25">
      <c r="A417" s="59">
        <f t="shared" si="99"/>
        <v>414</v>
      </c>
      <c r="B417" s="32" t="s">
        <v>1153</v>
      </c>
      <c r="C417" s="5" t="s">
        <v>6</v>
      </c>
      <c r="D417" s="6" t="s">
        <v>75</v>
      </c>
      <c r="E417" s="6">
        <v>0</v>
      </c>
      <c r="F417" s="6">
        <v>40.621924811658616</v>
      </c>
      <c r="G417" s="5">
        <f t="shared" si="88"/>
        <v>2</v>
      </c>
      <c r="H417" s="37">
        <v>0</v>
      </c>
      <c r="I417" s="36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227"/>
      <c r="Z417" s="228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4"/>
      <c r="AP417" s="7"/>
      <c r="AQ417" s="74"/>
      <c r="AR417" s="70"/>
      <c r="AS417" s="7"/>
      <c r="AT417" s="70"/>
      <c r="AU417" s="7"/>
      <c r="AV417" s="70"/>
      <c r="AW417" s="7">
        <f>(INDEX('Race 41'!$E$8:$E$200,(MATCH($B417,'Race 41'!$B$8:$B$200,0)),1))*100</f>
        <v>35.696623070030135</v>
      </c>
      <c r="AX417" s="8">
        <f>(INDEX('Race 42'!$E$8:$E$200,(MATCH($B417,'Race 42'!$B$8:$B$200,0)),1))*100</f>
        <v>45.547226553287096</v>
      </c>
      <c r="AY417" s="36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4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4"/>
      <c r="CF417" s="74"/>
      <c r="CG417" s="7"/>
      <c r="CH417" s="7"/>
      <c r="CI417" s="7"/>
      <c r="CJ417" s="7"/>
      <c r="CK417" s="101"/>
      <c r="CL417" s="74"/>
      <c r="CM417" s="74"/>
      <c r="CN417" s="74"/>
      <c r="CO417" s="70"/>
      <c r="CP417" s="74"/>
      <c r="CQ417" s="7"/>
      <c r="CR417" s="74"/>
      <c r="CS417" s="74"/>
      <c r="CT417" s="74"/>
      <c r="CU417" s="74"/>
      <c r="CV417" s="7"/>
      <c r="CW417" s="7"/>
      <c r="CX417" s="7"/>
      <c r="CY417" s="7"/>
      <c r="CZ417" s="7"/>
      <c r="DA417" s="7"/>
      <c r="DB417" s="7"/>
      <c r="DC417" s="7"/>
      <c r="DD417" s="7"/>
      <c r="DE417" s="74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8">
        <f t="shared" si="89"/>
        <v>40.621924811658616</v>
      </c>
      <c r="EA417" s="3" t="str">
        <f t="shared" si="90"/>
        <v>Tran, Owen</v>
      </c>
      <c r="EB417" s="2">
        <f t="shared" si="91"/>
        <v>1</v>
      </c>
      <c r="EC417" s="29">
        <v>0</v>
      </c>
      <c r="ED417" s="29">
        <f t="shared" si="92"/>
        <v>39.966474627763297</v>
      </c>
      <c r="EE417" s="2">
        <f t="shared" si="93"/>
        <v>0</v>
      </c>
      <c r="EF417" s="46">
        <f t="shared" si="94"/>
        <v>2</v>
      </c>
      <c r="EG417" s="46">
        <f t="shared" si="95"/>
        <v>2</v>
      </c>
      <c r="EH417" s="29" t="str">
        <f t="shared" si="96"/>
        <v>ID</v>
      </c>
      <c r="EI417" s="29">
        <f>IF(COUNT(I417:AD417)&lt;5,DZ417,SUMPRODUCT(LARGE(I417:AD417,{1,2,3,4,5}))/5)</f>
        <v>40.621924811658616</v>
      </c>
      <c r="EJ417" s="29">
        <f>IF(COUNT(I417:AX417)&lt;5,DZ417,SUMPRODUCT(LARGE(I417:AX417,{1,2,3,4,5}))/5)</f>
        <v>40.621924811658616</v>
      </c>
      <c r="EK417" s="112">
        <f>IF(COUNT(I417:DY417)&lt;5,AVERAGE(I417:DY417),SUMPRODUCT(LARGE(I417:DY417,{1,2,3,4,5}))/5)</f>
        <v>40.621924811658616</v>
      </c>
      <c r="EL417" s="29">
        <f t="shared" si="97"/>
        <v>39.966474627763297</v>
      </c>
      <c r="EM417" s="116" t="str">
        <f t="shared" si="98"/>
        <v>Tran, Owen</v>
      </c>
      <c r="EQ417"/>
    </row>
    <row r="418" spans="1:147" x14ac:dyDescent="0.25">
      <c r="A418" s="59">
        <f t="shared" si="99"/>
        <v>415</v>
      </c>
      <c r="B418" s="32" t="s">
        <v>882</v>
      </c>
      <c r="C418" s="5" t="s">
        <v>6</v>
      </c>
      <c r="D418" s="6" t="s">
        <v>88</v>
      </c>
      <c r="E418" s="6">
        <v>43.673279471570424</v>
      </c>
      <c r="F418" s="6">
        <v>40.090471076549832</v>
      </c>
      <c r="G418" s="5">
        <f t="shared" ref="G418:G465" si="101">COUNT(I418:DY418)</f>
        <v>1</v>
      </c>
      <c r="H418" s="37">
        <v>43.673279471570424</v>
      </c>
      <c r="I418" s="36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227"/>
      <c r="Z418" s="228"/>
      <c r="AA418" s="7"/>
      <c r="AB418" s="7"/>
      <c r="AC418" s="74">
        <f>(INDEX('Race 21'!$E$8:$E$200,(MATCH($B418,'Race 21'!$B$8:$B$200,0)),1))*100</f>
        <v>40.090471076549832</v>
      </c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4"/>
      <c r="AP418" s="7"/>
      <c r="AQ418" s="74"/>
      <c r="AR418" s="70"/>
      <c r="AS418" s="7"/>
      <c r="AT418" s="70"/>
      <c r="AU418" s="7"/>
      <c r="AV418" s="70"/>
      <c r="AW418" s="7"/>
      <c r="AX418" s="8"/>
      <c r="AY418" s="36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4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101"/>
      <c r="CL418" s="74"/>
      <c r="CM418" s="74"/>
      <c r="CN418" s="74"/>
      <c r="CO418" s="70"/>
      <c r="CP418" s="74"/>
      <c r="CQ418" s="7"/>
      <c r="CR418" s="74"/>
      <c r="CS418" s="74"/>
      <c r="CT418" s="74"/>
      <c r="CU418" s="74"/>
      <c r="CV418" s="7"/>
      <c r="CW418" s="7"/>
      <c r="CX418" s="7"/>
      <c r="CY418" s="7"/>
      <c r="CZ418" s="7"/>
      <c r="DA418" s="7"/>
      <c r="DB418" s="7"/>
      <c r="DC418" s="7"/>
      <c r="DD418" s="7"/>
      <c r="DE418" s="74"/>
      <c r="DF418" s="74"/>
      <c r="DG418" s="74"/>
      <c r="DH418" s="7"/>
      <c r="DI418" s="74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8">
        <f t="shared" si="89"/>
        <v>40.090471076549832</v>
      </c>
      <c r="EA418" s="3" t="str">
        <f t="shared" si="90"/>
        <v>Tribus, Cliff</v>
      </c>
      <c r="EB418" s="2">
        <f t="shared" si="91"/>
        <v>1</v>
      </c>
      <c r="EC418" s="112">
        <f t="shared" ref="EC418:EC425" si="102">H418</f>
        <v>43.673279471570424</v>
      </c>
      <c r="ED418" s="29">
        <f t="shared" si="92"/>
        <v>39.443596100501608</v>
      </c>
      <c r="EE418" s="2">
        <f t="shared" si="93"/>
        <v>1</v>
      </c>
      <c r="EF418" s="46">
        <f t="shared" si="94"/>
        <v>1</v>
      </c>
      <c r="EG418" s="46">
        <f t="shared" si="95"/>
        <v>1</v>
      </c>
      <c r="EH418" s="29" t="str">
        <f t="shared" si="96"/>
        <v>WI</v>
      </c>
      <c r="EI418" s="29">
        <f>IF(COUNT(I418:Y418)&lt;5,DZ418,SUMPRODUCT(LARGE(I418:Y418,{1,2,3,4,5}))/5)</f>
        <v>40.090471076549832</v>
      </c>
      <c r="EJ418" s="29">
        <f>IF(COUNT(I418:AX418)&lt;5,DZ418,SUMPRODUCT(LARGE(I418:AX418,{1,2,3,4,5}))/5)</f>
        <v>40.090471076549832</v>
      </c>
      <c r="EK418" s="29">
        <f>IF(COUNT(I418:DY418)&lt;5,AVERAGE(I418:DY418),SUMPRODUCT(LARGE(I418:DY418,{1,2,3,4,5}))/5)</f>
        <v>40.090471076549832</v>
      </c>
      <c r="EL418" s="29">
        <f t="shared" si="97"/>
        <v>39.443596100501608</v>
      </c>
      <c r="EM418" s="116" t="str">
        <f t="shared" si="98"/>
        <v>Tribus, Cliff</v>
      </c>
      <c r="EQ418"/>
    </row>
    <row r="419" spans="1:147" x14ac:dyDescent="0.25">
      <c r="A419" s="59">
        <f t="shared" si="99"/>
        <v>416</v>
      </c>
      <c r="B419" s="32" t="s">
        <v>207</v>
      </c>
      <c r="C419" s="5" t="s">
        <v>6</v>
      </c>
      <c r="D419" s="6" t="s">
        <v>69</v>
      </c>
      <c r="E419" s="6">
        <v>51.435829495418268</v>
      </c>
      <c r="F419" s="6">
        <v>51.435829495418268</v>
      </c>
      <c r="G419" s="5">
        <f t="shared" si="101"/>
        <v>0</v>
      </c>
      <c r="H419" s="37">
        <v>51.435829495418268</v>
      </c>
      <c r="I419" s="107"/>
      <c r="J419" s="7"/>
      <c r="K419" s="74"/>
      <c r="L419" s="7"/>
      <c r="M419" s="74"/>
      <c r="N419" s="74"/>
      <c r="O419" s="7"/>
      <c r="P419" s="74"/>
      <c r="Q419" s="74"/>
      <c r="R419" s="74"/>
      <c r="S419" s="74"/>
      <c r="T419" s="7"/>
      <c r="U419" s="7"/>
      <c r="V419" s="74"/>
      <c r="W419" s="7"/>
      <c r="X419" s="74"/>
      <c r="Y419" s="227"/>
      <c r="Z419" s="228"/>
      <c r="AA419" s="74"/>
      <c r="AB419" s="74"/>
      <c r="AC419" s="74"/>
      <c r="AD419" s="74"/>
      <c r="AE419" s="7"/>
      <c r="AF419" s="74"/>
      <c r="AG419" s="74"/>
      <c r="AH419" s="7"/>
      <c r="AI419" s="7"/>
      <c r="AJ419" s="7"/>
      <c r="AK419" s="7"/>
      <c r="AL419" s="7"/>
      <c r="AM419" s="7"/>
      <c r="AN419" s="7"/>
      <c r="AO419" s="74"/>
      <c r="AP419" s="7"/>
      <c r="AQ419" s="74"/>
      <c r="AR419" s="101"/>
      <c r="AS419" s="7"/>
      <c r="AT419" s="101"/>
      <c r="AU419" s="7"/>
      <c r="AV419" s="101"/>
      <c r="AW419" s="7"/>
      <c r="AX419" s="8"/>
      <c r="AY419" s="36"/>
      <c r="AZ419" s="74"/>
      <c r="BA419" s="74"/>
      <c r="BB419" s="74"/>
      <c r="BC419" s="74"/>
      <c r="BD419" s="7"/>
      <c r="BE419" s="7"/>
      <c r="BF419" s="74"/>
      <c r="BG419" s="74"/>
      <c r="BH419" s="74"/>
      <c r="BI419" s="74"/>
      <c r="BJ419" s="7"/>
      <c r="BK419" s="7"/>
      <c r="BL419" s="7"/>
      <c r="BM419" s="7"/>
      <c r="BN419" s="74"/>
      <c r="BO419" s="74"/>
      <c r="BP419" s="7"/>
      <c r="BQ419" s="7"/>
      <c r="BR419" s="74"/>
      <c r="BS419" s="7"/>
      <c r="BT419" s="7"/>
      <c r="BU419" s="74"/>
      <c r="BV419" s="74"/>
      <c r="BW419" s="74"/>
      <c r="BX419" s="74"/>
      <c r="BY419" s="74"/>
      <c r="BZ419" s="7"/>
      <c r="CA419" s="7"/>
      <c r="CB419" s="7"/>
      <c r="CC419" s="7"/>
      <c r="CD419" s="7"/>
      <c r="CE419" s="74"/>
      <c r="CF419" s="74"/>
      <c r="CG419" s="74"/>
      <c r="CH419" s="7"/>
      <c r="CI419" s="74"/>
      <c r="CJ419" s="74"/>
      <c r="CK419" s="101"/>
      <c r="CL419" s="74"/>
      <c r="CM419" s="74"/>
      <c r="CN419" s="74"/>
      <c r="CO419" s="101"/>
      <c r="CP419" s="74"/>
      <c r="CQ419" s="74"/>
      <c r="CR419" s="74"/>
      <c r="CS419" s="74"/>
      <c r="CT419" s="74"/>
      <c r="CU419" s="74"/>
      <c r="CV419" s="74"/>
      <c r="CW419" s="74"/>
      <c r="CX419" s="7"/>
      <c r="CY419" s="7"/>
      <c r="CZ419" s="74"/>
      <c r="DA419" s="74"/>
      <c r="DB419" s="74"/>
      <c r="DC419" s="74"/>
      <c r="DD419" s="74"/>
      <c r="DE419" s="74"/>
      <c r="DF419" s="74"/>
      <c r="DG419" s="74"/>
      <c r="DH419" s="74"/>
      <c r="DI419" s="74"/>
      <c r="DJ419" s="74"/>
      <c r="DK419" s="74"/>
      <c r="DL419" s="74"/>
      <c r="DM419" s="74"/>
      <c r="DN419" s="74"/>
      <c r="DO419" s="74"/>
      <c r="DP419" s="74"/>
      <c r="DQ419" s="74"/>
      <c r="DR419" s="7"/>
      <c r="DS419" s="7"/>
      <c r="DT419" s="7"/>
      <c r="DU419" s="7"/>
      <c r="DV419" s="74"/>
      <c r="DW419" s="74"/>
      <c r="DX419" s="74"/>
      <c r="DY419" s="74"/>
      <c r="DZ419" s="8">
        <f t="shared" si="89"/>
        <v>51.435829495418268</v>
      </c>
      <c r="EA419" s="3" t="str">
        <f t="shared" si="90"/>
        <v>Turner, Mark</v>
      </c>
      <c r="EB419" s="2">
        <f t="shared" si="91"/>
        <v>0</v>
      </c>
      <c r="EC419" s="112">
        <f t="shared" si="102"/>
        <v>51.435829495418268</v>
      </c>
      <c r="ED419" s="29">
        <f t="shared" si="92"/>
        <v>0</v>
      </c>
      <c r="EE419" s="2">
        <f t="shared" si="93"/>
        <v>0</v>
      </c>
      <c r="EF419" s="46">
        <f t="shared" si="94"/>
        <v>0</v>
      </c>
      <c r="EG419" s="46">
        <f t="shared" si="95"/>
        <v>0</v>
      </c>
      <c r="EH419" s="29" t="str">
        <f t="shared" si="96"/>
        <v>WA</v>
      </c>
      <c r="EI419" s="29">
        <f>IF(COUNT(I419:Y419)&lt;5,DZ419,SUMPRODUCT(LARGE(I419:Y419,{1,2,3,4,5}))/5)</f>
        <v>51.435829495418268</v>
      </c>
      <c r="EJ419" s="29">
        <f>IF(COUNT(I419:AX419)&lt;5,DZ419,SUMPRODUCT(LARGE(I419:AX419,{1,2,3,4,5}))/5)</f>
        <v>51.435829495418268</v>
      </c>
      <c r="EK419" s="112">
        <f>IF(EG419&lt;0,AVERAGE(I419:DY419),0)</f>
        <v>0</v>
      </c>
      <c r="EL419" s="29">
        <f t="shared" si="97"/>
        <v>0</v>
      </c>
      <c r="EM419" s="116" t="str">
        <f t="shared" si="98"/>
        <v>Turner, Mark</v>
      </c>
      <c r="EQ419"/>
    </row>
    <row r="420" spans="1:147" x14ac:dyDescent="0.25">
      <c r="A420" s="59">
        <f t="shared" si="99"/>
        <v>417</v>
      </c>
      <c r="B420" s="32" t="s">
        <v>1042</v>
      </c>
      <c r="C420" s="5" t="s">
        <v>16</v>
      </c>
      <c r="D420" s="6" t="s">
        <v>61</v>
      </c>
      <c r="E420" s="6">
        <v>67.535448141821149</v>
      </c>
      <c r="F420" s="6">
        <v>67.535448141821149</v>
      </c>
      <c r="G420" s="5">
        <f t="shared" si="101"/>
        <v>2</v>
      </c>
      <c r="H420" s="37">
        <v>0</v>
      </c>
      <c r="I420" s="36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>
        <f>(INDEX('Race 16'!$E$8:$E$200,(MATCH($B420,'Race 16'!$B$8:$B$200,0)),1))*100</f>
        <v>67.940824749173061</v>
      </c>
      <c r="Y420" s="227">
        <f>(INDEX('Race 17'!$E$8:$E$200,(MATCH($B420,'Race 17'!$B$8:$B$200,0)),1))*100</f>
        <v>67.130071534469252</v>
      </c>
      <c r="Z420" s="228"/>
      <c r="AA420" s="7"/>
      <c r="AB420" s="7"/>
      <c r="AC420" s="7"/>
      <c r="AD420" s="74"/>
      <c r="AE420" s="74"/>
      <c r="AF420" s="7"/>
      <c r="AG420" s="7"/>
      <c r="AH420" s="7"/>
      <c r="AI420" s="7"/>
      <c r="AJ420" s="7"/>
      <c r="AK420" s="7"/>
      <c r="AL420" s="7"/>
      <c r="AM420" s="7"/>
      <c r="AN420" s="7"/>
      <c r="AO420" s="74"/>
      <c r="AP420" s="7"/>
      <c r="AQ420" s="74"/>
      <c r="AR420" s="70"/>
      <c r="AS420" s="7"/>
      <c r="AT420" s="70"/>
      <c r="AU420" s="7"/>
      <c r="AV420" s="70"/>
      <c r="AW420" s="7"/>
      <c r="AX420" s="183"/>
      <c r="AY420" s="10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4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4"/>
      <c r="CG420" s="7"/>
      <c r="CH420" s="7"/>
      <c r="CI420" s="7"/>
      <c r="CJ420" s="7"/>
      <c r="CK420" s="101"/>
      <c r="CL420" s="74"/>
      <c r="CM420" s="74"/>
      <c r="CN420" s="74"/>
      <c r="CO420" s="70"/>
      <c r="CP420" s="74"/>
      <c r="CQ420" s="7"/>
      <c r="CR420" s="74"/>
      <c r="CS420" s="74"/>
      <c r="CT420" s="74"/>
      <c r="CU420" s="74"/>
      <c r="CV420" s="7"/>
      <c r="CW420" s="7"/>
      <c r="CX420" s="7"/>
      <c r="CY420" s="7"/>
      <c r="CZ420" s="7"/>
      <c r="DA420" s="7"/>
      <c r="DB420" s="7"/>
      <c r="DC420" s="7"/>
      <c r="DD420" s="7"/>
      <c r="DE420" s="74"/>
      <c r="DF420" s="74"/>
      <c r="DG420" s="74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8">
        <f t="shared" si="89"/>
        <v>67.535448141821149</v>
      </c>
      <c r="EA420" s="3" t="str">
        <f t="shared" si="90"/>
        <v>Ulbrich, Hayden</v>
      </c>
      <c r="EB420" s="2">
        <f t="shared" si="91"/>
        <v>1</v>
      </c>
      <c r="EC420" s="112">
        <f t="shared" si="102"/>
        <v>0</v>
      </c>
      <c r="ED420" s="29">
        <f t="shared" si="92"/>
        <v>66.445738037997984</v>
      </c>
      <c r="EE420" s="2">
        <f t="shared" si="93"/>
        <v>2</v>
      </c>
      <c r="EF420" s="46">
        <f t="shared" si="94"/>
        <v>2</v>
      </c>
      <c r="EG420" s="46">
        <f t="shared" si="95"/>
        <v>2</v>
      </c>
      <c r="EH420" s="2" t="str">
        <f t="shared" si="96"/>
        <v>AK</v>
      </c>
      <c r="EI420" s="29">
        <f>IF(COUNT(I420:Y420)&lt;5,DZ420,SUMPRODUCT(LARGE(I420:Y420,{1,2,3,4,5}))/5)</f>
        <v>67.535448141821149</v>
      </c>
      <c r="EJ420" s="29">
        <f>IF(COUNT(I420:AX420)&lt;5,DZ420,SUMPRODUCT(LARGE(I420:AX420,{1,2,3,4,5}))/5)</f>
        <v>67.535448141821149</v>
      </c>
      <c r="EK420" s="112">
        <f>IF(COUNT(I420:DY420)&lt;5,AVERAGE(I420:DY420),SUMPRODUCT(LARGE(I420:DY420,{1,2,3,4,5}))/5)</f>
        <v>67.535448141821149</v>
      </c>
      <c r="EL420" s="29">
        <f t="shared" si="97"/>
        <v>66.445738037997984</v>
      </c>
      <c r="EM420" s="116" t="str">
        <f t="shared" si="98"/>
        <v>Ulbrich, Hayden</v>
      </c>
      <c r="EQ420"/>
    </row>
    <row r="421" spans="1:147" x14ac:dyDescent="0.25">
      <c r="A421" s="59">
        <f t="shared" si="99"/>
        <v>418</v>
      </c>
      <c r="B421" s="32" t="s">
        <v>734</v>
      </c>
      <c r="C421" s="5" t="s">
        <v>6</v>
      </c>
      <c r="D421" s="6" t="s">
        <v>65</v>
      </c>
      <c r="E421" s="6">
        <v>42.746778636290308</v>
      </c>
      <c r="F421" s="6">
        <v>48.468714646250653</v>
      </c>
      <c r="G421" s="5">
        <f t="shared" si="101"/>
        <v>5</v>
      </c>
      <c r="H421" s="37">
        <v>42.746778636290308</v>
      </c>
      <c r="I421" s="36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227"/>
      <c r="Z421" s="228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4"/>
      <c r="AR421" s="101">
        <f>(INDEX('Race 36'!$E$8:$E$200,(MATCH($B421,'Race 36'!$B$8:$B$200,0)),1))*100</f>
        <v>49.102909707283906</v>
      </c>
      <c r="AS421" s="7"/>
      <c r="AT421" s="101">
        <f>(INDEX('Race 38'!$E$8:$E$200,(MATCH($B421,'Race 38'!$B$8:$B$200,0)),1))*100</f>
        <v>52.02414931887602</v>
      </c>
      <c r="AU421" s="74">
        <f>(INDEX('Race 39'!$E$8:$E$200,(MATCH($B421,'Race 39'!$B$8:$B$200,0)),1))*100</f>
        <v>44.541138801044177</v>
      </c>
      <c r="AV421" s="101">
        <f>(INDEX('Race 40'!$E$8:$E$200,(MATCH($B421,'Race 40'!$B$8:$B$200,0)),1))*100</f>
        <v>48.20666075779851</v>
      </c>
      <c r="AW421" s="74"/>
      <c r="AX421" s="8"/>
      <c r="AY421" s="36"/>
      <c r="AZ421" s="7">
        <f>(INDEX('Race 44'!$E$8:$E$200,(MATCH($B421,'Race 44'!$B$8:$B$200,0)),1))*100</f>
        <v>46.247322252157311</v>
      </c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4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101"/>
      <c r="CL421" s="74"/>
      <c r="CM421" s="74"/>
      <c r="CN421" s="74"/>
      <c r="CO421" s="70"/>
      <c r="CP421" s="74"/>
      <c r="CQ421" s="7"/>
      <c r="CR421" s="74"/>
      <c r="CS421" s="74"/>
      <c r="CT421" s="74"/>
      <c r="CU421" s="74"/>
      <c r="CV421" s="7"/>
      <c r="CW421" s="7"/>
      <c r="CX421" s="7"/>
      <c r="CY421" s="7"/>
      <c r="CZ421" s="7"/>
      <c r="DA421" s="7"/>
      <c r="DB421" s="7"/>
      <c r="DC421" s="7"/>
      <c r="DD421" s="7"/>
      <c r="DE421" s="74"/>
      <c r="DF421" s="74"/>
      <c r="DG421" s="74"/>
      <c r="DH421" s="74"/>
      <c r="DI421" s="74"/>
      <c r="DJ421" s="74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8">
        <f t="shared" si="89"/>
        <v>48.024436167431986</v>
      </c>
      <c r="EA421" s="3" t="str">
        <f t="shared" si="90"/>
        <v>Valera, John</v>
      </c>
      <c r="EB421" s="2">
        <f t="shared" si="91"/>
        <v>1</v>
      </c>
      <c r="EC421" s="112">
        <f t="shared" si="102"/>
        <v>42.746778636290308</v>
      </c>
      <c r="ED421" s="29">
        <f t="shared" si="92"/>
        <v>47.249543651546624</v>
      </c>
      <c r="EE421" s="2">
        <f t="shared" si="93"/>
        <v>0</v>
      </c>
      <c r="EF421" s="46">
        <f t="shared" si="94"/>
        <v>5</v>
      </c>
      <c r="EG421" s="46">
        <f t="shared" si="95"/>
        <v>5</v>
      </c>
      <c r="EH421" s="2" t="str">
        <f t="shared" si="96"/>
        <v>NH</v>
      </c>
      <c r="EI421" s="29">
        <f>IF(COUNT(I421:Y421)&lt;5,DZ421,SUMPRODUCT(LARGE(I421:Y421,{1,2,3,4,5}))/5)</f>
        <v>48.024436167431986</v>
      </c>
      <c r="EJ421" s="29">
        <f>IF(COUNT(I421:AX421)&lt;5,DZ421,SUMPRODUCT(LARGE(I421:AX421,{1,2,3,4,5}))/5)</f>
        <v>48.024436167431986</v>
      </c>
      <c r="EK421" s="29">
        <f>IF(COUNT(I421:DY421)&lt;5,AVERAGE(I421:DY421),SUMPRODUCT(LARGE(I421:DY421,{1,2,3,4,5}))/5)</f>
        <v>48.024436167431986</v>
      </c>
      <c r="EL421" s="29">
        <f t="shared" si="97"/>
        <v>47.249543651546624</v>
      </c>
      <c r="EM421" s="116" t="str">
        <f t="shared" si="98"/>
        <v>Valera, John</v>
      </c>
      <c r="EQ421"/>
    </row>
    <row r="422" spans="1:147" x14ac:dyDescent="0.25">
      <c r="A422" s="59">
        <f t="shared" si="99"/>
        <v>419</v>
      </c>
      <c r="B422" s="32" t="s">
        <v>1067</v>
      </c>
      <c r="C422" s="5" t="s">
        <v>6</v>
      </c>
      <c r="D422" s="6" t="s">
        <v>62</v>
      </c>
      <c r="E422" s="6">
        <v>0</v>
      </c>
      <c r="F422" s="6">
        <v>49.403054375011301</v>
      </c>
      <c r="G422" s="5">
        <f t="shared" si="101"/>
        <v>6</v>
      </c>
      <c r="H422" s="37">
        <v>0</v>
      </c>
      <c r="I422" s="36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227"/>
      <c r="Z422" s="228"/>
      <c r="AA422" s="7"/>
      <c r="AB422" s="7"/>
      <c r="AC422" s="7"/>
      <c r="AD422" s="7"/>
      <c r="AE422" s="7"/>
      <c r="AF422" s="7"/>
      <c r="AG422" s="74">
        <f>(INDEX('Race 25'!$E$8:$E$200,(MATCH($B422,'Race 25'!$B$8:$B$200,0)),1))*100</f>
        <v>48.938500533309131</v>
      </c>
      <c r="AH422" s="7"/>
      <c r="AI422" s="7"/>
      <c r="AJ422" s="7"/>
      <c r="AK422" s="7"/>
      <c r="AL422" s="74">
        <f>(INDEX('Race 30'!$E$8:$E$200,(MATCH($B422,'Race 30'!$B$8:$B$200,0)),1))*100</f>
        <v>49.867608216713471</v>
      </c>
      <c r="AM422" s="7"/>
      <c r="AN422" s="7"/>
      <c r="AO422" s="7"/>
      <c r="AP422" s="7"/>
      <c r="AQ422" s="74"/>
      <c r="AR422" s="70"/>
      <c r="AS422" s="7"/>
      <c r="AT422" s="70"/>
      <c r="AU422" s="7"/>
      <c r="AV422" s="70"/>
      <c r="AW422" s="7"/>
      <c r="AX422" s="183"/>
      <c r="AY422" s="10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4"/>
      <c r="BO422" s="7"/>
      <c r="BP422" s="7"/>
      <c r="BQ422" s="7"/>
      <c r="BR422" s="7"/>
      <c r="BS422" s="7">
        <f>(INDEX('Race 63'!$E$8:$E$200,(MATCH($B422,'Race 63'!$B$8:$B$200,0)),1))*100</f>
        <v>56.059751623065267</v>
      </c>
      <c r="BT422" s="7">
        <f>(INDEX('Race 64'!$E$8:$E$200,(MATCH($B422,'Race 64'!$B$8:$B$200,0)),1))*100</f>
        <v>52.458310180421876</v>
      </c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>
        <f>(INDEX('Race 75'!$E$8:$E$200,(MATCH($B422,'Race 75'!$B$8:$B$200,0)),1))*100</f>
        <v>67.854901254104362</v>
      </c>
      <c r="CF422" s="7">
        <f>(INDEX('Race 76'!$E$8:$E$200,(MATCH($B422,'Race 76'!$B$8:$B$200,0)),1))*100</f>
        <v>69.684842416136732</v>
      </c>
      <c r="CG422" s="7"/>
      <c r="CH422" s="7"/>
      <c r="CI422" s="7"/>
      <c r="CJ422" s="7"/>
      <c r="CK422" s="101"/>
      <c r="CL422" s="74"/>
      <c r="CM422" s="74"/>
      <c r="CN422" s="74"/>
      <c r="CO422" s="70"/>
      <c r="CP422" s="74"/>
      <c r="CQ422" s="7"/>
      <c r="CR422" s="74"/>
      <c r="CS422" s="74"/>
      <c r="CT422" s="74"/>
      <c r="CU422" s="74"/>
      <c r="CV422" s="7"/>
      <c r="CW422" s="7"/>
      <c r="CX422" s="7"/>
      <c r="CY422" s="7"/>
      <c r="CZ422" s="7"/>
      <c r="DA422" s="7"/>
      <c r="DB422" s="7"/>
      <c r="DC422" s="7"/>
      <c r="DD422" s="7"/>
      <c r="DE422" s="74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8">
        <f t="shared" si="89"/>
        <v>57.477319037291807</v>
      </c>
      <c r="EA422" s="3" t="str">
        <f t="shared" si="90"/>
        <v>Varela, Alfredo</v>
      </c>
      <c r="EB422" s="2">
        <f t="shared" si="91"/>
        <v>1</v>
      </c>
      <c r="EC422" s="112">
        <f t="shared" si="102"/>
        <v>0</v>
      </c>
      <c r="ED422" s="29">
        <f t="shared" si="92"/>
        <v>0</v>
      </c>
      <c r="EE422" s="2">
        <f t="shared" si="93"/>
        <v>1</v>
      </c>
      <c r="EF422" s="46">
        <f t="shared" si="94"/>
        <v>2</v>
      </c>
      <c r="EG422" s="46">
        <f t="shared" si="95"/>
        <v>6</v>
      </c>
      <c r="EH422" s="29" t="str">
        <f t="shared" si="96"/>
        <v>CO</v>
      </c>
      <c r="EI422" s="29">
        <f>IF(COUNT(I422:AD422)&lt;5,DZ422,SUMPRODUCT(LARGE(I422:AD422,{1,2,3,4,5}))/5)</f>
        <v>57.477319037291807</v>
      </c>
      <c r="EJ422" s="29">
        <f>IF(COUNT(I422:AX422)&lt;5,DZ422,SUMPRODUCT(LARGE(I422:AX422,{1,2,3,4,5}))/5)</f>
        <v>57.477319037291807</v>
      </c>
      <c r="EK422" s="29">
        <f>IF(EG422&lt;0,AVERAGE(I422:DY422),0)</f>
        <v>0</v>
      </c>
      <c r="EL422" s="29">
        <f t="shared" si="97"/>
        <v>0</v>
      </c>
      <c r="EM422" s="116" t="str">
        <f t="shared" si="98"/>
        <v>Varela, Alfredo</v>
      </c>
      <c r="EQ422"/>
    </row>
    <row r="423" spans="1:147" x14ac:dyDescent="0.25">
      <c r="A423" s="59">
        <f t="shared" si="99"/>
        <v>420</v>
      </c>
      <c r="B423" s="32" t="s">
        <v>817</v>
      </c>
      <c r="C423" s="5" t="s">
        <v>6</v>
      </c>
      <c r="D423" s="6" t="s">
        <v>88</v>
      </c>
      <c r="E423" s="6">
        <v>41.838699749319133</v>
      </c>
      <c r="F423" s="6">
        <v>38.386646967874427</v>
      </c>
      <c r="G423" s="5">
        <f t="shared" si="101"/>
        <v>6</v>
      </c>
      <c r="H423" s="37">
        <v>41.838699749319133</v>
      </c>
      <c r="I423" s="36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227"/>
      <c r="Z423" s="228"/>
      <c r="AA423" s="7"/>
      <c r="AB423" s="7"/>
      <c r="AC423" s="74">
        <f>(INDEX('Race 21'!$E$8:$E$200,(MATCH($B423,'Race 21'!$B$8:$B$200,0)),1))*100</f>
        <v>39.146843312915195</v>
      </c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4">
        <f>(INDEX('Race 33'!$E$8:$E$200,(MATCH($B423,'Race 33'!$B$8:$B$200,0)),1))*100</f>
        <v>37.626450622833651</v>
      </c>
      <c r="AP423" s="7"/>
      <c r="AQ423" s="74"/>
      <c r="AR423" s="70"/>
      <c r="AS423" s="7"/>
      <c r="AT423" s="70"/>
      <c r="AU423" s="7"/>
      <c r="AV423" s="70"/>
      <c r="AW423" s="7"/>
      <c r="AX423" s="8"/>
      <c r="AY423" s="36"/>
      <c r="AZ423" s="7"/>
      <c r="BA423" s="7"/>
      <c r="BB423" s="7"/>
      <c r="BC423" s="7"/>
      <c r="BD423" s="7"/>
      <c r="BE423" s="7"/>
      <c r="BF423" s="7"/>
      <c r="BG423" s="7">
        <f>(INDEX('Race 51'!$E$8:$E$200,(MATCH($B423,'Race 51'!$B$8:$B$200,0)),1))*100</f>
        <v>37.058005269065667</v>
      </c>
      <c r="BH423" s="7">
        <f>(INDEX('Race 52'!$E$8:$E$200,(MATCH($B423,'Race 52'!$B$8:$B$200,0)),1))*100</f>
        <v>39.998731885822529</v>
      </c>
      <c r="BI423" s="7"/>
      <c r="BJ423" s="7"/>
      <c r="BK423" s="7"/>
      <c r="BL423" s="7"/>
      <c r="BM423" s="7"/>
      <c r="BN423" s="74"/>
      <c r="BO423" s="7">
        <f>(INDEX('Race 59'!$E$8:$E$200,(MATCH($B423,'Race 59'!$B$8:$B$200,0)),1))*100</f>
        <v>43.46463755294608</v>
      </c>
      <c r="BP423" s="7"/>
      <c r="BQ423" s="7"/>
      <c r="BR423" s="7"/>
      <c r="BS423" s="7"/>
      <c r="BT423" s="7"/>
      <c r="BU423" s="7"/>
      <c r="BV423" s="7"/>
      <c r="BW423" s="7"/>
      <c r="BX423" s="7"/>
      <c r="BY423" s="74"/>
      <c r="BZ423" s="74"/>
      <c r="CA423" s="7"/>
      <c r="CB423" s="7"/>
      <c r="CC423" s="7"/>
      <c r="CD423" s="7">
        <f>(INDEX('Race 74'!$E$8:$E$200,(MATCH($B423,'Race 74'!$B$8:$B$200,0)),1))*100</f>
        <v>42.23372510730475</v>
      </c>
      <c r="CE423" s="7"/>
      <c r="CF423" s="7"/>
      <c r="CG423" s="7"/>
      <c r="CH423" s="7"/>
      <c r="CI423" s="7"/>
      <c r="CJ423" s="7"/>
      <c r="CK423" s="101"/>
      <c r="CL423" s="74"/>
      <c r="CM423" s="74"/>
      <c r="CN423" s="74"/>
      <c r="CO423" s="70"/>
      <c r="CP423" s="74"/>
      <c r="CQ423" s="7"/>
      <c r="CR423" s="74"/>
      <c r="CS423" s="74"/>
      <c r="CT423" s="74"/>
      <c r="CU423" s="74"/>
      <c r="CV423" s="7"/>
      <c r="CW423" s="7"/>
      <c r="CX423" s="7"/>
      <c r="CY423" s="7"/>
      <c r="CZ423" s="7"/>
      <c r="DA423" s="7"/>
      <c r="DB423" s="7"/>
      <c r="DC423" s="7"/>
      <c r="DD423" s="7"/>
      <c r="DE423" s="74"/>
      <c r="DF423" s="74"/>
      <c r="DG423" s="74"/>
      <c r="DH423" s="74"/>
      <c r="DI423" s="74"/>
      <c r="DJ423" s="7"/>
      <c r="DK423" s="7"/>
      <c r="DL423" s="7"/>
      <c r="DM423" s="7"/>
      <c r="DN423" s="7"/>
      <c r="DO423" s="7"/>
      <c r="DP423" s="7"/>
      <c r="DQ423" s="74"/>
      <c r="DR423" s="7"/>
      <c r="DS423" s="7"/>
      <c r="DT423" s="7"/>
      <c r="DU423" s="7"/>
      <c r="DV423" s="74"/>
      <c r="DW423" s="7"/>
      <c r="DX423" s="7"/>
      <c r="DY423" s="7"/>
      <c r="DZ423" s="8">
        <f t="shared" si="89"/>
        <v>39.921398958481312</v>
      </c>
      <c r="EA423" s="3" t="str">
        <f t="shared" si="90"/>
        <v>Varland, David</v>
      </c>
      <c r="EB423" s="2">
        <f t="shared" si="91"/>
        <v>1</v>
      </c>
      <c r="EC423" s="112">
        <f t="shared" si="102"/>
        <v>41.838699749319133</v>
      </c>
      <c r="ED423" s="29">
        <f t="shared" si="92"/>
        <v>39.840690374227115</v>
      </c>
      <c r="EE423" s="2">
        <f t="shared" si="93"/>
        <v>1</v>
      </c>
      <c r="EF423" s="46">
        <f t="shared" si="94"/>
        <v>5</v>
      </c>
      <c r="EG423" s="46">
        <f t="shared" si="95"/>
        <v>6</v>
      </c>
      <c r="EH423" s="2" t="str">
        <f t="shared" si="96"/>
        <v>WI</v>
      </c>
      <c r="EI423" s="29">
        <f>IF(COUNT(I423:Y423)&lt;5,DZ423,SUMPRODUCT(LARGE(I423:Y423,{1,2,3,4,5}))/5)</f>
        <v>39.921398958481312</v>
      </c>
      <c r="EJ423" s="29">
        <f>IF(COUNT(I423:AX423)&lt;5,DZ423,SUMPRODUCT(LARGE(I423:AX423,{1,2,3,4,5}))/5)</f>
        <v>39.921398958481312</v>
      </c>
      <c r="EK423" s="29">
        <f>IF(COUNT(I423:DY423)&lt;5,AVERAGE(I423:DY423),SUMPRODUCT(LARGE(I423:DY423,{1,2,3,4,5}))/5)</f>
        <v>40.494077696364442</v>
      </c>
      <c r="EL423" s="29">
        <f t="shared" si="97"/>
        <v>39.840690374227115</v>
      </c>
      <c r="EM423" s="116" t="str">
        <f t="shared" si="98"/>
        <v>Varland, David</v>
      </c>
      <c r="EQ423"/>
    </row>
    <row r="424" spans="1:147" x14ac:dyDescent="0.25">
      <c r="A424" s="59">
        <f t="shared" si="99"/>
        <v>421</v>
      </c>
      <c r="B424" s="32" t="s">
        <v>870</v>
      </c>
      <c r="C424" s="5" t="s">
        <v>6</v>
      </c>
      <c r="D424" s="6" t="s">
        <v>62</v>
      </c>
      <c r="E424" s="6">
        <v>47.281785990377266</v>
      </c>
      <c r="F424" s="6">
        <v>47.281785990377266</v>
      </c>
      <c r="G424" s="5">
        <f t="shared" si="101"/>
        <v>1</v>
      </c>
      <c r="H424" s="37">
        <v>47.281785990377266</v>
      </c>
      <c r="I424" s="36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227"/>
      <c r="Z424" s="228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4"/>
      <c r="AP424" s="7"/>
      <c r="AQ424" s="74"/>
      <c r="AR424" s="70"/>
      <c r="AS424" s="7"/>
      <c r="AT424" s="70"/>
      <c r="AU424" s="74"/>
      <c r="AV424" s="70"/>
      <c r="AW424" s="74"/>
      <c r="AX424" s="8"/>
      <c r="AY424" s="36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4"/>
      <c r="BO424" s="7"/>
      <c r="BP424" s="7"/>
      <c r="BQ424" s="7"/>
      <c r="BR424" s="7"/>
      <c r="BS424" s="7"/>
      <c r="BT424" s="7">
        <f>(INDEX('Race 64'!$E$8:$E$200,(MATCH($B424,'Race 64'!$B$8:$B$200,0)),1))*100</f>
        <v>52.631497074381663</v>
      </c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101"/>
      <c r="CL424" s="74"/>
      <c r="CM424" s="74"/>
      <c r="CN424" s="74"/>
      <c r="CO424" s="70"/>
      <c r="CP424" s="74"/>
      <c r="CQ424" s="7"/>
      <c r="CR424" s="74"/>
      <c r="CS424" s="74"/>
      <c r="CT424" s="74"/>
      <c r="CU424" s="74"/>
      <c r="CV424" s="7"/>
      <c r="CW424" s="7"/>
      <c r="CX424" s="7"/>
      <c r="CY424" s="7"/>
      <c r="CZ424" s="7"/>
      <c r="DA424" s="7"/>
      <c r="DB424" s="7"/>
      <c r="DC424" s="7"/>
      <c r="DD424" s="7"/>
      <c r="DE424" s="74"/>
      <c r="DF424" s="74"/>
      <c r="DG424" s="74"/>
      <c r="DH424" s="7"/>
      <c r="DI424" s="74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8">
        <f t="shared" si="89"/>
        <v>52.631497074381663</v>
      </c>
      <c r="EA424" s="3" t="str">
        <f t="shared" si="90"/>
        <v>Vickers, John</v>
      </c>
      <c r="EB424" s="2">
        <f t="shared" si="91"/>
        <v>1</v>
      </c>
      <c r="EC424" s="112">
        <f t="shared" si="102"/>
        <v>47.281785990377266</v>
      </c>
      <c r="ED424" s="29">
        <f t="shared" si="92"/>
        <v>51.782267881131112</v>
      </c>
      <c r="EE424" s="2">
        <f t="shared" si="93"/>
        <v>0</v>
      </c>
      <c r="EF424" s="46">
        <f t="shared" si="94"/>
        <v>0</v>
      </c>
      <c r="EG424" s="46">
        <f t="shared" si="95"/>
        <v>1</v>
      </c>
      <c r="EH424" s="29" t="str">
        <f t="shared" si="96"/>
        <v>CO</v>
      </c>
      <c r="EI424" s="29">
        <f>IF(COUNT(I424:Y424)&lt;5,DZ424,SUMPRODUCT(LARGE(I424:Y424,{1,2,3,4,5}))/5)</f>
        <v>52.631497074381663</v>
      </c>
      <c r="EJ424" s="29">
        <f>IF(COUNT(I424:AX424)&lt;5,DZ424,SUMPRODUCT(LARGE(I424:AX424,{1,2,3,4,5}))/5)</f>
        <v>52.631497074381663</v>
      </c>
      <c r="EK424" s="29">
        <f>IF(COUNT(I424:DY424)&lt;5,AVERAGE(I424:DY424),SUMPRODUCT(LARGE(I424:DY424,{1,2,3,4,5}))/5)</f>
        <v>52.631497074381663</v>
      </c>
      <c r="EL424" s="29">
        <f t="shared" si="97"/>
        <v>51.782267881131112</v>
      </c>
      <c r="EM424" s="116" t="str">
        <f t="shared" si="98"/>
        <v>Vickers, John</v>
      </c>
      <c r="EQ424"/>
    </row>
    <row r="425" spans="1:147" x14ac:dyDescent="0.25">
      <c r="A425" s="59">
        <f t="shared" si="99"/>
        <v>422</v>
      </c>
      <c r="B425" s="32" t="s">
        <v>888</v>
      </c>
      <c r="C425" s="5" t="s">
        <v>6</v>
      </c>
      <c r="D425" s="6" t="s">
        <v>63</v>
      </c>
      <c r="E425" s="6">
        <v>55.369402232529268</v>
      </c>
      <c r="F425" s="6">
        <v>57.730080619711707</v>
      </c>
      <c r="G425" s="5">
        <f t="shared" si="101"/>
        <v>7</v>
      </c>
      <c r="H425" s="37">
        <v>55.369402232529268</v>
      </c>
      <c r="I425" s="36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227"/>
      <c r="Z425" s="228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4"/>
      <c r="AP425" s="7"/>
      <c r="AQ425" s="74"/>
      <c r="AR425" s="70"/>
      <c r="AS425" s="74">
        <f>(INDEX('Race 37'!$E$8:$E$200,(MATCH($B425,'Race 37'!$B$8:$B$200,0)),1))*100</f>
        <v>53.505704817857882</v>
      </c>
      <c r="AT425" s="70"/>
      <c r="AU425" s="74">
        <f>(INDEX('Race 39'!$E$8:$E$200,(MATCH($B425,'Race 39'!$B$8:$B$200,0)),1))*100</f>
        <v>61.954456421565531</v>
      </c>
      <c r="AV425" s="70"/>
      <c r="AW425" s="74"/>
      <c r="AX425" s="8"/>
      <c r="AY425" s="36"/>
      <c r="AZ425" s="7">
        <f>(INDEX('Race 44'!$E$8:$E$200,(MATCH($B425,'Race 44'!$B$8:$B$200,0)),1))*100</f>
        <v>68.952379809697263</v>
      </c>
      <c r="BA425" s="7"/>
      <c r="BB425" s="7">
        <f>(INDEX('Race 46'!$E$8:$E$200,(MATCH($B425,'Race 46'!$B$8:$B$200,0)),1))*100</f>
        <v>62.824141823728752</v>
      </c>
      <c r="BC425" s="7"/>
      <c r="BD425" s="7"/>
      <c r="BE425" s="7">
        <f>(INDEX('Race 49'!$E$8:$E$200,(MATCH($B425,'Race 49'!$B$8:$B$200,0)),1))*100</f>
        <v>57.622241880671012</v>
      </c>
      <c r="BF425" s="7"/>
      <c r="BG425" s="7"/>
      <c r="BH425" s="7"/>
      <c r="BI425" s="7"/>
      <c r="BJ425" s="7"/>
      <c r="BK425" s="7"/>
      <c r="BL425" s="7"/>
      <c r="BM425" s="7"/>
      <c r="BN425" s="74"/>
      <c r="BO425" s="7"/>
      <c r="BP425" s="7">
        <f>(INDEX('Race 60'!$E$8:$E$200,(MATCH($B425,'Race 60'!$B$8:$B$200,0)),1))*100</f>
        <v>64.426404266415744</v>
      </c>
      <c r="BQ425" s="7">
        <f>(INDEX('Race 61'!$E$8:$E$200,(MATCH($B425,'Race 61'!$B$8:$B$200,0)),1))*100</f>
        <v>49.161381388506662</v>
      </c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101"/>
      <c r="CL425" s="74"/>
      <c r="CM425" s="74"/>
      <c r="CN425" s="74"/>
      <c r="CO425" s="70"/>
      <c r="CP425" s="74"/>
      <c r="CQ425" s="7"/>
      <c r="CR425" s="74"/>
      <c r="CS425" s="74"/>
      <c r="CT425" s="74"/>
      <c r="CU425" s="74"/>
      <c r="CV425" s="7"/>
      <c r="CW425" s="7"/>
      <c r="CX425" s="7"/>
      <c r="CY425" s="7"/>
      <c r="CZ425" s="7"/>
      <c r="DA425" s="7"/>
      <c r="DB425" s="7"/>
      <c r="DC425" s="7"/>
      <c r="DD425" s="7"/>
      <c r="DE425" s="74"/>
      <c r="DF425" s="74"/>
      <c r="DG425" s="74"/>
      <c r="DH425" s="7"/>
      <c r="DI425" s="74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8">
        <f t="shared" si="89"/>
        <v>59.778101486920399</v>
      </c>
      <c r="EA425" s="3" t="str">
        <f t="shared" si="90"/>
        <v>Vile, Peter</v>
      </c>
      <c r="EB425" s="2">
        <f t="shared" si="91"/>
        <v>1</v>
      </c>
      <c r="EC425" s="112">
        <f t="shared" si="102"/>
        <v>55.369402232529268</v>
      </c>
      <c r="ED425" s="29">
        <f t="shared" si="92"/>
        <v>62.136880008279874</v>
      </c>
      <c r="EE425" s="2">
        <f t="shared" si="93"/>
        <v>0</v>
      </c>
      <c r="EF425" s="46">
        <f t="shared" si="94"/>
        <v>7</v>
      </c>
      <c r="EG425" s="46">
        <f t="shared" si="95"/>
        <v>7</v>
      </c>
      <c r="EH425" s="29" t="str">
        <f t="shared" si="96"/>
        <v>VT</v>
      </c>
      <c r="EI425" s="29">
        <f>IF(COUNT(I425:Y425)&lt;5,DZ425,SUMPRODUCT(LARGE(I425:Y425,{1,2,3,4,5}))/5)</f>
        <v>59.778101486920399</v>
      </c>
      <c r="EJ425" s="29">
        <f>IF(COUNT(I425:AX425)&lt;5,DZ425,SUMPRODUCT(LARGE(I425:AX425,{1,2,3,4,5}))/5)</f>
        <v>59.778101486920399</v>
      </c>
      <c r="EK425" s="29">
        <f>IF(COUNT(I425:DY425)&lt;5,AVERAGE(I425:DY425),SUMPRODUCT(LARGE(I425:DY425,{1,2,3,4,5}))/5)</f>
        <v>63.155924840415665</v>
      </c>
      <c r="EL425" s="29">
        <f t="shared" si="97"/>
        <v>62.136880008279874</v>
      </c>
      <c r="EM425" s="116" t="str">
        <f t="shared" si="98"/>
        <v>Vile, Peter</v>
      </c>
      <c r="EQ425"/>
    </row>
    <row r="426" spans="1:147" x14ac:dyDescent="0.25">
      <c r="A426" s="59">
        <f t="shared" si="99"/>
        <v>423</v>
      </c>
      <c r="B426" s="32" t="s">
        <v>1171</v>
      </c>
      <c r="C426" s="5" t="s">
        <v>6</v>
      </c>
      <c r="D426" s="6" t="s">
        <v>88</v>
      </c>
      <c r="E426" s="6">
        <v>0</v>
      </c>
      <c r="F426" s="6">
        <v>0</v>
      </c>
      <c r="G426" s="5">
        <f t="shared" si="101"/>
        <v>2</v>
      </c>
      <c r="H426" s="37">
        <v>0</v>
      </c>
      <c r="I426" s="36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227"/>
      <c r="Z426" s="228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4"/>
      <c r="AP426" s="7"/>
      <c r="AQ426" s="74"/>
      <c r="AR426" s="70"/>
      <c r="AS426" s="7"/>
      <c r="AT426" s="70"/>
      <c r="AU426" s="7"/>
      <c r="AV426" s="70"/>
      <c r="AW426" s="7"/>
      <c r="AX426" s="183"/>
      <c r="AY426" s="107"/>
      <c r="AZ426" s="7"/>
      <c r="BA426" s="7"/>
      <c r="BB426" s="7"/>
      <c r="BC426" s="7"/>
      <c r="BD426" s="7"/>
      <c r="BE426" s="7"/>
      <c r="BF426" s="7"/>
      <c r="BG426" s="7">
        <f>(INDEX('Race 51'!$E$8:$E$200,(MATCH($B426,'Race 51'!$B$8:$B$200,0)),1))*100</f>
        <v>50.348334991524865</v>
      </c>
      <c r="BH426" s="7"/>
      <c r="BI426" s="7"/>
      <c r="BJ426" s="7"/>
      <c r="BK426" s="7"/>
      <c r="BL426" s="7"/>
      <c r="BM426" s="7"/>
      <c r="BN426" s="74"/>
      <c r="BO426" s="7">
        <f>(INDEX('Race 59'!$E$8:$E$200,(MATCH($B426,'Race 59'!$B$8:$B$200,0)),1))*100</f>
        <v>49.829531745087387</v>
      </c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4"/>
      <c r="CF426" s="74"/>
      <c r="CG426" s="7"/>
      <c r="CH426" s="7"/>
      <c r="CI426" s="7"/>
      <c r="CJ426" s="7"/>
      <c r="CK426" s="101"/>
      <c r="CL426" s="74"/>
      <c r="CM426" s="74"/>
      <c r="CN426" s="74"/>
      <c r="CO426" s="70"/>
      <c r="CP426" s="74"/>
      <c r="CQ426" s="7"/>
      <c r="CR426" s="74"/>
      <c r="CS426" s="74"/>
      <c r="CT426" s="74"/>
      <c r="CU426" s="74"/>
      <c r="CV426" s="7"/>
      <c r="CW426" s="7"/>
      <c r="CX426" s="7"/>
      <c r="CY426" s="7"/>
      <c r="CZ426" s="7"/>
      <c r="DA426" s="7"/>
      <c r="DB426" s="7"/>
      <c r="DC426" s="7"/>
      <c r="DD426" s="7"/>
      <c r="DE426" s="74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8">
        <f t="shared" si="89"/>
        <v>50.08893336830613</v>
      </c>
      <c r="EA426" s="3" t="str">
        <f t="shared" si="90"/>
        <v>Vrakas, Andrew</v>
      </c>
      <c r="EB426" s="2">
        <f t="shared" si="91"/>
        <v>1</v>
      </c>
      <c r="EC426" s="29">
        <v>0</v>
      </c>
      <c r="ED426" s="29">
        <f t="shared" si="92"/>
        <v>49.280729406046966</v>
      </c>
      <c r="EE426" s="2">
        <f t="shared" si="93"/>
        <v>0</v>
      </c>
      <c r="EF426" s="46">
        <f t="shared" si="94"/>
        <v>2</v>
      </c>
      <c r="EG426" s="46">
        <f t="shared" si="95"/>
        <v>2</v>
      </c>
      <c r="EH426" s="29" t="str">
        <f t="shared" si="96"/>
        <v>WI</v>
      </c>
      <c r="EI426" s="29">
        <f>IF(COUNT(I426:AD426)&lt;5,DZ426,SUMPRODUCT(LARGE(I426:AD426,{1,2,3,4,5}))/5)</f>
        <v>50.08893336830613</v>
      </c>
      <c r="EJ426" s="29">
        <f>IF(COUNT(I426:AX426)&lt;5,DZ426,SUMPRODUCT(LARGE(I426:AX426,{1,2,3,4,5}))/5)</f>
        <v>50.08893336830613</v>
      </c>
      <c r="EK426" s="112">
        <f>IF(COUNT(I426:DY426)&lt;5,AVERAGE(I426:DY426),SUMPRODUCT(LARGE(I426:DY426,{1,2,3,4,5}))/5)</f>
        <v>50.08893336830613</v>
      </c>
      <c r="EL426" s="29">
        <f t="shared" si="97"/>
        <v>49.280729406046966</v>
      </c>
      <c r="EM426" s="116" t="str">
        <f t="shared" si="98"/>
        <v>Vrakas, Andrew</v>
      </c>
      <c r="EQ426"/>
    </row>
    <row r="427" spans="1:147" x14ac:dyDescent="0.25">
      <c r="A427" s="59">
        <f t="shared" si="99"/>
        <v>424</v>
      </c>
      <c r="B427" s="32" t="s">
        <v>728</v>
      </c>
      <c r="C427" s="5" t="s">
        <v>6</v>
      </c>
      <c r="D427" s="6" t="s">
        <v>64</v>
      </c>
      <c r="E427" s="6">
        <v>43.019579337649425</v>
      </c>
      <c r="F427" s="6">
        <v>43.019579337649425</v>
      </c>
      <c r="G427" s="5">
        <f t="shared" si="101"/>
        <v>0</v>
      </c>
      <c r="H427" s="37">
        <v>43.019579337649425</v>
      </c>
      <c r="I427" s="36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227"/>
      <c r="Z427" s="228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4"/>
      <c r="AP427" s="7"/>
      <c r="AQ427" s="74"/>
      <c r="AR427" s="70"/>
      <c r="AS427" s="7"/>
      <c r="AT427" s="70"/>
      <c r="AU427" s="7"/>
      <c r="AV427" s="70"/>
      <c r="AW427" s="7"/>
      <c r="AX427" s="8"/>
      <c r="AY427" s="36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4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101"/>
      <c r="CL427" s="74"/>
      <c r="CM427" s="74"/>
      <c r="CN427" s="74"/>
      <c r="CO427" s="70"/>
      <c r="CP427" s="74"/>
      <c r="CQ427" s="7"/>
      <c r="CR427" s="74"/>
      <c r="CS427" s="74"/>
      <c r="CT427" s="74"/>
      <c r="CU427" s="74"/>
      <c r="CV427" s="7"/>
      <c r="CW427" s="7"/>
      <c r="CX427" s="7"/>
      <c r="CY427" s="7"/>
      <c r="CZ427" s="7"/>
      <c r="DA427" s="7"/>
      <c r="DB427" s="7"/>
      <c r="DC427" s="7"/>
      <c r="DD427" s="7"/>
      <c r="DE427" s="74"/>
      <c r="DF427" s="74"/>
      <c r="DG427" s="74"/>
      <c r="DH427" s="7"/>
      <c r="DI427" s="74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8">
        <f t="shared" si="89"/>
        <v>43.019579337649425</v>
      </c>
      <c r="EA427" s="3" t="str">
        <f t="shared" si="90"/>
        <v>Wade, Christopher</v>
      </c>
      <c r="EB427" s="2">
        <f t="shared" si="91"/>
        <v>0</v>
      </c>
      <c r="EC427" s="112">
        <f t="shared" ref="EC427:EC452" si="103">H427</f>
        <v>43.019579337649425</v>
      </c>
      <c r="ED427" s="29">
        <f t="shared" si="92"/>
        <v>0</v>
      </c>
      <c r="EE427" s="2">
        <f t="shared" si="93"/>
        <v>0</v>
      </c>
      <c r="EF427" s="46">
        <f t="shared" si="94"/>
        <v>0</v>
      </c>
      <c r="EG427" s="46">
        <f t="shared" si="95"/>
        <v>0</v>
      </c>
      <c r="EH427" s="2" t="str">
        <f t="shared" si="96"/>
        <v>ME</v>
      </c>
      <c r="EI427" s="29">
        <f>IF(COUNT(I427:Y427)&lt;5,DZ427,SUMPRODUCT(LARGE(I427:Y427,{1,2,3,4,5}))/5)</f>
        <v>43.019579337649425</v>
      </c>
      <c r="EJ427" s="29">
        <f>IF(COUNT(I427:AX427)&lt;5,DZ427,SUMPRODUCT(LARGE(I427:AX427,{1,2,3,4,5}))/5)</f>
        <v>43.019579337649425</v>
      </c>
      <c r="EK427" s="112">
        <f>IF(EG427&lt;0,AVERAGE(I427:DY427),0)</f>
        <v>0</v>
      </c>
      <c r="EL427" s="29">
        <f t="shared" si="97"/>
        <v>0</v>
      </c>
      <c r="EM427" s="116" t="str">
        <f t="shared" si="98"/>
        <v>Wade, Christopher</v>
      </c>
      <c r="EQ427"/>
    </row>
    <row r="428" spans="1:147" x14ac:dyDescent="0.25">
      <c r="A428" s="59">
        <f t="shared" si="99"/>
        <v>425</v>
      </c>
      <c r="B428" s="32" t="s">
        <v>947</v>
      </c>
      <c r="C428" s="106" t="s">
        <v>6</v>
      </c>
      <c r="D428" s="187" t="s">
        <v>69</v>
      </c>
      <c r="E428" s="6">
        <v>68.566123344222362</v>
      </c>
      <c r="F428" s="6">
        <v>75.795752491003284</v>
      </c>
      <c r="G428" s="5">
        <f t="shared" si="101"/>
        <v>9</v>
      </c>
      <c r="H428" s="37">
        <v>0</v>
      </c>
      <c r="I428" s="107">
        <f>(INDEX('Race 1'!$E$8:$E$200,(MATCH($B428,'Race 1'!$B$8:$B$200,0)),1))*100</f>
        <v>68.566123344222362</v>
      </c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229"/>
      <c r="Z428" s="230"/>
      <c r="AA428" s="74"/>
      <c r="AB428" s="74"/>
      <c r="AC428" s="74"/>
      <c r="AD428" s="74"/>
      <c r="AE428" s="74"/>
      <c r="AF428" s="74"/>
      <c r="AG428" s="74"/>
      <c r="AH428" s="74"/>
      <c r="AI428" s="74"/>
      <c r="AJ428" s="74"/>
      <c r="AK428" s="74"/>
      <c r="AL428" s="74"/>
      <c r="AM428" s="74">
        <f>(INDEX('Race 31'!$E$8:$E$200,(MATCH($B428,'Race 31'!$B$8:$B$200,0)),1))*100</f>
        <v>76.437338438349855</v>
      </c>
      <c r="AN428" s="74">
        <f>(INDEX('Race 32'!$E$8:$E$200,(MATCH($B428,'Race 32'!$B$8:$B$200,0)),1))*100</f>
        <v>82.383795690437651</v>
      </c>
      <c r="AO428" s="74"/>
      <c r="AP428" s="74"/>
      <c r="AQ428" s="74"/>
      <c r="AR428" s="101"/>
      <c r="AS428" s="74"/>
      <c r="AT428" s="101"/>
      <c r="AU428" s="74"/>
      <c r="AV428" s="101"/>
      <c r="AW428" s="74"/>
      <c r="AX428" s="8"/>
      <c r="AY428" s="36"/>
      <c r="AZ428" s="74"/>
      <c r="BA428" s="74"/>
      <c r="BB428" s="74"/>
      <c r="BC428" s="74"/>
      <c r="BD428" s="7"/>
      <c r="BE428" s="7"/>
      <c r="BF428" s="74"/>
      <c r="BG428" s="74"/>
      <c r="BH428" s="74"/>
      <c r="BI428" s="74"/>
      <c r="BJ428" s="74"/>
      <c r="BK428" s="74"/>
      <c r="BL428" s="74"/>
      <c r="BM428" s="74"/>
      <c r="BN428" s="74"/>
      <c r="BO428" s="74"/>
      <c r="BP428" s="7"/>
      <c r="BQ428" s="7"/>
      <c r="BR428" s="74"/>
      <c r="BS428" s="7"/>
      <c r="BT428" s="7"/>
      <c r="BU428" s="74"/>
      <c r="BV428" s="74"/>
      <c r="BW428" s="74"/>
      <c r="BX428" s="74"/>
      <c r="BY428" s="74"/>
      <c r="BZ428" s="74"/>
      <c r="CA428" s="7">
        <f>(INDEX('Race 71'!$E$8:$E$200,(MATCH($B428,'Race 71'!$B$8:$B$200,0)),1))*100</f>
        <v>75.876651845419858</v>
      </c>
      <c r="CB428" s="74"/>
      <c r="CC428" s="74"/>
      <c r="CD428" s="74"/>
      <c r="CE428" s="74"/>
      <c r="CF428" s="74"/>
      <c r="CG428" s="74"/>
      <c r="CH428" s="74"/>
      <c r="CI428" s="74"/>
      <c r="CJ428" s="74"/>
      <c r="CK428" s="101">
        <f>(INDEX('Race 81'!$E$8:$E$200,(MATCH($B428,'Race 81'!$B$8:$B$200,0)),1))*100</f>
        <v>73.871543262650718</v>
      </c>
      <c r="CL428" s="74">
        <f>(INDEX('Race 82'!$E$8:$E$200,(MATCH($B428,'Race 82'!$B$8:$B$200,0)),1))*100</f>
        <v>68.057723133166775</v>
      </c>
      <c r="CM428" s="74"/>
      <c r="CN428" s="74"/>
      <c r="CO428" s="101">
        <f>(INDEX('Race 85'!$E$8:$E$200,(MATCH($B428,'Race 85'!$B$8:$B$200,0)),1))*100</f>
        <v>68.029942669362271</v>
      </c>
      <c r="CP428" s="74"/>
      <c r="CQ428" s="74">
        <f>(INDEX('Race 87'!$E$8:$E$200,(MATCH($B428,'Race 87'!$B$8:$B$200,0)),1))*100</f>
        <v>68.887914666991961</v>
      </c>
      <c r="CR428" s="74"/>
      <c r="CS428" s="74"/>
      <c r="CT428" s="74"/>
      <c r="CU428" s="74"/>
      <c r="CV428" s="74">
        <f>(INDEX('Race 92'!$E$8:$E$200,(MATCH($B428,'Race 92'!$B$8:$B$200,0)),1))*100</f>
        <v>61.029875545614097</v>
      </c>
      <c r="CW428" s="74"/>
      <c r="CX428" s="7"/>
      <c r="CY428" s="7"/>
      <c r="CZ428" s="74"/>
      <c r="DA428" s="74"/>
      <c r="DB428" s="74"/>
      <c r="DC428" s="74"/>
      <c r="DD428" s="74"/>
      <c r="DE428" s="74"/>
      <c r="DF428" s="74"/>
      <c r="DG428" s="74"/>
      <c r="DH428" s="74"/>
      <c r="DI428" s="74"/>
      <c r="DJ428" s="74"/>
      <c r="DK428" s="74"/>
      <c r="DL428" s="74"/>
      <c r="DM428" s="74"/>
      <c r="DN428" s="74"/>
      <c r="DO428" s="74"/>
      <c r="DP428" s="74"/>
      <c r="DQ428" s="74"/>
      <c r="DR428" s="74"/>
      <c r="DS428" s="74"/>
      <c r="DT428" s="74"/>
      <c r="DU428" s="74"/>
      <c r="DV428" s="74"/>
      <c r="DW428" s="74"/>
      <c r="DX428" s="74"/>
      <c r="DY428" s="74"/>
      <c r="DZ428" s="8">
        <f t="shared" si="89"/>
        <v>71.460100955135061</v>
      </c>
      <c r="EA428" s="3" t="str">
        <f t="shared" si="90"/>
        <v>WAICHLER, Scott</v>
      </c>
      <c r="EB428" s="2">
        <f t="shared" si="91"/>
        <v>1</v>
      </c>
      <c r="EC428" s="112">
        <f t="shared" si="103"/>
        <v>0</v>
      </c>
      <c r="ED428" s="29">
        <f t="shared" si="92"/>
        <v>74.273365585173181</v>
      </c>
      <c r="EE428" s="2">
        <f t="shared" si="93"/>
        <v>1</v>
      </c>
      <c r="EF428" s="46">
        <f t="shared" si="94"/>
        <v>3</v>
      </c>
      <c r="EG428" s="46">
        <f t="shared" si="95"/>
        <v>9</v>
      </c>
      <c r="EH428" s="29" t="str">
        <f t="shared" si="96"/>
        <v>WA</v>
      </c>
      <c r="EI428" s="29">
        <f>IF(COUNT(I428:Y428)&lt;5,DZ428,SUMPRODUCT(LARGE(I428:Y428,{1,2,3,4,5}))/5)</f>
        <v>71.460100955135061</v>
      </c>
      <c r="EJ428" s="29">
        <f>IF(COUNT(I428:AX428)&lt;5,DZ428,SUMPRODUCT(LARGE(I428:AX428,{1,2,3,4,5}))/5)</f>
        <v>71.460100955135061</v>
      </c>
      <c r="EK428" s="29">
        <f>IF(COUNT(I428:DY428)&lt;5,AVERAGE(I428:DY428),SUMPRODUCT(LARGE(I428:DY428,{1,2,3,4,5}))/5)</f>
        <v>75.491448780770014</v>
      </c>
      <c r="EL428" s="29">
        <f t="shared" si="97"/>
        <v>74.273365585173181</v>
      </c>
      <c r="EM428" s="116" t="str">
        <f t="shared" si="98"/>
        <v>WAICHLER, Scott</v>
      </c>
      <c r="EQ428"/>
    </row>
    <row r="429" spans="1:147" x14ac:dyDescent="0.25">
      <c r="A429" s="59">
        <f t="shared" si="99"/>
        <v>426</v>
      </c>
      <c r="B429" s="4" t="s">
        <v>11</v>
      </c>
      <c r="C429" s="5" t="s">
        <v>6</v>
      </c>
      <c r="D429" s="5" t="s">
        <v>65</v>
      </c>
      <c r="E429" s="6">
        <v>66.843409203160235</v>
      </c>
      <c r="F429" s="6">
        <v>67.873704983306368</v>
      </c>
      <c r="G429" s="5">
        <f t="shared" si="101"/>
        <v>5</v>
      </c>
      <c r="H429" s="99">
        <v>66.843409203160235</v>
      </c>
      <c r="I429" s="107"/>
      <c r="J429" s="7"/>
      <c r="K429" s="74"/>
      <c r="L429" s="7"/>
      <c r="M429" s="74"/>
      <c r="N429" s="74"/>
      <c r="O429" s="7"/>
      <c r="P429" s="74"/>
      <c r="Q429" s="74"/>
      <c r="R429" s="74"/>
      <c r="S429" s="74"/>
      <c r="T429" s="7"/>
      <c r="U429" s="7"/>
      <c r="V429" s="74"/>
      <c r="W429" s="7"/>
      <c r="X429" s="74"/>
      <c r="Y429" s="227"/>
      <c r="Z429" s="228"/>
      <c r="AA429" s="74"/>
      <c r="AB429" s="74"/>
      <c r="AC429" s="74"/>
      <c r="AD429" s="74"/>
      <c r="AE429" s="7"/>
      <c r="AF429" s="74"/>
      <c r="AG429" s="74"/>
      <c r="AH429" s="7"/>
      <c r="AI429" s="7"/>
      <c r="AJ429" s="7"/>
      <c r="AK429" s="7"/>
      <c r="AL429" s="7"/>
      <c r="AM429" s="7"/>
      <c r="AN429" s="7"/>
      <c r="AO429" s="74"/>
      <c r="AP429" s="7"/>
      <c r="AQ429" s="74"/>
      <c r="AR429" s="101">
        <f>(INDEX('Race 36'!$E$8:$E$200,(MATCH($B429,'Race 36'!$B$8:$B$200,0)),1))*100</f>
        <v>67.151741521920201</v>
      </c>
      <c r="AS429" s="7"/>
      <c r="AT429" s="101">
        <f>(INDEX('Race 38'!$E$8:$E$200,(MATCH($B429,'Race 38'!$B$8:$B$200,0)),1))*100</f>
        <v>68.555531515744633</v>
      </c>
      <c r="AU429" s="7"/>
      <c r="AV429" s="101"/>
      <c r="AW429" s="7"/>
      <c r="AX429" s="8"/>
      <c r="AY429" s="36">
        <f>(INDEX('Race 43'!$E$8:$E$200,(MATCH($B429,'Race 43'!$B$8:$B$200,0)),1))*100</f>
        <v>68.783598979338706</v>
      </c>
      <c r="AZ429" s="7"/>
      <c r="BA429" s="74"/>
      <c r="BB429" s="74">
        <f>(INDEX('Race 46'!$E$8:$E$200,(MATCH($B429,'Race 46'!$B$8:$B$200,0)),1))*100</f>
        <v>71.807690606252265</v>
      </c>
      <c r="BC429" s="74"/>
      <c r="BD429" s="7"/>
      <c r="BE429" s="7">
        <f>(INDEX('Race 49'!$E$8:$E$200,(MATCH($B429,'Race 49'!$B$8:$B$200,0)),1))*100</f>
        <v>70.860117970044868</v>
      </c>
      <c r="BF429" s="74"/>
      <c r="BG429" s="74"/>
      <c r="BH429" s="7"/>
      <c r="BI429" s="74"/>
      <c r="BJ429" s="74"/>
      <c r="BK429" s="7"/>
      <c r="BL429" s="74"/>
      <c r="BM429" s="7"/>
      <c r="BN429" s="74"/>
      <c r="BO429" s="74"/>
      <c r="BP429" s="7"/>
      <c r="BQ429" s="7"/>
      <c r="BR429" s="74"/>
      <c r="BS429" s="7"/>
      <c r="BT429" s="7"/>
      <c r="BU429" s="74"/>
      <c r="BV429" s="74"/>
      <c r="BW429" s="74"/>
      <c r="BX429" s="74"/>
      <c r="BY429" s="74"/>
      <c r="BZ429" s="74"/>
      <c r="CA429" s="7"/>
      <c r="CB429" s="7"/>
      <c r="CC429" s="74"/>
      <c r="CD429" s="74"/>
      <c r="CE429" s="7"/>
      <c r="CF429" s="74"/>
      <c r="CG429" s="74"/>
      <c r="CH429" s="7"/>
      <c r="CI429" s="7"/>
      <c r="CJ429" s="74"/>
      <c r="CK429" s="101"/>
      <c r="CL429" s="74"/>
      <c r="CM429" s="74"/>
      <c r="CN429" s="74"/>
      <c r="CO429" s="101"/>
      <c r="CP429" s="7"/>
      <c r="CQ429" s="74"/>
      <c r="CR429" s="74"/>
      <c r="CS429" s="74"/>
      <c r="CT429" s="7"/>
      <c r="CU429" s="74"/>
      <c r="CV429" s="74"/>
      <c r="CW429" s="74"/>
      <c r="CX429" s="7"/>
      <c r="CY429" s="7"/>
      <c r="CZ429" s="74"/>
      <c r="DA429" s="74"/>
      <c r="DB429" s="74"/>
      <c r="DC429" s="74"/>
      <c r="DD429" s="74"/>
      <c r="DE429" s="74"/>
      <c r="DF429" s="74"/>
      <c r="DG429" s="74"/>
      <c r="DH429" s="74"/>
      <c r="DI429" s="74"/>
      <c r="DJ429" s="74"/>
      <c r="DK429" s="74"/>
      <c r="DL429" s="74"/>
      <c r="DM429" s="74"/>
      <c r="DN429" s="74"/>
      <c r="DO429" s="74"/>
      <c r="DP429" s="7"/>
      <c r="DQ429" s="74"/>
      <c r="DR429" s="7"/>
      <c r="DS429" s="7"/>
      <c r="DT429" s="74"/>
      <c r="DU429" s="74"/>
      <c r="DV429" s="74"/>
      <c r="DW429" s="74"/>
      <c r="DX429" s="74"/>
      <c r="DY429" s="74"/>
      <c r="DZ429" s="8">
        <f t="shared" si="89"/>
        <v>69.43173611866014</v>
      </c>
      <c r="EA429" s="3" t="str">
        <f t="shared" si="90"/>
        <v>Walker, Eli</v>
      </c>
      <c r="EB429" s="2">
        <f t="shared" si="91"/>
        <v>1</v>
      </c>
      <c r="EC429" s="112">
        <f t="shared" si="103"/>
        <v>66.843409203160235</v>
      </c>
      <c r="ED429" s="29">
        <f t="shared" si="92"/>
        <v>68.311428688174075</v>
      </c>
      <c r="EE429" s="2">
        <f t="shared" si="93"/>
        <v>0</v>
      </c>
      <c r="EF429" s="46">
        <f t="shared" si="94"/>
        <v>5</v>
      </c>
      <c r="EG429" s="46">
        <f t="shared" si="95"/>
        <v>5</v>
      </c>
      <c r="EH429" s="29" t="str">
        <f t="shared" si="96"/>
        <v>NH</v>
      </c>
      <c r="EI429" s="29">
        <f>IF(COUNT(I429:Y429)&lt;5,DZ429,SUMPRODUCT(LARGE(I429:Y429,{1,2,3,4,5}))/5)</f>
        <v>69.43173611866014</v>
      </c>
      <c r="EJ429" s="29">
        <f>IF(COUNT(I429:AX429)&lt;5,DZ429,SUMPRODUCT(LARGE(I429:AX429,{1,2,3,4,5}))/5)</f>
        <v>69.43173611866014</v>
      </c>
      <c r="EK429" s="29">
        <f>IF(COUNT(I429:DY429)&lt;5,AVERAGE(I429:DY429),SUMPRODUCT(LARGE(I429:DY429,{1,2,3,4,5}))/5)</f>
        <v>69.43173611866014</v>
      </c>
      <c r="EL429" s="29">
        <f t="shared" si="97"/>
        <v>68.311428688174075</v>
      </c>
      <c r="EM429" s="116" t="str">
        <f t="shared" si="98"/>
        <v>Walker, Eli</v>
      </c>
      <c r="EQ429"/>
    </row>
    <row r="430" spans="1:147" x14ac:dyDescent="0.25">
      <c r="A430" s="59">
        <f t="shared" si="99"/>
        <v>427</v>
      </c>
      <c r="B430" s="32" t="s">
        <v>1156</v>
      </c>
      <c r="C430" s="5" t="s">
        <v>6</v>
      </c>
      <c r="D430" s="6" t="s">
        <v>69</v>
      </c>
      <c r="E430" s="6">
        <v>0</v>
      </c>
      <c r="F430" s="6">
        <v>45.350198032662384</v>
      </c>
      <c r="G430" s="5">
        <f t="shared" si="101"/>
        <v>2</v>
      </c>
      <c r="H430" s="37">
        <v>0</v>
      </c>
      <c r="I430" s="36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227"/>
      <c r="Z430" s="228"/>
      <c r="AA430" s="7"/>
      <c r="AB430" s="7"/>
      <c r="AC430" s="7"/>
      <c r="AD430" s="74"/>
      <c r="AE430" s="74"/>
      <c r="AF430" s="7"/>
      <c r="AG430" s="7"/>
      <c r="AH430" s="7"/>
      <c r="AI430" s="7"/>
      <c r="AJ430" s="7"/>
      <c r="AK430" s="7"/>
      <c r="AL430" s="7"/>
      <c r="AM430" s="7"/>
      <c r="AN430" s="7"/>
      <c r="AO430" s="74"/>
      <c r="AP430" s="7"/>
      <c r="AQ430" s="74"/>
      <c r="AR430" s="70"/>
      <c r="AS430" s="7"/>
      <c r="AT430" s="70"/>
      <c r="AU430" s="7"/>
      <c r="AV430" s="70"/>
      <c r="AW430" s="7">
        <f>(INDEX('Race 41'!$E$8:$E$200,(MATCH($B430,'Race 41'!$B$8:$B$200,0)),1))*100</f>
        <v>45.237127533334053</v>
      </c>
      <c r="AX430" s="8">
        <f>(INDEX('Race 42'!$E$8:$E$200,(MATCH($B430,'Race 42'!$B$8:$B$200,0)),1))*100</f>
        <v>45.463268531990714</v>
      </c>
      <c r="AY430" s="36"/>
      <c r="AZ430" s="7"/>
      <c r="BA430" s="7"/>
      <c r="BB430" s="7"/>
      <c r="BC430" s="74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101"/>
      <c r="CL430" s="74"/>
      <c r="CM430" s="74"/>
      <c r="CN430" s="74"/>
      <c r="CO430" s="70"/>
      <c r="CP430" s="74"/>
      <c r="CQ430" s="7"/>
      <c r="CR430" s="74"/>
      <c r="CS430" s="74"/>
      <c r="CT430" s="74"/>
      <c r="CU430" s="74"/>
      <c r="CV430" s="74"/>
      <c r="CW430" s="7"/>
      <c r="CX430" s="7"/>
      <c r="CY430" s="7"/>
      <c r="CZ430" s="74"/>
      <c r="DA430" s="7"/>
      <c r="DB430" s="74"/>
      <c r="DC430" s="7"/>
      <c r="DD430" s="7"/>
      <c r="DE430" s="74"/>
      <c r="DF430" s="74"/>
      <c r="DG430" s="74"/>
      <c r="DH430" s="74"/>
      <c r="DI430" s="74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8">
        <f t="shared" si="89"/>
        <v>45.350198032662384</v>
      </c>
      <c r="EA430" s="3" t="str">
        <f t="shared" si="90"/>
        <v>Walker, Tucker</v>
      </c>
      <c r="EB430" s="2">
        <f t="shared" si="91"/>
        <v>1</v>
      </c>
      <c r="EC430" s="112">
        <f t="shared" si="103"/>
        <v>0</v>
      </c>
      <c r="ED430" s="29">
        <f t="shared" si="92"/>
        <v>44.618455364681601</v>
      </c>
      <c r="EE430" s="2">
        <f t="shared" si="93"/>
        <v>0</v>
      </c>
      <c r="EF430" s="46">
        <f t="shared" si="94"/>
        <v>2</v>
      </c>
      <c r="EG430" s="46">
        <f t="shared" si="95"/>
        <v>2</v>
      </c>
      <c r="EH430" s="2" t="str">
        <f t="shared" si="96"/>
        <v>WA</v>
      </c>
      <c r="EI430" s="29">
        <f>IF(COUNT(I430:AD430)&lt;5,DZ430,SUMPRODUCT(LARGE(I430:AD430,{1,2,3,4,5}))/5)</f>
        <v>45.350198032662384</v>
      </c>
      <c r="EJ430" s="29">
        <f>IF(COUNT(I430:AX430)&lt;5,DZ430,SUMPRODUCT(LARGE(I430:AX430,{1,2,3,4,5}))/5)</f>
        <v>45.350198032662384</v>
      </c>
      <c r="EK430" s="112">
        <f>IF(COUNT(I430:DY430)&lt;5,AVERAGE(I430:DY430),SUMPRODUCT(LARGE(I430:DY430,{1,2,3,4,5}))/5)</f>
        <v>45.350198032662384</v>
      </c>
      <c r="EL430" s="29">
        <f t="shared" si="97"/>
        <v>44.618455364681601</v>
      </c>
      <c r="EM430" s="116" t="str">
        <f t="shared" si="98"/>
        <v>Walker, Tucker</v>
      </c>
      <c r="EQ430"/>
    </row>
    <row r="431" spans="1:147" x14ac:dyDescent="0.25">
      <c r="A431" s="59">
        <f t="shared" si="99"/>
        <v>428</v>
      </c>
      <c r="B431" s="32" t="s">
        <v>814</v>
      </c>
      <c r="C431" s="5" t="s">
        <v>6</v>
      </c>
      <c r="D431" s="6" t="s">
        <v>88</v>
      </c>
      <c r="E431" s="6">
        <v>42.871754071716111</v>
      </c>
      <c r="F431" s="6">
        <v>43.471840752865361</v>
      </c>
      <c r="G431" s="5">
        <f t="shared" si="101"/>
        <v>4</v>
      </c>
      <c r="H431" s="37">
        <v>42.871754071716111</v>
      </c>
      <c r="I431" s="36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227"/>
      <c r="Z431" s="228"/>
      <c r="AA431" s="7"/>
      <c r="AB431" s="7"/>
      <c r="AC431" s="74">
        <f>(INDEX('Race 21'!$E$8:$E$200,(MATCH($B431,'Race 21'!$B$8:$B$200,0)),1))*100</f>
        <v>44.278352748666698</v>
      </c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4">
        <f>(INDEX('Race 33'!$E$8:$E$200,(MATCH($B431,'Race 33'!$B$8:$B$200,0)),1))*100</f>
        <v>42.665328757064017</v>
      </c>
      <c r="AP431" s="7"/>
      <c r="AQ431" s="74"/>
      <c r="AR431" s="70"/>
      <c r="AS431" s="7"/>
      <c r="AT431" s="70"/>
      <c r="AU431" s="7"/>
      <c r="AV431" s="70"/>
      <c r="AW431" s="7"/>
      <c r="AX431" s="8"/>
      <c r="AY431" s="36"/>
      <c r="AZ431" s="7"/>
      <c r="BA431" s="7"/>
      <c r="BB431" s="7"/>
      <c r="BC431" s="7"/>
      <c r="BD431" s="7"/>
      <c r="BE431" s="7"/>
      <c r="BF431" s="7"/>
      <c r="BG431" s="7">
        <f>(INDEX('Race 51'!$E$8:$E$200,(MATCH($B431,'Race 51'!$B$8:$B$200,0)),1))*100</f>
        <v>41.000346255136492</v>
      </c>
      <c r="BH431" s="7">
        <f>(INDEX('Race 52'!$E$8:$E$200,(MATCH($B431,'Race 52'!$B$8:$B$200,0)),1))*100</f>
        <v>40.818168134443731</v>
      </c>
      <c r="BI431" s="7"/>
      <c r="BJ431" s="7"/>
      <c r="BK431" s="7"/>
      <c r="BL431" s="7"/>
      <c r="BM431" s="7"/>
      <c r="BN431" s="74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4"/>
      <c r="BZ431" s="74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101"/>
      <c r="CL431" s="74"/>
      <c r="CM431" s="74"/>
      <c r="CN431" s="74"/>
      <c r="CO431" s="70"/>
      <c r="CP431" s="74"/>
      <c r="CQ431" s="7"/>
      <c r="CR431" s="74"/>
      <c r="CS431" s="74"/>
      <c r="CT431" s="74"/>
      <c r="CU431" s="74"/>
      <c r="CV431" s="7"/>
      <c r="CW431" s="7"/>
      <c r="CX431" s="7"/>
      <c r="CY431" s="7"/>
      <c r="CZ431" s="7"/>
      <c r="DA431" s="7"/>
      <c r="DB431" s="7"/>
      <c r="DC431" s="7"/>
      <c r="DD431" s="7"/>
      <c r="DE431" s="74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8">
        <f t="shared" si="89"/>
        <v>42.190548973827738</v>
      </c>
      <c r="EA431" s="3" t="str">
        <f t="shared" si="90"/>
        <v>Wallhaus, Thomas</v>
      </c>
      <c r="EB431" s="2">
        <f t="shared" si="91"/>
        <v>1</v>
      </c>
      <c r="EC431" s="112">
        <f t="shared" si="103"/>
        <v>42.871754071716111</v>
      </c>
      <c r="ED431" s="29">
        <f t="shared" si="92"/>
        <v>41.509788443356683</v>
      </c>
      <c r="EE431" s="2">
        <f t="shared" si="93"/>
        <v>1</v>
      </c>
      <c r="EF431" s="46">
        <f t="shared" si="94"/>
        <v>4</v>
      </c>
      <c r="EG431" s="46">
        <f t="shared" si="95"/>
        <v>4</v>
      </c>
      <c r="EH431" s="29" t="str">
        <f t="shared" si="96"/>
        <v>WI</v>
      </c>
      <c r="EI431" s="29">
        <f>IF(COUNT(I431:Y431)&lt;5,DZ431,SUMPRODUCT(LARGE(I431:Y431,{1,2,3,4,5}))/5)</f>
        <v>42.190548973827738</v>
      </c>
      <c r="EJ431" s="29">
        <f>IF(COUNT(I431:AX431)&lt;5,DZ431,SUMPRODUCT(LARGE(I431:AX431,{1,2,3,4,5}))/5)</f>
        <v>42.190548973827738</v>
      </c>
      <c r="EK431" s="29">
        <f>IF(COUNT(I431:DY431)&lt;5,AVERAGE(I431:DY431),SUMPRODUCT(LARGE(I431:DY431,{1,2,3,4,5}))/5)</f>
        <v>42.190548973827738</v>
      </c>
      <c r="EL431" s="29">
        <f t="shared" si="97"/>
        <v>41.509788443356683</v>
      </c>
      <c r="EM431" s="116" t="str">
        <f t="shared" si="98"/>
        <v>Wallhaus, Thomas</v>
      </c>
      <c r="EQ431"/>
    </row>
    <row r="432" spans="1:147" x14ac:dyDescent="0.25">
      <c r="A432" s="59">
        <f t="shared" si="99"/>
        <v>429</v>
      </c>
      <c r="B432" s="32" t="s">
        <v>855</v>
      </c>
      <c r="C432" s="5" t="s">
        <v>6</v>
      </c>
      <c r="D432" s="6" t="s">
        <v>96</v>
      </c>
      <c r="E432" s="6">
        <v>52.484524221802282</v>
      </c>
      <c r="F432" s="6">
        <v>57.833065201535874</v>
      </c>
      <c r="G432" s="5">
        <f t="shared" si="101"/>
        <v>2</v>
      </c>
      <c r="H432" s="37">
        <v>52.484524221802282</v>
      </c>
      <c r="I432" s="36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227"/>
      <c r="Z432" s="228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4"/>
      <c r="AP432" s="7"/>
      <c r="AQ432" s="74"/>
      <c r="AR432" s="70"/>
      <c r="AS432" s="7"/>
      <c r="AT432" s="70"/>
      <c r="AU432" s="7"/>
      <c r="AV432" s="70"/>
      <c r="AW432" s="7">
        <f>(INDEX('Race 41'!$E$8:$E$200,(MATCH($B432,'Race 41'!$B$8:$B$200,0)),1))*100</f>
        <v>56.306748505105531</v>
      </c>
      <c r="AX432" s="183">
        <f>(INDEX('Race 42'!$E$8:$E$200,(MATCH($B432,'Race 42'!$B$8:$B$200,0)),1))*100</f>
        <v>59.359381897966216</v>
      </c>
      <c r="AY432" s="10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4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101"/>
      <c r="CL432" s="74"/>
      <c r="CM432" s="74"/>
      <c r="CN432" s="74"/>
      <c r="CO432" s="70"/>
      <c r="CP432" s="74"/>
      <c r="CQ432" s="7"/>
      <c r="CR432" s="74"/>
      <c r="CS432" s="74"/>
      <c r="CT432" s="74"/>
      <c r="CU432" s="74"/>
      <c r="CV432" s="7"/>
      <c r="CW432" s="7"/>
      <c r="CX432" s="7"/>
      <c r="CY432" s="7"/>
      <c r="CZ432" s="7"/>
      <c r="DA432" s="7"/>
      <c r="DB432" s="7"/>
      <c r="DC432" s="7"/>
      <c r="DD432" s="7"/>
      <c r="DE432" s="74"/>
      <c r="DF432" s="74"/>
      <c r="DG432" s="74"/>
      <c r="DH432" s="7"/>
      <c r="DI432" s="74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8">
        <f t="shared" ref="DZ432:DZ466" si="104">IF(EB432&gt;0,AVERAGE(I432:DY432),H432)</f>
        <v>57.833065201535874</v>
      </c>
      <c r="EA432" s="3" t="str">
        <f t="shared" ref="EA432:EA466" si="105">B432</f>
        <v>WANGEMAN, Josh</v>
      </c>
      <c r="EB432" s="2">
        <f t="shared" ref="EB432:EB466" si="106">IF(G432&gt;0,1,0)</f>
        <v>1</v>
      </c>
      <c r="EC432" s="112">
        <f t="shared" si="103"/>
        <v>52.484524221802282</v>
      </c>
      <c r="ED432" s="29">
        <f t="shared" ref="ED432:ED466" si="107">EL432</f>
        <v>56.899906731145094</v>
      </c>
      <c r="EE432" s="2">
        <f t="shared" ref="EE432:EE466" si="108">COUNT(I432:AH432)</f>
        <v>0</v>
      </c>
      <c r="EF432" s="46">
        <f t="shared" ref="EF432:EF466" si="109">COUNT(I432:BQ432)</f>
        <v>2</v>
      </c>
      <c r="EG432" s="46">
        <f t="shared" ref="EG432:EG466" si="110">COUNT(I432:DY432)</f>
        <v>2</v>
      </c>
      <c r="EH432" s="29" t="str">
        <f t="shared" ref="EH432:EH466" si="111">D432</f>
        <v>SD</v>
      </c>
      <c r="EI432" s="29">
        <f>IF(COUNT(I432:Y432)&lt;5,DZ432,SUMPRODUCT(LARGE(I432:Y432,{1,2,3,4,5}))/5)</f>
        <v>57.833065201535874</v>
      </c>
      <c r="EJ432" s="29">
        <f>IF(COUNT(I432:AX432)&lt;5,DZ432,SUMPRODUCT(LARGE(I432:AX432,{1,2,3,4,5}))/5)</f>
        <v>57.833065201535874</v>
      </c>
      <c r="EK432" s="29">
        <f>IF(COUNT(I432:DY432)&lt;5,AVERAGE(I432:DY432),SUMPRODUCT(LARGE(I432:DY432,{1,2,3,4,5}))/5)</f>
        <v>57.833065201535874</v>
      </c>
      <c r="EL432" s="29">
        <f t="shared" ref="EL432:EL465" si="112">(EK432*100)/101.64</f>
        <v>56.899906731145094</v>
      </c>
      <c r="EM432" s="116" t="str">
        <f t="shared" ref="EM432:EM466" si="113">B432</f>
        <v>WANGEMAN, Josh</v>
      </c>
      <c r="EQ432"/>
    </row>
    <row r="433" spans="1:147" x14ac:dyDescent="0.25">
      <c r="A433" s="59">
        <f t="shared" si="99"/>
        <v>430</v>
      </c>
      <c r="B433" s="32" t="s">
        <v>785</v>
      </c>
      <c r="C433" s="5" t="s">
        <v>6</v>
      </c>
      <c r="D433" s="6" t="s">
        <v>87</v>
      </c>
      <c r="E433" s="6">
        <v>61.405976272712444</v>
      </c>
      <c r="F433" s="6">
        <v>61.405976272712444</v>
      </c>
      <c r="G433" s="5">
        <f t="shared" si="101"/>
        <v>7</v>
      </c>
      <c r="H433" s="37">
        <v>61.405976272712444</v>
      </c>
      <c r="I433" s="36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227"/>
      <c r="Z433" s="228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4"/>
      <c r="AP433" s="7"/>
      <c r="AQ433" s="74"/>
      <c r="AR433" s="70"/>
      <c r="AS433" s="7"/>
      <c r="AT433" s="70"/>
      <c r="AU433" s="7"/>
      <c r="AV433" s="70"/>
      <c r="AW433" s="7"/>
      <c r="AX433" s="183"/>
      <c r="AY433" s="36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4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4"/>
      <c r="CD433" s="7"/>
      <c r="CE433" s="7"/>
      <c r="CF433" s="14"/>
      <c r="CG433" s="7"/>
      <c r="CH433" s="7"/>
      <c r="CI433" s="7"/>
      <c r="CJ433" s="7"/>
      <c r="CK433" s="101"/>
      <c r="CL433" s="74"/>
      <c r="CM433" s="74"/>
      <c r="CN433" s="74"/>
      <c r="CO433" s="70">
        <f>(INDEX('Race 85'!$E$8:$E$200,(MATCH($B433,'Race 85'!$B$8:$B$200,0)),1))*100</f>
        <v>64.722409545105975</v>
      </c>
      <c r="CP433" s="74"/>
      <c r="CQ433" s="7">
        <f>(INDEX('Race 87'!$E$8:$E$200,(MATCH($B433,'Race 87'!$B$8:$B$200,0)),1))*100</f>
        <v>64.913273687992671</v>
      </c>
      <c r="CR433" s="74">
        <f>(INDEX('Race 88'!$E$8:$E$200,(MATCH($B433,'Race 88'!$B$8:$B$200,0)),1))*100</f>
        <v>65.155993277454712</v>
      </c>
      <c r="CS433" s="74">
        <f>(INDEX('Race 89'!$E$8:$E$200,(MATCH($B433,'Race 89'!$B$8:$B$200,0)),1))*100</f>
        <v>67.699604504373724</v>
      </c>
      <c r="CT433" s="74">
        <f>(INDEX('Race 90'!$E$8:$E$200,(MATCH($B433,'Race 90'!$B$8:$B$200,0)),1))*100</f>
        <v>53.693819162773195</v>
      </c>
      <c r="CU433" s="74">
        <f>(INDEX('Race 91'!$E$8:$E$200,(MATCH($B433,'Race 91'!$B$8:$B$200,0)),1))*100</f>
        <v>53.272105348922103</v>
      </c>
      <c r="CV433" s="7">
        <f>(INDEX('Race 92'!$E$8:$E$200,(MATCH($B433,'Race 92'!$B$8:$B$200,0)),1))*100</f>
        <v>62.940649590993324</v>
      </c>
      <c r="CW433" s="7"/>
      <c r="CX433" s="7"/>
      <c r="CY433" s="7"/>
      <c r="CZ433" s="7"/>
      <c r="DA433" s="7"/>
      <c r="DB433" s="7"/>
      <c r="DC433" s="7"/>
      <c r="DD433" s="7"/>
      <c r="DE433" s="74"/>
      <c r="DF433" s="74"/>
      <c r="DG433" s="74"/>
      <c r="DH433" s="7"/>
      <c r="DI433" s="7"/>
      <c r="DJ433" s="7"/>
      <c r="DK433" s="7"/>
      <c r="DL433" s="7"/>
      <c r="DM433" s="74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8">
        <f t="shared" si="104"/>
        <v>61.771122159659377</v>
      </c>
      <c r="EA433" s="3" t="str">
        <f t="shared" si="105"/>
        <v>Warren, Dan</v>
      </c>
      <c r="EB433" s="2">
        <f t="shared" si="106"/>
        <v>1</v>
      </c>
      <c r="EC433" s="112">
        <f t="shared" si="103"/>
        <v>61.405976272712444</v>
      </c>
      <c r="ED433" s="29">
        <f t="shared" si="107"/>
        <v>64.036192563148447</v>
      </c>
      <c r="EE433" s="2">
        <f t="shared" si="108"/>
        <v>0</v>
      </c>
      <c r="EF433" s="46">
        <f t="shared" si="109"/>
        <v>0</v>
      </c>
      <c r="EG433" s="46">
        <f t="shared" si="110"/>
        <v>7</v>
      </c>
      <c r="EH433" s="2" t="str">
        <f t="shared" si="111"/>
        <v>CA</v>
      </c>
      <c r="EI433" s="29">
        <f>IF(COUNT(I433:Y433)&lt;5,DZ433,SUMPRODUCT(LARGE(I433:Y433,{1,2,3,4,5}))/5)</f>
        <v>61.771122159659377</v>
      </c>
      <c r="EJ433" s="29">
        <f>IF(COUNT(I433:AX433)&lt;5,DZ433,SUMPRODUCT(LARGE(I433:AX433,{1,2,3,4,5}))/5)</f>
        <v>61.771122159659377</v>
      </c>
      <c r="EK433" s="29">
        <f>IF(COUNT(I433:DY433)&lt;5,AVERAGE(I433:DY433),SUMPRODUCT(LARGE(I433:DY433,{1,2,3,4,5}))/5)</f>
        <v>65.086386121184077</v>
      </c>
      <c r="EL433" s="29">
        <f t="shared" si="112"/>
        <v>64.036192563148447</v>
      </c>
      <c r="EM433" s="116" t="str">
        <f t="shared" si="113"/>
        <v>Warren, Dan</v>
      </c>
      <c r="EQ433"/>
    </row>
    <row r="434" spans="1:147" x14ac:dyDescent="0.25">
      <c r="A434" s="59">
        <f t="shared" si="99"/>
        <v>431</v>
      </c>
      <c r="B434" s="4" t="s">
        <v>71</v>
      </c>
      <c r="C434" s="5" t="s">
        <v>6</v>
      </c>
      <c r="D434" s="5" t="s">
        <v>62</v>
      </c>
      <c r="E434" s="6">
        <v>69.344626471468658</v>
      </c>
      <c r="F434" s="6">
        <v>69.764333832680848</v>
      </c>
      <c r="G434" s="5">
        <f t="shared" si="101"/>
        <v>5</v>
      </c>
      <c r="H434" s="99">
        <v>70.553654280582819</v>
      </c>
      <c r="I434" s="36"/>
      <c r="J434" s="7"/>
      <c r="K434" s="7"/>
      <c r="L434" s="7"/>
      <c r="M434" s="74"/>
      <c r="N434" s="7"/>
      <c r="O434" s="7">
        <f>(INDEX('Race 7'!$E$8:$E$200,(MATCH($B434,'Race 7'!$B$8:$B$200,0)),1))*100</f>
        <v>69.344626471468658</v>
      </c>
      <c r="P434" s="74"/>
      <c r="Q434" s="7"/>
      <c r="R434" s="7"/>
      <c r="S434" s="74"/>
      <c r="T434" s="7"/>
      <c r="U434" s="7"/>
      <c r="V434" s="74"/>
      <c r="W434" s="7"/>
      <c r="X434" s="74"/>
      <c r="Y434" s="227"/>
      <c r="Z434" s="228"/>
      <c r="AA434" s="74"/>
      <c r="AB434" s="7"/>
      <c r="AC434" s="7"/>
      <c r="AD434" s="74"/>
      <c r="AE434" s="7"/>
      <c r="AF434" s="74"/>
      <c r="AG434" s="74"/>
      <c r="AH434" s="7"/>
      <c r="AI434" s="7"/>
      <c r="AJ434" s="7"/>
      <c r="AK434" s="7"/>
      <c r="AL434" s="74">
        <f>(INDEX('Race 30'!$E$8:$E$200,(MATCH($B434,'Race 30'!$B$8:$B$200,0)),1))*100</f>
        <v>70.184041193893037</v>
      </c>
      <c r="AM434" s="7"/>
      <c r="AN434" s="7"/>
      <c r="AO434" s="7"/>
      <c r="AP434" s="7"/>
      <c r="AQ434" s="74"/>
      <c r="AR434" s="101"/>
      <c r="AS434" s="7"/>
      <c r="AT434" s="101"/>
      <c r="AU434" s="7"/>
      <c r="AV434" s="101"/>
      <c r="AW434" s="7"/>
      <c r="AX434" s="8"/>
      <c r="AY434" s="36"/>
      <c r="AZ434" s="74"/>
      <c r="BA434" s="74"/>
      <c r="BB434" s="74"/>
      <c r="BC434" s="74"/>
      <c r="BD434" s="7"/>
      <c r="BE434" s="7"/>
      <c r="BF434" s="74"/>
      <c r="BG434" s="74"/>
      <c r="BH434" s="74"/>
      <c r="BI434" s="74"/>
      <c r="BJ434" s="74"/>
      <c r="BK434" s="7"/>
      <c r="BL434" s="74"/>
      <c r="BM434" s="7"/>
      <c r="BN434" s="74"/>
      <c r="BO434" s="74"/>
      <c r="BP434" s="7"/>
      <c r="BQ434" s="7"/>
      <c r="BR434" s="74"/>
      <c r="BS434" s="7">
        <f>(INDEX('Race 63'!$E$8:$E$200,(MATCH($B434,'Race 63'!$B$8:$B$200,0)),1))*100</f>
        <v>74.950626124985646</v>
      </c>
      <c r="BT434" s="7">
        <f>(INDEX('Race 64'!$E$8:$E$200,(MATCH($B434,'Race 64'!$B$8:$B$200,0)),1))*100</f>
        <v>71.170002070670563</v>
      </c>
      <c r="BU434" s="74"/>
      <c r="BV434" s="74"/>
      <c r="BW434" s="74"/>
      <c r="BX434" s="74"/>
      <c r="BY434" s="74"/>
      <c r="BZ434" s="74"/>
      <c r="CA434" s="7"/>
      <c r="CB434" s="74"/>
      <c r="CC434" s="74"/>
      <c r="CD434" s="74"/>
      <c r="CE434" s="7"/>
      <c r="CF434" s="74"/>
      <c r="CG434" s="74"/>
      <c r="CH434" s="7"/>
      <c r="CI434" s="74"/>
      <c r="CJ434" s="74"/>
      <c r="CK434" s="101"/>
      <c r="CL434" s="74"/>
      <c r="CM434" s="74">
        <f>(INDEX('Race 83'!$E$8:$E$200,(MATCH($B434,'Race 83'!$B$8:$B$200,0)),1))*100</f>
        <v>63.925297501213009</v>
      </c>
      <c r="CN434" s="74"/>
      <c r="CO434" s="101"/>
      <c r="CP434" s="7"/>
      <c r="CQ434" s="74"/>
      <c r="CR434" s="74"/>
      <c r="CS434" s="74"/>
      <c r="CT434" s="7"/>
      <c r="CU434" s="74"/>
      <c r="CV434" s="7"/>
      <c r="CW434" s="74"/>
      <c r="CX434" s="7"/>
      <c r="CY434" s="7"/>
      <c r="CZ434" s="74"/>
      <c r="DA434" s="74"/>
      <c r="DB434" s="7"/>
      <c r="DC434" s="74"/>
      <c r="DD434" s="74"/>
      <c r="DE434" s="74"/>
      <c r="DF434" s="74"/>
      <c r="DG434" s="74"/>
      <c r="DH434" s="74"/>
      <c r="DI434" s="74"/>
      <c r="DJ434" s="74"/>
      <c r="DK434" s="74"/>
      <c r="DL434" s="74"/>
      <c r="DM434" s="74"/>
      <c r="DN434" s="74"/>
      <c r="DO434" s="74"/>
      <c r="DP434" s="74"/>
      <c r="DQ434" s="74"/>
      <c r="DR434" s="7"/>
      <c r="DS434" s="7"/>
      <c r="DT434" s="74"/>
      <c r="DU434" s="74"/>
      <c r="DV434" s="74"/>
      <c r="DW434" s="74"/>
      <c r="DX434" s="74"/>
      <c r="DY434" s="74"/>
      <c r="DZ434" s="8">
        <f t="shared" si="104"/>
        <v>69.914918672446177</v>
      </c>
      <c r="EA434" s="3" t="str">
        <f t="shared" si="105"/>
        <v>Warwick, Walter</v>
      </c>
      <c r="EB434" s="2">
        <f t="shared" si="106"/>
        <v>1</v>
      </c>
      <c r="EC434" s="112">
        <f t="shared" si="103"/>
        <v>70.553654280582819</v>
      </c>
      <c r="ED434" s="29">
        <f t="shared" si="107"/>
        <v>68.786814907955701</v>
      </c>
      <c r="EE434" s="2">
        <f t="shared" si="108"/>
        <v>1</v>
      </c>
      <c r="EF434" s="46">
        <f t="shared" si="109"/>
        <v>2</v>
      </c>
      <c r="EG434" s="46">
        <f t="shared" si="110"/>
        <v>5</v>
      </c>
      <c r="EH434" s="29" t="str">
        <f t="shared" si="111"/>
        <v>CO</v>
      </c>
      <c r="EI434" s="29">
        <f>IF(COUNT(I434:Y434)&lt;5,DZ434,SUMPRODUCT(LARGE(I434:Y434,{1,2,3,4,5}))/5)</f>
        <v>69.914918672446177</v>
      </c>
      <c r="EJ434" s="29">
        <f>IF(COUNT(I434:AX434)&lt;5,DZ434,SUMPRODUCT(LARGE(I434:AX434,{1,2,3,4,5}))/5)</f>
        <v>69.914918672446177</v>
      </c>
      <c r="EK434" s="29">
        <f>IF(COUNT(I434:DY434)&lt;5,AVERAGE(I434:DY434),SUMPRODUCT(LARGE(I434:DY434,{1,2,3,4,5}))/5)</f>
        <v>69.914918672446177</v>
      </c>
      <c r="EL434" s="29">
        <f t="shared" si="112"/>
        <v>68.786814907955701</v>
      </c>
      <c r="EM434" s="116" t="str">
        <f t="shared" si="113"/>
        <v>Warwick, Walter</v>
      </c>
      <c r="EQ434"/>
    </row>
    <row r="435" spans="1:147" x14ac:dyDescent="0.25">
      <c r="A435" s="59">
        <f t="shared" si="99"/>
        <v>432</v>
      </c>
      <c r="B435" s="32" t="s">
        <v>766</v>
      </c>
      <c r="C435" s="5" t="s">
        <v>6</v>
      </c>
      <c r="D435" s="6" t="s">
        <v>62</v>
      </c>
      <c r="E435" s="6">
        <v>62.216529499468166</v>
      </c>
      <c r="F435" s="6">
        <v>62.216529499468166</v>
      </c>
      <c r="G435" s="5">
        <f t="shared" si="101"/>
        <v>2</v>
      </c>
      <c r="H435" s="37">
        <v>62.216529499468166</v>
      </c>
      <c r="I435" s="36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227"/>
      <c r="Z435" s="228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4"/>
      <c r="AR435" s="70"/>
      <c r="AS435" s="7"/>
      <c r="AT435" s="70"/>
      <c r="AU435" s="7"/>
      <c r="AV435" s="70"/>
      <c r="AW435" s="7"/>
      <c r="AX435" s="8"/>
      <c r="AY435" s="36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4"/>
      <c r="BO435" s="7"/>
      <c r="BP435" s="7"/>
      <c r="BQ435" s="7"/>
      <c r="BR435" s="7"/>
      <c r="BS435" s="7">
        <f>(INDEX('Race 63'!$E$8:$E$200,(MATCH($B435,'Race 63'!$B$8:$B$200,0)),1))*100</f>
        <v>69.435939007657254</v>
      </c>
      <c r="BT435" s="7">
        <f>(INDEX('Race 64'!$E$8:$E$200,(MATCH($B435,'Race 64'!$B$8:$B$200,0)),1))*100</f>
        <v>73.635475583511351</v>
      </c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4"/>
      <c r="CG435" s="7"/>
      <c r="CH435" s="7"/>
      <c r="CI435" s="7"/>
      <c r="CJ435" s="7"/>
      <c r="CK435" s="101"/>
      <c r="CL435" s="74"/>
      <c r="CM435" s="74"/>
      <c r="CN435" s="74"/>
      <c r="CO435" s="70"/>
      <c r="CP435" s="74"/>
      <c r="CQ435" s="7"/>
      <c r="CR435" s="74"/>
      <c r="CS435" s="74"/>
      <c r="CT435" s="74"/>
      <c r="CU435" s="74"/>
      <c r="CV435" s="7"/>
      <c r="CW435" s="7"/>
      <c r="CX435" s="7"/>
      <c r="CY435" s="7"/>
      <c r="CZ435" s="7"/>
      <c r="DA435" s="7"/>
      <c r="DB435" s="7"/>
      <c r="DC435" s="7"/>
      <c r="DD435" s="7"/>
      <c r="DE435" s="74"/>
      <c r="DF435" s="74"/>
      <c r="DG435" s="74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8">
        <f t="shared" si="104"/>
        <v>71.535707295584302</v>
      </c>
      <c r="EA435" s="3" t="str">
        <f t="shared" si="105"/>
        <v>Wathen, Joe</v>
      </c>
      <c r="EB435" s="2">
        <f t="shared" si="106"/>
        <v>1</v>
      </c>
      <c r="EC435" s="112">
        <f t="shared" si="103"/>
        <v>62.216529499468166</v>
      </c>
      <c r="ED435" s="29">
        <f t="shared" si="107"/>
        <v>70.381451491129781</v>
      </c>
      <c r="EE435" s="2">
        <f t="shared" si="108"/>
        <v>0</v>
      </c>
      <c r="EF435" s="46">
        <f t="shared" si="109"/>
        <v>0</v>
      </c>
      <c r="EG435" s="46">
        <f t="shared" si="110"/>
        <v>2</v>
      </c>
      <c r="EH435" s="2" t="str">
        <f t="shared" si="111"/>
        <v>CO</v>
      </c>
      <c r="EI435" s="29">
        <f>IF(COUNT(I435:Y435)&lt;5,DZ435,SUMPRODUCT(LARGE(I435:Y435,{1,2,3,4,5}))/5)</f>
        <v>71.535707295584302</v>
      </c>
      <c r="EJ435" s="29">
        <f>IF(COUNT(I435:AX435)&lt;5,DZ435,SUMPRODUCT(LARGE(I435:AX435,{1,2,3,4,5}))/5)</f>
        <v>71.535707295584302</v>
      </c>
      <c r="EK435" s="29">
        <f>IF(COUNT(I435:DY435)&lt;5,AVERAGE(I435:DY435),SUMPRODUCT(LARGE(I435:DY435,{1,2,3,4,5}))/5)</f>
        <v>71.535707295584302</v>
      </c>
      <c r="EL435" s="29">
        <f t="shared" si="112"/>
        <v>70.381451491129781</v>
      </c>
      <c r="EM435" s="116" t="str">
        <f t="shared" si="113"/>
        <v>Wathen, Joe</v>
      </c>
      <c r="EQ435"/>
    </row>
    <row r="436" spans="1:147" x14ac:dyDescent="0.25">
      <c r="A436" s="59">
        <f t="shared" si="99"/>
        <v>433</v>
      </c>
      <c r="B436" s="32" t="s">
        <v>807</v>
      </c>
      <c r="C436" s="5" t="s">
        <v>16</v>
      </c>
      <c r="D436" s="6" t="s">
        <v>61</v>
      </c>
      <c r="E436" s="6">
        <v>63.342271196195597</v>
      </c>
      <c r="F436" s="6">
        <v>63.342271196195597</v>
      </c>
      <c r="G436" s="5">
        <f t="shared" si="101"/>
        <v>4</v>
      </c>
      <c r="H436" s="37">
        <v>57.978576795632257</v>
      </c>
      <c r="I436" s="36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>
        <f>(INDEX('Race 16'!$E$8:$E$200,(MATCH($B436,'Race 16'!$B$8:$B$200,0)),1))*100</f>
        <v>63.342271196195597</v>
      </c>
      <c r="Y436" s="227"/>
      <c r="Z436" s="228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4"/>
      <c r="AP436" s="7"/>
      <c r="AQ436" s="74"/>
      <c r="AR436" s="70"/>
      <c r="AS436" s="7"/>
      <c r="AT436" s="70"/>
      <c r="AU436" s="7"/>
      <c r="AV436" s="70"/>
      <c r="AW436" s="7"/>
      <c r="AX436" s="8"/>
      <c r="AY436" s="36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4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101"/>
      <c r="CL436" s="74"/>
      <c r="CM436" s="74"/>
      <c r="CN436" s="74"/>
      <c r="CO436" s="70">
        <f>(INDEX('Race 85'!$E$8:$E$200,(MATCH($B436,'Race 85'!$B$8:$B$200,0)),1))*100</f>
        <v>59.016403665814508</v>
      </c>
      <c r="CP436" s="74"/>
      <c r="CQ436" s="7">
        <f>(INDEX('Race 87'!$E$8:$E$200,(MATCH($B436,'Race 87'!$B$8:$B$200,0)),1))*100</f>
        <v>68.006153570650739</v>
      </c>
      <c r="CR436" s="74"/>
      <c r="CS436" s="74"/>
      <c r="CT436" s="74"/>
      <c r="CU436" s="74"/>
      <c r="CV436" s="7"/>
      <c r="CW436" s="7">
        <f>(INDEX('Race 93'!$E$8:$E$200,(MATCH($B436,'Race 93'!$B$8:$B$200,0)),1))*100</f>
        <v>64.455208612104215</v>
      </c>
      <c r="CX436" s="7"/>
      <c r="CY436" s="7"/>
      <c r="CZ436" s="7"/>
      <c r="DA436" s="7"/>
      <c r="DB436" s="7"/>
      <c r="DC436" s="7"/>
      <c r="DD436" s="7"/>
      <c r="DE436" s="74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8">
        <f t="shared" si="104"/>
        <v>63.705009261191265</v>
      </c>
      <c r="EA436" s="3" t="str">
        <f t="shared" si="105"/>
        <v>Watson, Josh</v>
      </c>
      <c r="EB436" s="2">
        <f t="shared" si="106"/>
        <v>1</v>
      </c>
      <c r="EC436" s="112">
        <f t="shared" si="103"/>
        <v>57.978576795632257</v>
      </c>
      <c r="ED436" s="29">
        <f t="shared" si="107"/>
        <v>62.677104743399511</v>
      </c>
      <c r="EE436" s="2">
        <f t="shared" si="108"/>
        <v>1</v>
      </c>
      <c r="EF436" s="46">
        <f t="shared" si="109"/>
        <v>1</v>
      </c>
      <c r="EG436" s="46">
        <f t="shared" si="110"/>
        <v>4</v>
      </c>
      <c r="EH436" s="29" t="str">
        <f t="shared" si="111"/>
        <v>AK</v>
      </c>
      <c r="EI436" s="29">
        <f>IF(COUNT(I436:Y436)&lt;5,DZ436,SUMPRODUCT(LARGE(I436:Y436,{1,2,3,4,5}))/5)</f>
        <v>63.705009261191265</v>
      </c>
      <c r="EJ436" s="29">
        <f>IF(COUNT(I436:AX436)&lt;5,DZ436,SUMPRODUCT(LARGE(I436:AX436,{1,2,3,4,5}))/5)</f>
        <v>63.705009261191265</v>
      </c>
      <c r="EK436" s="29">
        <f>IF(COUNT(I436:DY436)&lt;5,AVERAGE(I436:DY436),SUMPRODUCT(LARGE(I436:DY436,{1,2,3,4,5}))/5)</f>
        <v>63.705009261191265</v>
      </c>
      <c r="EL436" s="29">
        <f t="shared" si="112"/>
        <v>62.677104743399511</v>
      </c>
      <c r="EM436" s="116" t="str">
        <f t="shared" si="113"/>
        <v>Watson, Josh</v>
      </c>
      <c r="EQ436"/>
    </row>
    <row r="437" spans="1:147" x14ac:dyDescent="0.25">
      <c r="A437" s="59">
        <f t="shared" si="99"/>
        <v>434</v>
      </c>
      <c r="B437" s="32" t="s">
        <v>1126</v>
      </c>
      <c r="C437" s="5" t="s">
        <v>6</v>
      </c>
      <c r="D437" s="6" t="s">
        <v>77</v>
      </c>
      <c r="E437" s="6">
        <v>0</v>
      </c>
      <c r="F437" s="6">
        <v>38.021932550786687</v>
      </c>
      <c r="G437" s="5">
        <f t="shared" si="101"/>
        <v>2</v>
      </c>
      <c r="H437" s="37">
        <v>0</v>
      </c>
      <c r="I437" s="36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227"/>
      <c r="Z437" s="228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4"/>
      <c r="AP437" s="7"/>
      <c r="AQ437" s="74"/>
      <c r="AR437" s="70"/>
      <c r="AS437" s="7"/>
      <c r="AT437" s="70"/>
      <c r="AU437" s="7"/>
      <c r="AV437" s="70"/>
      <c r="AW437" s="7">
        <f>(INDEX('Race 41'!$E$8:$E$200,(MATCH($B437,'Race 41'!$B$8:$B$200,0)),1))*100</f>
        <v>34.891768585547297</v>
      </c>
      <c r="AX437" s="8">
        <f>(INDEX('Race 42'!$E$8:$E$200,(MATCH($B437,'Race 42'!$B$8:$B$200,0)),1))*100</f>
        <v>41.152096516026077</v>
      </c>
      <c r="AY437" s="36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4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101"/>
      <c r="CL437" s="74"/>
      <c r="CM437" s="74"/>
      <c r="CN437" s="74"/>
      <c r="CO437" s="70"/>
      <c r="CP437" s="74"/>
      <c r="CQ437" s="7"/>
      <c r="CR437" s="74"/>
      <c r="CS437" s="74"/>
      <c r="CT437" s="74"/>
      <c r="CU437" s="74"/>
      <c r="CV437" s="7"/>
      <c r="CW437" s="7"/>
      <c r="CX437" s="7"/>
      <c r="CY437" s="7"/>
      <c r="CZ437" s="7"/>
      <c r="DA437" s="7"/>
      <c r="DB437" s="7"/>
      <c r="DC437" s="7"/>
      <c r="DD437" s="7"/>
      <c r="DE437" s="74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8">
        <f t="shared" si="104"/>
        <v>38.021932550786687</v>
      </c>
      <c r="EA437" s="3" t="str">
        <f t="shared" si="105"/>
        <v>Weaver, James</v>
      </c>
      <c r="EB437" s="2">
        <f t="shared" si="106"/>
        <v>1</v>
      </c>
      <c r="EC437" s="112">
        <f t="shared" si="103"/>
        <v>0</v>
      </c>
      <c r="ED437" s="29">
        <f t="shared" si="107"/>
        <v>0</v>
      </c>
      <c r="EE437" s="2">
        <f t="shared" si="108"/>
        <v>0</v>
      </c>
      <c r="EF437" s="46">
        <f t="shared" si="109"/>
        <v>2</v>
      </c>
      <c r="EG437" s="46">
        <f t="shared" si="110"/>
        <v>2</v>
      </c>
      <c r="EH437" s="29" t="str">
        <f t="shared" si="111"/>
        <v>OH</v>
      </c>
      <c r="EI437" s="29">
        <f>IF(COUNT(I437:AD437)&lt;5,DZ437,SUMPRODUCT(LARGE(I437:AD437,{1,2,3,4,5}))/5)</f>
        <v>38.021932550786687</v>
      </c>
      <c r="EJ437" s="29">
        <f>IF(COUNT(I437:AX437)&lt;5,DZ437,SUMPRODUCT(LARGE(I437:AX437,{1,2,3,4,5}))/5)</f>
        <v>38.021932550786687</v>
      </c>
      <c r="EK437" s="29">
        <f>IF(EG437&lt;0,AVERAGE(I437:DY437),0)</f>
        <v>0</v>
      </c>
      <c r="EL437" s="29">
        <f t="shared" si="112"/>
        <v>0</v>
      </c>
      <c r="EM437" s="116" t="str">
        <f t="shared" si="113"/>
        <v>Weaver, James</v>
      </c>
      <c r="EQ437"/>
    </row>
    <row r="438" spans="1:147" x14ac:dyDescent="0.25">
      <c r="A438" s="59">
        <f t="shared" si="99"/>
        <v>435</v>
      </c>
      <c r="B438" s="32" t="s">
        <v>858</v>
      </c>
      <c r="C438" s="5" t="s">
        <v>6</v>
      </c>
      <c r="D438" s="6" t="s">
        <v>67</v>
      </c>
      <c r="E438" s="6">
        <v>48.036969719903745</v>
      </c>
      <c r="F438" s="6">
        <v>48.036969719903745</v>
      </c>
      <c r="G438" s="5">
        <f t="shared" si="101"/>
        <v>0</v>
      </c>
      <c r="H438" s="37">
        <v>48.036969719903745</v>
      </c>
      <c r="I438" s="36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227"/>
      <c r="Z438" s="228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4"/>
      <c r="AP438" s="7"/>
      <c r="AQ438" s="74"/>
      <c r="AR438" s="70"/>
      <c r="AS438" s="7"/>
      <c r="AT438" s="70"/>
      <c r="AU438" s="7"/>
      <c r="AV438" s="70"/>
      <c r="AW438" s="7"/>
      <c r="AX438" s="183"/>
      <c r="AY438" s="10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4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101"/>
      <c r="CL438" s="74"/>
      <c r="CM438" s="74"/>
      <c r="CN438" s="74"/>
      <c r="CO438" s="70"/>
      <c r="CP438" s="74"/>
      <c r="CQ438" s="7"/>
      <c r="CR438" s="74"/>
      <c r="CS438" s="74"/>
      <c r="CT438" s="74"/>
      <c r="CU438" s="74"/>
      <c r="CV438" s="7"/>
      <c r="CW438" s="7"/>
      <c r="CX438" s="7"/>
      <c r="CY438" s="7"/>
      <c r="CZ438" s="7"/>
      <c r="DA438" s="7"/>
      <c r="DB438" s="7"/>
      <c r="DC438" s="7"/>
      <c r="DD438" s="7"/>
      <c r="DE438" s="74"/>
      <c r="DF438" s="74"/>
      <c r="DG438" s="74"/>
      <c r="DH438" s="7"/>
      <c r="DI438" s="74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8">
        <f t="shared" si="104"/>
        <v>48.036969719903745</v>
      </c>
      <c r="EA438" s="3" t="str">
        <f t="shared" si="105"/>
        <v>WEDEKIND, Nick</v>
      </c>
      <c r="EB438" s="2">
        <f t="shared" si="106"/>
        <v>0</v>
      </c>
      <c r="EC438" s="112">
        <f t="shared" si="103"/>
        <v>48.036969719903745</v>
      </c>
      <c r="ED438" s="29">
        <f t="shared" si="107"/>
        <v>0</v>
      </c>
      <c r="EE438" s="2">
        <f t="shared" si="108"/>
        <v>0</v>
      </c>
      <c r="EF438" s="46">
        <f t="shared" si="109"/>
        <v>0</v>
      </c>
      <c r="EG438" s="46">
        <f t="shared" si="110"/>
        <v>0</v>
      </c>
      <c r="EH438" s="29" t="str">
        <f t="shared" si="111"/>
        <v>UT</v>
      </c>
      <c r="EI438" s="29">
        <f>IF(COUNT(I438:Y438)&lt;5,DZ438,SUMPRODUCT(LARGE(I438:Y438,{1,2,3,4,5}))/5)</f>
        <v>48.036969719903745</v>
      </c>
      <c r="EJ438" s="29">
        <f>IF(COUNT(I438:AX438)&lt;5,DZ438,SUMPRODUCT(LARGE(I438:AX438,{1,2,3,4,5}))/5)</f>
        <v>48.036969719903745</v>
      </c>
      <c r="EK438" s="112">
        <f>IF(EG438&lt;0,AVERAGE(I438:DY438),0)</f>
        <v>0</v>
      </c>
      <c r="EL438" s="29">
        <f t="shared" si="112"/>
        <v>0</v>
      </c>
      <c r="EM438" s="116" t="str">
        <f t="shared" si="113"/>
        <v>WEDEKIND, Nick</v>
      </c>
      <c r="EQ438"/>
    </row>
    <row r="439" spans="1:147" x14ac:dyDescent="0.25">
      <c r="A439" s="59">
        <f t="shared" si="99"/>
        <v>436</v>
      </c>
      <c r="B439" s="32" t="s">
        <v>800</v>
      </c>
      <c r="C439" s="5" t="s">
        <v>6</v>
      </c>
      <c r="D439" s="6" t="s">
        <v>62</v>
      </c>
      <c r="E439" s="6">
        <v>58.263114292057047</v>
      </c>
      <c r="F439" s="6">
        <v>54.555194706293719</v>
      </c>
      <c r="G439" s="5">
        <f t="shared" si="101"/>
        <v>1</v>
      </c>
      <c r="H439" s="37">
        <v>58.263114292057047</v>
      </c>
      <c r="I439" s="36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227"/>
      <c r="Z439" s="228"/>
      <c r="AA439" s="7"/>
      <c r="AB439" s="7"/>
      <c r="AC439" s="7"/>
      <c r="AD439" s="7"/>
      <c r="AE439" s="7"/>
      <c r="AF439" s="7"/>
      <c r="AG439" s="74">
        <f>(INDEX('Race 25'!$E$8:$E$200,(MATCH($B439,'Race 25'!$B$8:$B$200,0)),1))*100</f>
        <v>54.555194706293719</v>
      </c>
      <c r="AH439" s="7"/>
      <c r="AI439" s="7"/>
      <c r="AJ439" s="7"/>
      <c r="AK439" s="7"/>
      <c r="AL439" s="7"/>
      <c r="AM439" s="7"/>
      <c r="AN439" s="7"/>
      <c r="AO439" s="74"/>
      <c r="AP439" s="7"/>
      <c r="AQ439" s="74"/>
      <c r="AR439" s="70"/>
      <c r="AS439" s="7"/>
      <c r="AT439" s="70"/>
      <c r="AU439" s="7"/>
      <c r="AV439" s="70"/>
      <c r="AW439" s="7"/>
      <c r="AX439" s="8"/>
      <c r="AY439" s="36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4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101"/>
      <c r="CL439" s="74"/>
      <c r="CM439" s="74"/>
      <c r="CN439" s="74"/>
      <c r="CO439" s="70"/>
      <c r="CP439" s="74"/>
      <c r="CQ439" s="7"/>
      <c r="CR439" s="74"/>
      <c r="CS439" s="74"/>
      <c r="CT439" s="74"/>
      <c r="CU439" s="74"/>
      <c r="CV439" s="7"/>
      <c r="CW439" s="7"/>
      <c r="CX439" s="7"/>
      <c r="CY439" s="7"/>
      <c r="CZ439" s="7"/>
      <c r="DA439" s="7"/>
      <c r="DB439" s="7"/>
      <c r="DC439" s="7"/>
      <c r="DD439" s="7"/>
      <c r="DE439" s="74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8">
        <f t="shared" si="104"/>
        <v>54.555194706293719</v>
      </c>
      <c r="EA439" s="3" t="str">
        <f t="shared" si="105"/>
        <v>Weems, Weyman</v>
      </c>
      <c r="EB439" s="2">
        <f t="shared" si="106"/>
        <v>1</v>
      </c>
      <c r="EC439" s="112">
        <f t="shared" si="103"/>
        <v>58.263114292057047</v>
      </c>
      <c r="ED439" s="29">
        <f t="shared" si="107"/>
        <v>53.674925921186258</v>
      </c>
      <c r="EE439" s="2">
        <f t="shared" si="108"/>
        <v>1</v>
      </c>
      <c r="EF439" s="46">
        <f t="shared" si="109"/>
        <v>1</v>
      </c>
      <c r="EG439" s="46">
        <f t="shared" si="110"/>
        <v>1</v>
      </c>
      <c r="EH439" s="29" t="str">
        <f t="shared" si="111"/>
        <v>CO</v>
      </c>
      <c r="EI439" s="29">
        <f>IF(COUNT(I439:Y439)&lt;5,DZ439,SUMPRODUCT(LARGE(I439:Y439,{1,2,3,4,5}))/5)</f>
        <v>54.555194706293719</v>
      </c>
      <c r="EJ439" s="29">
        <f>IF(COUNT(I439:AX439)&lt;5,DZ439,SUMPRODUCT(LARGE(I439:AX439,{1,2,3,4,5}))/5)</f>
        <v>54.555194706293719</v>
      </c>
      <c r="EK439" s="29">
        <f>IF(COUNT(I439:DY439)&lt;5,AVERAGE(I439:DY439),SUMPRODUCT(LARGE(I439:DY439,{1,2,3,4,5}))/5)</f>
        <v>54.555194706293719</v>
      </c>
      <c r="EL439" s="29">
        <f t="shared" si="112"/>
        <v>53.674925921186258</v>
      </c>
      <c r="EM439" s="116" t="str">
        <f t="shared" si="113"/>
        <v>Weems, Weyman</v>
      </c>
      <c r="EQ439"/>
    </row>
    <row r="440" spans="1:147" x14ac:dyDescent="0.25">
      <c r="A440" s="59">
        <f t="shared" si="99"/>
        <v>437</v>
      </c>
      <c r="B440" s="32" t="s">
        <v>1333</v>
      </c>
      <c r="C440" s="5" t="s">
        <v>6</v>
      </c>
      <c r="D440" s="6"/>
      <c r="E440" s="6">
        <v>0</v>
      </c>
      <c r="F440" s="6">
        <v>0</v>
      </c>
      <c r="G440" s="5">
        <f t="shared" si="101"/>
        <v>3</v>
      </c>
      <c r="H440" s="37">
        <v>0</v>
      </c>
      <c r="I440" s="36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227"/>
      <c r="Z440" s="228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4"/>
      <c r="AP440" s="7"/>
      <c r="AQ440" s="74"/>
      <c r="AR440" s="70"/>
      <c r="AS440" s="7"/>
      <c r="AT440" s="70"/>
      <c r="AU440" s="7"/>
      <c r="AV440" s="70"/>
      <c r="AW440" s="7"/>
      <c r="AX440" s="8"/>
      <c r="AY440" s="36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4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101"/>
      <c r="CL440" s="74"/>
      <c r="CM440" s="74"/>
      <c r="CN440" s="74"/>
      <c r="CO440" s="70">
        <f>(INDEX('Race 85'!$E$8:$E$200,(MATCH($B440,'Race 85'!$B$8:$B$200,0)),1))*100</f>
        <v>66.110361894267385</v>
      </c>
      <c r="CP440" s="74"/>
      <c r="CQ440" s="7">
        <f>(INDEX('Race 87'!$E$8:$E$200,(MATCH($B440,'Race 87'!$B$8:$B$200,0)),1))*100</f>
        <v>68.178083630240977</v>
      </c>
      <c r="CR440" s="74"/>
      <c r="CS440" s="74"/>
      <c r="CT440" s="74"/>
      <c r="CU440" s="74"/>
      <c r="CV440" s="74">
        <f>(INDEX('Race 92'!$E$8:$E$200,(MATCH($B440,'Race 92'!$B$8:$B$200,0)),1))*100</f>
        <v>65.656116753624786</v>
      </c>
      <c r="CW440" s="7"/>
      <c r="CX440" s="7"/>
      <c r="CY440" s="7"/>
      <c r="CZ440" s="7"/>
      <c r="DA440" s="7"/>
      <c r="DB440" s="7"/>
      <c r="DC440" s="7"/>
      <c r="DD440" s="7"/>
      <c r="DE440" s="74"/>
      <c r="DF440" s="74"/>
      <c r="DG440" s="74"/>
      <c r="DH440" s="74"/>
      <c r="DI440" s="74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8">
        <f t="shared" si="104"/>
        <v>66.648187426044373</v>
      </c>
      <c r="EA440" s="3" t="str">
        <f t="shared" si="105"/>
        <v>Wehner, Tim</v>
      </c>
      <c r="EB440" s="2">
        <f t="shared" si="106"/>
        <v>1</v>
      </c>
      <c r="EC440" s="112">
        <f t="shared" si="103"/>
        <v>0</v>
      </c>
      <c r="ED440" s="29">
        <f t="shared" si="107"/>
        <v>65.572793610826807</v>
      </c>
      <c r="EE440" s="2">
        <f t="shared" si="108"/>
        <v>0</v>
      </c>
      <c r="EF440" s="46">
        <f t="shared" si="109"/>
        <v>0</v>
      </c>
      <c r="EG440" s="46">
        <f t="shared" si="110"/>
        <v>3</v>
      </c>
      <c r="EH440" s="2">
        <f t="shared" si="111"/>
        <v>0</v>
      </c>
      <c r="EI440" s="29">
        <f>IF(COUNT(I440:AD440)&lt;5,DZ440,SUMPRODUCT(LARGE(I440:AD440,{1,2,3,4,5}))/5)</f>
        <v>66.648187426044373</v>
      </c>
      <c r="EJ440" s="29">
        <f>IF(COUNT(I440:BE440)&lt;5,DZ440,SUMPRODUCT(LARGE(I440:BE440,{1,2,3,4,5}))/5)</f>
        <v>66.648187426044373</v>
      </c>
      <c r="EK440" s="112">
        <f>IF(COUNT(I440:DY440)&lt;5,AVERAGE(I440:DY440),SUMPRODUCT(LARGE(I440:DY440,{1,2,3,4,5}))/5)</f>
        <v>66.648187426044373</v>
      </c>
      <c r="EL440" s="29">
        <f t="shared" si="112"/>
        <v>65.572793610826807</v>
      </c>
      <c r="EM440" s="116" t="str">
        <f t="shared" si="113"/>
        <v>Wehner, Tim</v>
      </c>
      <c r="EQ440"/>
    </row>
    <row r="441" spans="1:147" x14ac:dyDescent="0.25">
      <c r="A441" s="59">
        <f t="shared" si="99"/>
        <v>438</v>
      </c>
      <c r="B441" s="186" t="s">
        <v>1346</v>
      </c>
      <c r="C441" s="5" t="s">
        <v>6</v>
      </c>
      <c r="D441" s="5" t="s">
        <v>87</v>
      </c>
      <c r="E441" s="6">
        <v>0</v>
      </c>
      <c r="F441" s="6">
        <v>0</v>
      </c>
      <c r="G441" s="5">
        <f t="shared" si="101"/>
        <v>2</v>
      </c>
      <c r="H441" s="37">
        <v>0</v>
      </c>
      <c r="I441" s="36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227"/>
      <c r="Z441" s="228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4"/>
      <c r="AP441" s="7"/>
      <c r="AQ441" s="74"/>
      <c r="AR441" s="70"/>
      <c r="AS441" s="7"/>
      <c r="AT441" s="70"/>
      <c r="AU441" s="7"/>
      <c r="AV441" s="70"/>
      <c r="AW441" s="7"/>
      <c r="AX441" s="8"/>
      <c r="AY441" s="36"/>
      <c r="AZ441" s="7"/>
      <c r="BA441" s="74"/>
      <c r="BB441" s="74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101"/>
      <c r="CL441" s="74"/>
      <c r="CM441" s="74"/>
      <c r="CN441" s="74"/>
      <c r="CO441" s="70"/>
      <c r="CP441" s="74"/>
      <c r="CQ441" s="7"/>
      <c r="CR441" s="74">
        <f>(INDEX('Race 88'!$E$8:$E$200,(MATCH($B441,'Race 88'!$B$8:$B$200,0)),1))*100</f>
        <v>53.973057249250736</v>
      </c>
      <c r="CS441" s="74">
        <f>(INDEX('Race 89'!$E$8:$E$200,(MATCH($B441,'Race 89'!$B$8:$B$200,0)),1))*100</f>
        <v>59.76122677467616</v>
      </c>
      <c r="CT441" s="74"/>
      <c r="CU441" s="74"/>
      <c r="CV441" s="74"/>
      <c r="CW441" s="7"/>
      <c r="CX441" s="7"/>
      <c r="CY441" s="7"/>
      <c r="CZ441" s="7"/>
      <c r="DA441" s="7"/>
      <c r="DB441" s="7"/>
      <c r="DC441" s="7"/>
      <c r="DD441" s="7"/>
      <c r="DE441" s="74"/>
      <c r="DF441" s="74"/>
      <c r="DG441" s="74"/>
      <c r="DH441" s="74"/>
      <c r="DI441" s="74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8">
        <f t="shared" si="104"/>
        <v>56.867142011963452</v>
      </c>
      <c r="EA441" s="3" t="str">
        <f t="shared" si="105"/>
        <v>Weiland, Keith</v>
      </c>
      <c r="EB441" s="2">
        <f t="shared" si="106"/>
        <v>1</v>
      </c>
      <c r="EC441" s="112">
        <f t="shared" si="103"/>
        <v>0</v>
      </c>
      <c r="ED441" s="29">
        <f t="shared" si="107"/>
        <v>55.949569079066755</v>
      </c>
      <c r="EE441" s="2">
        <f t="shared" si="108"/>
        <v>0</v>
      </c>
      <c r="EF441" s="46">
        <f t="shared" si="109"/>
        <v>0</v>
      </c>
      <c r="EG441" s="46">
        <f t="shared" si="110"/>
        <v>2</v>
      </c>
      <c r="EH441" s="2" t="str">
        <f t="shared" si="111"/>
        <v>CA</v>
      </c>
      <c r="EI441" s="29">
        <f>IF(COUNT(I441:AD441)&lt;5,DZ441,SUMPRODUCT(LARGE(I441:AD441,{1,2,3,4,5}))/5)</f>
        <v>56.867142011963452</v>
      </c>
      <c r="EJ441" s="29">
        <f>IF(COUNT(I441:BE441)&lt;5,DZ441,SUMPRODUCT(LARGE(I441:BE441,{1,2,3,4,5}))/5)</f>
        <v>56.867142011963452</v>
      </c>
      <c r="EK441" s="112">
        <f>IF(COUNT(I441:DY441)&lt;5,AVERAGE(I441:DY441),SUMPRODUCT(LARGE(I441:DY441,{1,2,3,4,5}))/5)</f>
        <v>56.867142011963452</v>
      </c>
      <c r="EL441" s="29">
        <f t="shared" si="112"/>
        <v>55.949569079066755</v>
      </c>
      <c r="EM441" s="116" t="str">
        <f t="shared" si="113"/>
        <v>Weiland, Keith</v>
      </c>
      <c r="EQ441"/>
    </row>
    <row r="442" spans="1:147" x14ac:dyDescent="0.25">
      <c r="A442" s="59">
        <f t="shared" si="99"/>
        <v>439</v>
      </c>
      <c r="B442" s="32" t="s">
        <v>923</v>
      </c>
      <c r="C442" s="5" t="s">
        <v>6</v>
      </c>
      <c r="D442" s="6" t="s">
        <v>64</v>
      </c>
      <c r="E442" s="6">
        <v>35.576333624308198</v>
      </c>
      <c r="F442" s="6">
        <v>35.576333624308198</v>
      </c>
      <c r="G442" s="5">
        <f t="shared" si="101"/>
        <v>0</v>
      </c>
      <c r="H442" s="37">
        <v>35.576333624308198</v>
      </c>
      <c r="I442" s="36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227"/>
      <c r="Z442" s="228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4"/>
      <c r="AP442" s="7"/>
      <c r="AQ442" s="74"/>
      <c r="AR442" s="70"/>
      <c r="AS442" s="7"/>
      <c r="AT442" s="70"/>
      <c r="AU442" s="7"/>
      <c r="AV442" s="70"/>
      <c r="AW442" s="7"/>
      <c r="AX442" s="8"/>
      <c r="AY442" s="36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4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4"/>
      <c r="CF442" s="74"/>
      <c r="CG442" s="7"/>
      <c r="CH442" s="7"/>
      <c r="CI442" s="7"/>
      <c r="CJ442" s="7"/>
      <c r="CK442" s="101"/>
      <c r="CL442" s="74"/>
      <c r="CM442" s="74"/>
      <c r="CN442" s="74"/>
      <c r="CO442" s="70"/>
      <c r="CP442" s="74"/>
      <c r="CQ442" s="7"/>
      <c r="CR442" s="74"/>
      <c r="CS442" s="74"/>
      <c r="CT442" s="74"/>
      <c r="CU442" s="74"/>
      <c r="CV442" s="7"/>
      <c r="CW442" s="7"/>
      <c r="CX442" s="7"/>
      <c r="CY442" s="7"/>
      <c r="CZ442" s="7"/>
      <c r="DA442" s="7"/>
      <c r="DB442" s="7"/>
      <c r="DC442" s="7"/>
      <c r="DD442" s="7"/>
      <c r="DE442" s="74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8">
        <f t="shared" si="104"/>
        <v>35.576333624308198</v>
      </c>
      <c r="EA442" s="3" t="str">
        <f t="shared" si="105"/>
        <v>Welch, Justin</v>
      </c>
      <c r="EB442" s="2">
        <f t="shared" si="106"/>
        <v>0</v>
      </c>
      <c r="EC442" s="112">
        <f t="shared" si="103"/>
        <v>35.576333624308198</v>
      </c>
      <c r="ED442" s="29">
        <f t="shared" si="107"/>
        <v>0</v>
      </c>
      <c r="EE442" s="2">
        <f t="shared" si="108"/>
        <v>0</v>
      </c>
      <c r="EF442" s="46">
        <f t="shared" si="109"/>
        <v>0</v>
      </c>
      <c r="EG442" s="46">
        <f t="shared" si="110"/>
        <v>0</v>
      </c>
      <c r="EH442" s="29" t="str">
        <f t="shared" si="111"/>
        <v>ME</v>
      </c>
      <c r="EI442" s="29">
        <f>IF(COUNT(I442:Y442)&lt;5,DZ442,SUMPRODUCT(LARGE(I442:Y442,{1,2,3,4,5}))/5)</f>
        <v>35.576333624308198</v>
      </c>
      <c r="EJ442" s="29">
        <f>IF(COUNT(I442:AX442)&lt;5,DZ442,SUMPRODUCT(LARGE(I442:AX442,{1,2,3,4,5}))/5)</f>
        <v>35.576333624308198</v>
      </c>
      <c r="EK442" s="112">
        <f>IF(EG442&lt;0,AVERAGE(I442:DY442),0)</f>
        <v>0</v>
      </c>
      <c r="EL442" s="29">
        <f t="shared" si="112"/>
        <v>0</v>
      </c>
      <c r="EM442" s="116" t="str">
        <f t="shared" si="113"/>
        <v>Welch, Justin</v>
      </c>
      <c r="EQ442"/>
    </row>
    <row r="443" spans="1:147" x14ac:dyDescent="0.25">
      <c r="A443" s="59">
        <f t="shared" si="99"/>
        <v>440</v>
      </c>
      <c r="B443" s="32" t="s">
        <v>1313</v>
      </c>
      <c r="C443" s="5" t="s">
        <v>6</v>
      </c>
      <c r="D443" s="6" t="s">
        <v>69</v>
      </c>
      <c r="E443" s="6">
        <v>0</v>
      </c>
      <c r="F443" s="6">
        <v>0</v>
      </c>
      <c r="G443" s="5">
        <f t="shared" si="101"/>
        <v>1</v>
      </c>
      <c r="H443" s="37">
        <v>0</v>
      </c>
      <c r="I443" s="36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227"/>
      <c r="Z443" s="228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4"/>
      <c r="AP443" s="7"/>
      <c r="AQ443" s="74"/>
      <c r="AR443" s="70"/>
      <c r="AS443" s="7"/>
      <c r="AT443" s="70"/>
      <c r="AU443" s="7"/>
      <c r="AV443" s="70"/>
      <c r="AW443" s="7"/>
      <c r="AX443" s="8"/>
      <c r="AY443" s="36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4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4"/>
      <c r="CG443" s="7"/>
      <c r="CH443" s="7"/>
      <c r="CI443" s="7"/>
      <c r="CJ443" s="7"/>
      <c r="CK443" s="101">
        <f>(INDEX('Race 81'!$E$8:$E$200,(MATCH($B443,'Race 81'!$B$8:$B$200,0)),1))*100</f>
        <v>31.368994168738375</v>
      </c>
      <c r="CL443" s="74"/>
      <c r="CM443" s="74"/>
      <c r="CN443" s="74"/>
      <c r="CO443" s="70"/>
      <c r="CP443" s="74"/>
      <c r="CQ443" s="7"/>
      <c r="CR443" s="74"/>
      <c r="CS443" s="74"/>
      <c r="CT443" s="74"/>
      <c r="CU443" s="74"/>
      <c r="CV443" s="7"/>
      <c r="CW443" s="7"/>
      <c r="CX443" s="7"/>
      <c r="CY443" s="7"/>
      <c r="CZ443" s="7"/>
      <c r="DA443" s="7"/>
      <c r="DB443" s="7"/>
      <c r="DC443" s="7"/>
      <c r="DD443" s="7"/>
      <c r="DE443" s="74"/>
      <c r="DF443" s="74"/>
      <c r="DG443" s="74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8">
        <f t="shared" si="104"/>
        <v>31.368994168738375</v>
      </c>
      <c r="EA443" s="3" t="str">
        <f t="shared" si="105"/>
        <v>WERRONEN, Alton</v>
      </c>
      <c r="EB443" s="2">
        <f t="shared" si="106"/>
        <v>1</v>
      </c>
      <c r="EC443" s="112">
        <f t="shared" si="103"/>
        <v>0</v>
      </c>
      <c r="ED443" s="29">
        <f t="shared" si="107"/>
        <v>30.862843534768178</v>
      </c>
      <c r="EE443" s="2">
        <f t="shared" si="108"/>
        <v>0</v>
      </c>
      <c r="EF443" s="46">
        <f t="shared" si="109"/>
        <v>0</v>
      </c>
      <c r="EG443" s="46">
        <f t="shared" si="110"/>
        <v>1</v>
      </c>
      <c r="EH443" s="2" t="str">
        <f t="shared" si="111"/>
        <v>WA</v>
      </c>
      <c r="EI443" s="29">
        <f>IF(COUNT(I443:AD443)&lt;5,DZ443,SUMPRODUCT(LARGE(I443:AD443,{1,2,3,4,5}))/5)</f>
        <v>31.368994168738375</v>
      </c>
      <c r="EJ443" s="29">
        <f>IF(COUNT(I443:BE443)&lt;5,DZ443,SUMPRODUCT(LARGE(I443:BE443,{1,2,3,4,5}))/5)</f>
        <v>31.368994168738375</v>
      </c>
      <c r="EK443" s="112">
        <f>IF(COUNT(I443:DY443)&lt;5,AVERAGE(I443:DY443),SUMPRODUCT(LARGE(I443:DY443,{1,2,3,4,5}))/5)</f>
        <v>31.368994168738375</v>
      </c>
      <c r="EL443" s="29">
        <f t="shared" si="112"/>
        <v>30.862843534768178</v>
      </c>
      <c r="EM443" s="116" t="str">
        <f t="shared" si="113"/>
        <v>WERRONEN, Alton</v>
      </c>
      <c r="EQ443"/>
    </row>
    <row r="444" spans="1:147" x14ac:dyDescent="0.25">
      <c r="A444" s="59">
        <f t="shared" si="99"/>
        <v>441</v>
      </c>
      <c r="B444" s="32" t="s">
        <v>808</v>
      </c>
      <c r="C444" s="5" t="s">
        <v>16</v>
      </c>
      <c r="D444" s="6" t="s">
        <v>63</v>
      </c>
      <c r="E444" s="6">
        <v>80.85754637552489</v>
      </c>
      <c r="F444" s="6">
        <v>80.557714578078887</v>
      </c>
      <c r="G444" s="5">
        <f t="shared" si="101"/>
        <v>13</v>
      </c>
      <c r="H444" s="37">
        <v>67.576996559312562</v>
      </c>
      <c r="I444" s="107"/>
      <c r="J444" s="7"/>
      <c r="K444" s="74"/>
      <c r="L444" s="7"/>
      <c r="M444" s="74"/>
      <c r="N444" s="74"/>
      <c r="O444" s="7"/>
      <c r="P444" s="74"/>
      <c r="Q444" s="7"/>
      <c r="R444" s="74"/>
      <c r="S444" s="74"/>
      <c r="T444" s="7"/>
      <c r="U444" s="7"/>
      <c r="V444" s="74"/>
      <c r="W444" s="7"/>
      <c r="X444" s="7">
        <f>(INDEX('Race 16'!$E$8:$E$200,(MATCH($B444,'Race 16'!$B$8:$B$200,0)),1))*100</f>
        <v>82.470888290371818</v>
      </c>
      <c r="Y444" s="227">
        <f>(INDEX('Race 17'!$E$8:$E$200,(MATCH($B444,'Race 17'!$B$8:$B$200,0)),1))*100</f>
        <v>79.244204460677963</v>
      </c>
      <c r="Z444" s="228"/>
      <c r="AA444" s="74"/>
      <c r="AB444" s="74"/>
      <c r="AC444" s="74"/>
      <c r="AD444" s="74"/>
      <c r="AE444" s="7"/>
      <c r="AF444" s="74"/>
      <c r="AG444" s="74"/>
      <c r="AH444" s="7"/>
      <c r="AI444" s="7"/>
      <c r="AJ444" s="7"/>
      <c r="AK444" s="7"/>
      <c r="AL444" s="7"/>
      <c r="AM444" s="7"/>
      <c r="AN444" s="7"/>
      <c r="AO444" s="74"/>
      <c r="AP444" s="7"/>
      <c r="AQ444" s="74"/>
      <c r="AR444" s="101"/>
      <c r="AS444" s="7"/>
      <c r="AT444" s="101">
        <f>(INDEX('Race 38'!$E$8:$E$200,(MATCH($B444,'Race 38'!$B$8:$B$200,0)),1))*100</f>
        <v>79.727544059051155</v>
      </c>
      <c r="AU444" s="74">
        <f>(INDEX('Race 39'!$E$8:$E$200,(MATCH($B444,'Race 39'!$B$8:$B$200,0)),1))*100</f>
        <v>84.391729594786611</v>
      </c>
      <c r="AV444" s="101"/>
      <c r="AW444" s="74"/>
      <c r="AX444" s="8">
        <f>(INDEX('Race 42'!$E$8:$E$200,(MATCH($B444,'Race 42'!$B$8:$B$200,0)),1))*100</f>
        <v>76.954206485506916</v>
      </c>
      <c r="AY444" s="36"/>
      <c r="AZ444" s="7">
        <f>(INDEX('Race 44'!$E$8:$E$200,(MATCH($B444,'Race 44'!$B$8:$B$200,0)),1))*100</f>
        <v>78.892490900738949</v>
      </c>
      <c r="BA444" s="74"/>
      <c r="BB444" s="7">
        <f>(INDEX('Race 46'!$E$8:$E$200,(MATCH($B444,'Race 46'!$B$8:$B$200,0)),1))*100</f>
        <v>74.581996766152642</v>
      </c>
      <c r="BC444" s="74"/>
      <c r="BD444" s="7"/>
      <c r="BE444" s="7">
        <f>(INDEX('Race 49'!$E$8:$E$200,(MATCH($B444,'Race 49'!$B$8:$B$200,0)),1))*100</f>
        <v>80.881700221374047</v>
      </c>
      <c r="BF444" s="74"/>
      <c r="BG444" s="74"/>
      <c r="BH444" s="74"/>
      <c r="BI444" s="74"/>
      <c r="BJ444" s="74"/>
      <c r="BK444" s="7"/>
      <c r="BL444" s="74"/>
      <c r="BM444" s="7"/>
      <c r="BN444" s="74"/>
      <c r="BO444" s="74"/>
      <c r="BP444" s="7">
        <f>(INDEX('Race 60'!$E$8:$E$200,(MATCH($B444,'Race 60'!$B$8:$B$200,0)),1))*100</f>
        <v>76.503451929911108</v>
      </c>
      <c r="BQ444" s="7">
        <f>(INDEX('Race 61'!$E$8:$E$200,(MATCH($B444,'Race 61'!$B$8:$B$200,0)),1))*100</f>
        <v>58.745595650027447</v>
      </c>
      <c r="BR444" s="7"/>
      <c r="BS444" s="7"/>
      <c r="BT444" s="7"/>
      <c r="BU444" s="74"/>
      <c r="BV444" s="7"/>
      <c r="BW444" s="74"/>
      <c r="BX444" s="74"/>
      <c r="BY444" s="7"/>
      <c r="BZ444" s="74"/>
      <c r="CA444" s="7"/>
      <c r="CB444" s="74"/>
      <c r="CC444" s="74"/>
      <c r="CD444" s="74"/>
      <c r="CE444" s="7"/>
      <c r="CF444" s="74"/>
      <c r="CG444" s="74"/>
      <c r="CH444" s="7"/>
      <c r="CI444" s="74"/>
      <c r="CJ444" s="74"/>
      <c r="CK444" s="101"/>
      <c r="CL444" s="74"/>
      <c r="CM444" s="74"/>
      <c r="CN444" s="74"/>
      <c r="CO444" s="101">
        <f>(INDEX('Race 85'!$E$8:$E$200,(MATCH($B444,'Race 85'!$B$8:$B$200,0)),1))*100</f>
        <v>85.322331592601472</v>
      </c>
      <c r="CP444" s="74"/>
      <c r="CQ444" s="74">
        <f>(INDEX('Race 87'!$E$8:$E$200,(MATCH($B444,'Race 87'!$B$8:$B$200,0)),1))*100</f>
        <v>85.217708093989785</v>
      </c>
      <c r="CR444" s="74"/>
      <c r="CS444" s="74"/>
      <c r="CT444" s="74"/>
      <c r="CU444" s="74"/>
      <c r="CV444" s="74"/>
      <c r="CW444" s="74">
        <f>(INDEX('Race 93'!$E$8:$E$200,(MATCH($B444,'Race 93'!$B$8:$B$200,0)),1))*100</f>
        <v>81.599399722460618</v>
      </c>
      <c r="CX444" s="7"/>
      <c r="CY444" s="7"/>
      <c r="CZ444" s="74"/>
      <c r="DA444" s="74"/>
      <c r="DB444" s="74"/>
      <c r="DC444" s="74"/>
      <c r="DD444" s="7"/>
      <c r="DE444" s="74"/>
      <c r="DF444" s="74"/>
      <c r="DG444" s="74"/>
      <c r="DH444" s="74"/>
      <c r="DI444" s="74"/>
      <c r="DJ444" s="7"/>
      <c r="DK444" s="74"/>
      <c r="DL444" s="74"/>
      <c r="DM444" s="74"/>
      <c r="DN444" s="74"/>
      <c r="DO444" s="74"/>
      <c r="DP444" s="7"/>
      <c r="DQ444" s="7"/>
      <c r="DR444" s="7"/>
      <c r="DS444" s="7"/>
      <c r="DT444" s="74"/>
      <c r="DU444" s="74"/>
      <c r="DV444" s="74"/>
      <c r="DW444" s="74"/>
      <c r="DX444" s="74"/>
      <c r="DY444" s="74"/>
      <c r="DZ444" s="8">
        <f t="shared" si="104"/>
        <v>78.810249828280817</v>
      </c>
      <c r="EA444" s="22" t="str">
        <f t="shared" si="105"/>
        <v>Westervelt, Bjorn</v>
      </c>
      <c r="EB444" s="56">
        <f t="shared" si="106"/>
        <v>1</v>
      </c>
      <c r="EC444" s="112">
        <f t="shared" si="103"/>
        <v>67.576996559312562</v>
      </c>
      <c r="ED444" s="112">
        <f t="shared" si="107"/>
        <v>82.448259994925294</v>
      </c>
      <c r="EE444" s="56">
        <f t="shared" si="108"/>
        <v>2</v>
      </c>
      <c r="EF444" s="111">
        <f t="shared" si="109"/>
        <v>10</v>
      </c>
      <c r="EG444" s="111">
        <f t="shared" si="110"/>
        <v>13</v>
      </c>
      <c r="EH444" s="112" t="str">
        <f t="shared" si="111"/>
        <v>VT</v>
      </c>
      <c r="EI444" s="112">
        <f>IF(COUNT(I444:Y444)&lt;5,DZ444,SUMPRODUCT(LARGE(I444:Y444,{1,2,3,4,5}))/5)</f>
        <v>78.810249828280817</v>
      </c>
      <c r="EJ444" s="112">
        <f>IF(COUNT(I444:AX444)&lt;5,DZ444,SUMPRODUCT(LARGE(I444:AX444,{1,2,3,4,5}))/5)</f>
        <v>80.557714578078887</v>
      </c>
      <c r="EK444" s="29">
        <f>IF(COUNT(I444:DY444)&lt;5,AVERAGE(I444:DY444),SUMPRODUCT(LARGE(I444:DY444,{1,2,3,4,5}))/5)</f>
        <v>83.800411458842063</v>
      </c>
      <c r="EL444" s="112">
        <f t="shared" si="112"/>
        <v>82.448259994925294</v>
      </c>
      <c r="EM444" s="163" t="str">
        <f t="shared" si="113"/>
        <v>Westervelt, Bjorn</v>
      </c>
      <c r="EQ444"/>
    </row>
    <row r="445" spans="1:147" x14ac:dyDescent="0.25">
      <c r="A445" s="59">
        <f t="shared" si="99"/>
        <v>442</v>
      </c>
      <c r="B445" s="32" t="s">
        <v>250</v>
      </c>
      <c r="C445" s="5" t="s">
        <v>6</v>
      </c>
      <c r="D445" s="6" t="s">
        <v>63</v>
      </c>
      <c r="E445" s="6">
        <v>70.74923745396147</v>
      </c>
      <c r="F445" s="6">
        <v>71.480726370714407</v>
      </c>
      <c r="G445" s="5">
        <f t="shared" si="101"/>
        <v>4</v>
      </c>
      <c r="H445" s="37">
        <v>70.74923745396147</v>
      </c>
      <c r="I445" s="107"/>
      <c r="J445" s="7"/>
      <c r="K445" s="74"/>
      <c r="L445" s="7"/>
      <c r="M445" s="74"/>
      <c r="N445" s="74"/>
      <c r="O445" s="7"/>
      <c r="P445" s="74"/>
      <c r="Q445" s="74"/>
      <c r="R445" s="74"/>
      <c r="S445" s="74"/>
      <c r="T445" s="7"/>
      <c r="U445" s="7"/>
      <c r="V445" s="74"/>
      <c r="W445" s="7"/>
      <c r="X445" s="74"/>
      <c r="Y445" s="227"/>
      <c r="Z445" s="228"/>
      <c r="AA445" s="74"/>
      <c r="AB445" s="74"/>
      <c r="AC445" s="74"/>
      <c r="AD445" s="74"/>
      <c r="AE445" s="7"/>
      <c r="AF445" s="74"/>
      <c r="AG445" s="74"/>
      <c r="AH445" s="74"/>
      <c r="AI445" s="74"/>
      <c r="AJ445" s="74"/>
      <c r="AK445" s="74"/>
      <c r="AL445" s="7"/>
      <c r="AM445" s="74"/>
      <c r="AN445" s="7"/>
      <c r="AO445" s="74"/>
      <c r="AP445" s="7"/>
      <c r="AQ445" s="74"/>
      <c r="AR445" s="101"/>
      <c r="AS445" s="7"/>
      <c r="AT445" s="101"/>
      <c r="AU445" s="7"/>
      <c r="AV445" s="101"/>
      <c r="AW445" s="7">
        <f>(INDEX('Race 41'!$E$8:$E$200,(MATCH($B445,'Race 41'!$B$8:$B$200,0)),1))*100</f>
        <v>66.994851575294447</v>
      </c>
      <c r="AX445" s="8">
        <f>(INDEX('Race 42'!$E$8:$E$200,(MATCH($B445,'Race 42'!$B$8:$B$200,0)),1))*100</f>
        <v>75.966601166134367</v>
      </c>
      <c r="AY445" s="36"/>
      <c r="AZ445" s="74"/>
      <c r="BA445" s="74"/>
      <c r="BB445" s="74"/>
      <c r="BC445" s="74"/>
      <c r="BD445" s="7"/>
      <c r="BE445" s="7"/>
      <c r="BF445" s="74"/>
      <c r="BG445" s="74"/>
      <c r="BH445" s="74"/>
      <c r="BI445" s="74"/>
      <c r="BJ445" s="74"/>
      <c r="BK445" s="7"/>
      <c r="BL445" s="74"/>
      <c r="BM445" s="7"/>
      <c r="BN445" s="74"/>
      <c r="BO445" s="74"/>
      <c r="BP445" s="7"/>
      <c r="BQ445" s="7"/>
      <c r="BR445" s="74"/>
      <c r="BS445" s="7"/>
      <c r="BT445" s="7"/>
      <c r="BU445" s="74"/>
      <c r="BV445" s="74"/>
      <c r="BW445" s="74"/>
      <c r="BX445" s="74"/>
      <c r="BY445" s="74"/>
      <c r="BZ445" s="74"/>
      <c r="CA445" s="7"/>
      <c r="CB445" s="74"/>
      <c r="CC445" s="74"/>
      <c r="CD445" s="74"/>
      <c r="CE445" s="74">
        <f>(INDEX('Race 75'!$E$8:$E$200,(MATCH($B445,'Race 75'!$B$8:$B$200,0)),1))*100</f>
        <v>75.259300097421217</v>
      </c>
      <c r="CF445" s="74">
        <f>(INDEX('Race 76'!$E$8:$E$200,(MATCH($B445,'Race 76'!$B$8:$B$200,0)),1))*100</f>
        <v>72.793224098781153</v>
      </c>
      <c r="CG445" s="74"/>
      <c r="CH445" s="74"/>
      <c r="CI445" s="74"/>
      <c r="CJ445" s="74"/>
      <c r="CK445" s="101"/>
      <c r="CL445" s="74"/>
      <c r="CM445" s="74"/>
      <c r="CN445" s="74"/>
      <c r="CO445" s="101"/>
      <c r="CP445" s="74"/>
      <c r="CQ445" s="74"/>
      <c r="CR445" s="74"/>
      <c r="CS445" s="74"/>
      <c r="CT445" s="74"/>
      <c r="CU445" s="74"/>
      <c r="CV445" s="74"/>
      <c r="CW445" s="74"/>
      <c r="CX445" s="7"/>
      <c r="CY445" s="7"/>
      <c r="CZ445" s="74"/>
      <c r="DA445" s="74"/>
      <c r="DB445" s="74"/>
      <c r="DC445" s="74"/>
      <c r="DD445" s="74"/>
      <c r="DE445" s="74"/>
      <c r="DF445" s="74"/>
      <c r="DG445" s="74"/>
      <c r="DH445" s="74"/>
      <c r="DI445" s="74"/>
      <c r="DJ445" s="74"/>
      <c r="DK445" s="74"/>
      <c r="DL445" s="74"/>
      <c r="DM445" s="74"/>
      <c r="DN445" s="74"/>
      <c r="DO445" s="74"/>
      <c r="DP445" s="74"/>
      <c r="DQ445" s="74"/>
      <c r="DR445" s="7"/>
      <c r="DS445" s="7"/>
      <c r="DT445" s="74"/>
      <c r="DU445" s="74"/>
      <c r="DV445" s="74"/>
      <c r="DW445" s="74"/>
      <c r="DX445" s="74"/>
      <c r="DY445" s="74"/>
      <c r="DZ445" s="8">
        <f t="shared" si="104"/>
        <v>72.753494234407796</v>
      </c>
      <c r="EA445" s="3" t="str">
        <f t="shared" si="105"/>
        <v>Westover, Daniel</v>
      </c>
      <c r="EB445" s="2">
        <f t="shared" si="106"/>
        <v>1</v>
      </c>
      <c r="EC445" s="112">
        <f t="shared" si="103"/>
        <v>70.74923745396147</v>
      </c>
      <c r="ED445" s="29">
        <f t="shared" si="107"/>
        <v>71.579588975214278</v>
      </c>
      <c r="EE445" s="2">
        <f t="shared" si="108"/>
        <v>0</v>
      </c>
      <c r="EF445" s="46">
        <f t="shared" si="109"/>
        <v>2</v>
      </c>
      <c r="EG445" s="46">
        <f t="shared" si="110"/>
        <v>4</v>
      </c>
      <c r="EH445" s="29" t="str">
        <f t="shared" si="111"/>
        <v>VT</v>
      </c>
      <c r="EI445" s="29">
        <f>IF(COUNT(I445:Y445)&lt;5,DZ445,SUMPRODUCT(LARGE(I445:Y445,{1,2,3,4,5}))/5)</f>
        <v>72.753494234407796</v>
      </c>
      <c r="EJ445" s="29">
        <f>IF(COUNT(I445:AX445)&lt;5,DZ445,SUMPRODUCT(LARGE(I445:AX445,{1,2,3,4,5}))/5)</f>
        <v>72.753494234407796</v>
      </c>
      <c r="EK445" s="29">
        <f>IF(COUNT(I445:DY445)&lt;5,AVERAGE(I445:DY445),SUMPRODUCT(LARGE(I445:DY445,{1,2,3,4,5}))/5)</f>
        <v>72.753494234407796</v>
      </c>
      <c r="EL445" s="29">
        <f t="shared" si="112"/>
        <v>71.579588975214278</v>
      </c>
      <c r="EM445" s="116" t="str">
        <f t="shared" si="113"/>
        <v>Westover, Daniel</v>
      </c>
      <c r="EQ445"/>
    </row>
    <row r="446" spans="1:147" x14ac:dyDescent="0.25">
      <c r="A446" s="59">
        <f t="shared" si="99"/>
        <v>443</v>
      </c>
      <c r="B446" s="32" t="s">
        <v>281</v>
      </c>
      <c r="C446" s="5" t="s">
        <v>6</v>
      </c>
      <c r="D446" s="6" t="s">
        <v>62</v>
      </c>
      <c r="E446" s="6">
        <v>45.781614416307285</v>
      </c>
      <c r="F446" s="6">
        <v>44.084117012666376</v>
      </c>
      <c r="G446" s="5">
        <f t="shared" si="101"/>
        <v>2</v>
      </c>
      <c r="H446" s="37">
        <v>45.781614416307285</v>
      </c>
      <c r="I446" s="36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227"/>
      <c r="Z446" s="228"/>
      <c r="AA446" s="7"/>
      <c r="AB446" s="7"/>
      <c r="AC446" s="7"/>
      <c r="AD446" s="7"/>
      <c r="AE446" s="7"/>
      <c r="AF446" s="7"/>
      <c r="AG446" s="74">
        <f>(INDEX('Race 25'!$E$8:$E$200,(MATCH($B446,'Race 25'!$B$8:$B$200,0)),1))*100</f>
        <v>44.084117012666376</v>
      </c>
      <c r="AH446" s="7"/>
      <c r="AI446" s="7"/>
      <c r="AJ446" s="7"/>
      <c r="AK446" s="7"/>
      <c r="AL446" s="7"/>
      <c r="AM446" s="7"/>
      <c r="AN446" s="7"/>
      <c r="AO446" s="7"/>
      <c r="AP446" s="7"/>
      <c r="AQ446" s="74"/>
      <c r="AR446" s="70"/>
      <c r="AS446" s="7"/>
      <c r="AT446" s="70"/>
      <c r="AU446" s="7"/>
      <c r="AV446" s="70"/>
      <c r="AW446" s="7"/>
      <c r="AX446" s="8"/>
      <c r="AY446" s="36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4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101"/>
      <c r="CL446" s="74"/>
      <c r="CM446" s="74"/>
      <c r="CN446" s="74"/>
      <c r="CO446" s="70"/>
      <c r="CP446" s="74"/>
      <c r="CQ446" s="7"/>
      <c r="CR446" s="74"/>
      <c r="CS446" s="74"/>
      <c r="CT446" s="74"/>
      <c r="CU446" s="74"/>
      <c r="CV446" s="74"/>
      <c r="CW446" s="7"/>
      <c r="CX446" s="7"/>
      <c r="CY446" s="7">
        <f>(INDEX('Race 95'!$E$8:$E$200,(MATCH($B446,'Race 95'!$B$8:$B$200,0)),1))*100</f>
        <v>49.866563358988117</v>
      </c>
      <c r="CZ446" s="7"/>
      <c r="DA446" s="7"/>
      <c r="DB446" s="7"/>
      <c r="DC446" s="7"/>
      <c r="DD446" s="7"/>
      <c r="DE446" s="74"/>
      <c r="DF446" s="74"/>
      <c r="DG446" s="74"/>
      <c r="DH446" s="74"/>
      <c r="DI446" s="74"/>
      <c r="DJ446" s="7"/>
      <c r="DK446" s="7"/>
      <c r="DL446" s="7"/>
      <c r="DM446" s="7"/>
      <c r="DN446" s="74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8">
        <f t="shared" si="104"/>
        <v>46.97534018582725</v>
      </c>
      <c r="EA446" s="3" t="str">
        <f t="shared" si="105"/>
        <v>Wheeler, Henry</v>
      </c>
      <c r="EB446" s="2">
        <f t="shared" si="106"/>
        <v>1</v>
      </c>
      <c r="EC446" s="112">
        <f t="shared" si="103"/>
        <v>45.781614416307285</v>
      </c>
      <c r="ED446" s="29">
        <f t="shared" si="107"/>
        <v>46.217375232022093</v>
      </c>
      <c r="EE446" s="2">
        <f t="shared" si="108"/>
        <v>1</v>
      </c>
      <c r="EF446" s="46">
        <f t="shared" si="109"/>
        <v>1</v>
      </c>
      <c r="EG446" s="46">
        <f t="shared" si="110"/>
        <v>2</v>
      </c>
      <c r="EH446" s="2" t="str">
        <f t="shared" si="111"/>
        <v>CO</v>
      </c>
      <c r="EI446" s="29">
        <f>IF(COUNT(I446:Y446)&lt;5,DZ446,SUMPRODUCT(LARGE(I446:Y446,{1,2,3,4,5}))/5)</f>
        <v>46.97534018582725</v>
      </c>
      <c r="EJ446" s="29">
        <f>IF(COUNT(I446:AX446)&lt;5,DZ446,SUMPRODUCT(LARGE(I446:AX446,{1,2,3,4,5}))/5)</f>
        <v>46.97534018582725</v>
      </c>
      <c r="EK446" s="29">
        <f>IF(COUNT(I446:DY446)&lt;5,AVERAGE(I446:DY446),SUMPRODUCT(LARGE(I446:DY446,{1,2,3,4,5}))/5)</f>
        <v>46.97534018582725</v>
      </c>
      <c r="EL446" s="29">
        <f t="shared" si="112"/>
        <v>46.217375232022093</v>
      </c>
      <c r="EM446" s="116" t="str">
        <f t="shared" si="113"/>
        <v>Wheeler, Henry</v>
      </c>
      <c r="EQ446"/>
    </row>
    <row r="447" spans="1:147" x14ac:dyDescent="0.25">
      <c r="A447" s="59">
        <f t="shared" si="99"/>
        <v>444</v>
      </c>
      <c r="B447" s="32" t="s">
        <v>1082</v>
      </c>
      <c r="C447" s="5" t="s">
        <v>6</v>
      </c>
      <c r="D447" s="6" t="s">
        <v>69</v>
      </c>
      <c r="E447" s="6">
        <v>51.673516559847222</v>
      </c>
      <c r="F447" s="6">
        <v>50.185121139002248</v>
      </c>
      <c r="G447" s="5">
        <f t="shared" si="101"/>
        <v>4</v>
      </c>
      <c r="H447" s="37">
        <v>51.673516559847222</v>
      </c>
      <c r="I447" s="36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227"/>
      <c r="Z447" s="228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4">
        <f>(INDEX('Race 31'!$E$8:$E$200,(MATCH($B447,'Race 31'!$B$8:$B$200,0)),1))*100</f>
        <v>54.146424734545064</v>
      </c>
      <c r="AN447" s="74">
        <f>(INDEX('Race 32'!$E$8:$E$200,(MATCH($B447,'Race 32'!$B$8:$B$200,0)),1))*100</f>
        <v>46.223817543459425</v>
      </c>
      <c r="AO447" s="74"/>
      <c r="AP447" s="7"/>
      <c r="AQ447" s="74"/>
      <c r="AR447" s="70"/>
      <c r="AS447" s="7"/>
      <c r="AT447" s="70"/>
      <c r="AU447" s="7"/>
      <c r="AV447" s="70"/>
      <c r="AW447" s="7"/>
      <c r="AX447" s="183"/>
      <c r="AY447" s="10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4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4"/>
      <c r="CF447" s="74"/>
      <c r="CG447" s="7"/>
      <c r="CH447" s="7"/>
      <c r="CI447" s="7"/>
      <c r="CJ447" s="7"/>
      <c r="CK447" s="101">
        <f>(INDEX('Race 81'!$E$8:$E$200,(MATCH($B447,'Race 81'!$B$8:$B$200,0)),1))*100</f>
        <v>49.547203647929074</v>
      </c>
      <c r="CL447" s="74">
        <f>(INDEX('Race 82'!$E$8:$E$200,(MATCH($B447,'Race 82'!$B$8:$B$200,0)),1))*100</f>
        <v>64.198916306975576</v>
      </c>
      <c r="CM447" s="74"/>
      <c r="CN447" s="74"/>
      <c r="CO447" s="70"/>
      <c r="CP447" s="74"/>
      <c r="CQ447" s="7"/>
      <c r="CR447" s="74"/>
      <c r="CS447" s="74"/>
      <c r="CT447" s="74"/>
      <c r="CU447" s="74"/>
      <c r="CV447" s="74"/>
      <c r="CW447" s="7"/>
      <c r="CX447" s="7"/>
      <c r="CY447" s="7"/>
      <c r="CZ447" s="7"/>
      <c r="DA447" s="7"/>
      <c r="DB447" s="7"/>
      <c r="DC447" s="7"/>
      <c r="DD447" s="7"/>
      <c r="DE447" s="74"/>
      <c r="DF447" s="74"/>
      <c r="DG447" s="74"/>
      <c r="DH447" s="74"/>
      <c r="DI447" s="74"/>
      <c r="DJ447" s="7"/>
      <c r="DK447" s="7"/>
      <c r="DL447" s="7"/>
      <c r="DM447" s="7"/>
      <c r="DN447" s="74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8">
        <f t="shared" si="104"/>
        <v>53.529090558227288</v>
      </c>
      <c r="EA447" s="3" t="str">
        <f t="shared" si="105"/>
        <v>WHISLER, John</v>
      </c>
      <c r="EB447" s="2">
        <f t="shared" si="106"/>
        <v>1</v>
      </c>
      <c r="EC447" s="112">
        <f t="shared" si="103"/>
        <v>51.673516559847222</v>
      </c>
      <c r="ED447" s="29">
        <f t="shared" si="107"/>
        <v>52.665378353234246</v>
      </c>
      <c r="EE447" s="2">
        <f t="shared" si="108"/>
        <v>0</v>
      </c>
      <c r="EF447" s="46">
        <f t="shared" si="109"/>
        <v>2</v>
      </c>
      <c r="EG447" s="46">
        <f t="shared" si="110"/>
        <v>4</v>
      </c>
      <c r="EH447" s="2" t="str">
        <f t="shared" si="111"/>
        <v>WA</v>
      </c>
      <c r="EI447" s="29">
        <f>IF(COUNT(I447:Y447)&lt;5,DZ447,SUMPRODUCT(LARGE(I447:Y447,{1,2,3,4,5}))/5)</f>
        <v>53.529090558227288</v>
      </c>
      <c r="EJ447" s="29">
        <f>IF(COUNT(I447:AX447)&lt;5,DZ447,SUMPRODUCT(LARGE(I447:AX447,{1,2,3,4,5}))/5)</f>
        <v>53.529090558227288</v>
      </c>
      <c r="EK447" s="29">
        <f>IF(COUNT(I447:DY447)&lt;5,AVERAGE(I447:DY447),SUMPRODUCT(LARGE(I447:DY447,{1,2,3,4,5}))/5)</f>
        <v>53.529090558227288</v>
      </c>
      <c r="EL447" s="29">
        <f t="shared" si="112"/>
        <v>52.665378353234246</v>
      </c>
      <c r="EM447" s="116" t="str">
        <f t="shared" si="113"/>
        <v>WHISLER, John</v>
      </c>
      <c r="EQ447"/>
    </row>
    <row r="448" spans="1:147" x14ac:dyDescent="0.25">
      <c r="A448" s="59">
        <f t="shared" si="99"/>
        <v>445</v>
      </c>
      <c r="B448" s="32" t="s">
        <v>1204</v>
      </c>
      <c r="C448" s="5" t="s">
        <v>6</v>
      </c>
      <c r="D448" s="6" t="s">
        <v>62</v>
      </c>
      <c r="E448" s="6">
        <v>0</v>
      </c>
      <c r="F448" s="6">
        <v>0</v>
      </c>
      <c r="G448" s="5">
        <f t="shared" si="101"/>
        <v>1</v>
      </c>
      <c r="H448" s="37">
        <v>0</v>
      </c>
      <c r="I448" s="36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227"/>
      <c r="Z448" s="228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4"/>
      <c r="AP448" s="7"/>
      <c r="AQ448" s="74"/>
      <c r="AR448" s="70"/>
      <c r="AS448" s="7"/>
      <c r="AT448" s="70"/>
      <c r="AU448" s="7"/>
      <c r="AV448" s="70"/>
      <c r="AW448" s="7"/>
      <c r="AX448" s="8"/>
      <c r="AY448" s="36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4"/>
      <c r="BO448" s="7"/>
      <c r="BP448" s="7"/>
      <c r="BQ448" s="7"/>
      <c r="BR448" s="7"/>
      <c r="BS448" s="7"/>
      <c r="BT448" s="7">
        <f>(INDEX('Race 64'!$E$8:$E$200,(MATCH($B448,'Race 64'!$B$8:$B$200,0)),1))*100</f>
        <v>54.206325956580095</v>
      </c>
      <c r="BU448" s="7"/>
      <c r="BV448" s="7"/>
      <c r="BW448" s="7"/>
      <c r="BX448" s="7"/>
      <c r="BY448" s="74"/>
      <c r="BZ448" s="74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101"/>
      <c r="CL448" s="74"/>
      <c r="CM448" s="74"/>
      <c r="CN448" s="74"/>
      <c r="CO448" s="70"/>
      <c r="CP448" s="74"/>
      <c r="CQ448" s="7"/>
      <c r="CR448" s="74"/>
      <c r="CS448" s="74"/>
      <c r="CT448" s="74"/>
      <c r="CU448" s="74"/>
      <c r="CV448" s="7"/>
      <c r="CW448" s="7"/>
      <c r="CX448" s="7"/>
      <c r="CY448" s="7"/>
      <c r="CZ448" s="7"/>
      <c r="DA448" s="7"/>
      <c r="DB448" s="7"/>
      <c r="DC448" s="7"/>
      <c r="DD448" s="7"/>
      <c r="DE448" s="74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8">
        <f t="shared" si="104"/>
        <v>54.206325956580095</v>
      </c>
      <c r="EA448" s="3" t="str">
        <f t="shared" si="105"/>
        <v>Whitesel, Bruce</v>
      </c>
      <c r="EB448" s="2">
        <f t="shared" si="106"/>
        <v>1</v>
      </c>
      <c r="EC448" s="112">
        <f t="shared" si="103"/>
        <v>0</v>
      </c>
      <c r="ED448" s="29">
        <f t="shared" si="107"/>
        <v>53.331686301239763</v>
      </c>
      <c r="EE448" s="2">
        <f t="shared" si="108"/>
        <v>0</v>
      </c>
      <c r="EF448" s="46">
        <f t="shared" si="109"/>
        <v>0</v>
      </c>
      <c r="EG448" s="46">
        <f t="shared" si="110"/>
        <v>1</v>
      </c>
      <c r="EH448" s="29" t="str">
        <f t="shared" si="111"/>
        <v>CO</v>
      </c>
      <c r="EI448" s="29">
        <f>IF(COUNT(I448:AD448)&lt;5,DZ448,SUMPRODUCT(LARGE(I448:AD448,{1,2,3,4,5}))/5)</f>
        <v>54.206325956580095</v>
      </c>
      <c r="EJ448" s="29">
        <f>IF(COUNT(I448:BE448)&lt;5,DZ448,SUMPRODUCT(LARGE(I448:BE448,{1,2,3,4,5}))/5)</f>
        <v>54.206325956580095</v>
      </c>
      <c r="EK448" s="112">
        <f>IF(COUNT(I448:DY448)&lt;5,AVERAGE(I448:DY448),SUMPRODUCT(LARGE(I448:DY448,{1,2,3,4,5}))/5)</f>
        <v>54.206325956580095</v>
      </c>
      <c r="EL448" s="29">
        <f t="shared" si="112"/>
        <v>53.331686301239763</v>
      </c>
      <c r="EM448" s="116" t="str">
        <f t="shared" si="113"/>
        <v>Whitesel, Bruce</v>
      </c>
      <c r="EQ448"/>
    </row>
    <row r="449" spans="1:147" x14ac:dyDescent="0.25">
      <c r="A449" s="59">
        <f t="shared" si="99"/>
        <v>446</v>
      </c>
      <c r="B449" s="32" t="s">
        <v>847</v>
      </c>
      <c r="C449" s="5" t="s">
        <v>16</v>
      </c>
      <c r="D449" s="6" t="s">
        <v>66</v>
      </c>
      <c r="E449" s="6">
        <v>77.868356934222959</v>
      </c>
      <c r="F449" s="6">
        <v>77.868356934222959</v>
      </c>
      <c r="G449" s="5">
        <f t="shared" si="101"/>
        <v>8</v>
      </c>
      <c r="H449" s="37">
        <v>64.150558601474174</v>
      </c>
      <c r="I449" s="36"/>
      <c r="J449" s="7"/>
      <c r="K449" s="7"/>
      <c r="L449" s="7"/>
      <c r="M449" s="7"/>
      <c r="N449" s="7"/>
      <c r="O449" s="7"/>
      <c r="P449" s="7"/>
      <c r="Q449" s="7">
        <f>(INDEX('Race 9'!$E$8:$E$200,(MATCH($B449,'Race 9'!$B$8:$B$200,0)),1))*100</f>
        <v>74.178311692919621</v>
      </c>
      <c r="R449" s="7"/>
      <c r="S449" s="7"/>
      <c r="T449" s="7"/>
      <c r="U449" s="7"/>
      <c r="V449" s="7"/>
      <c r="W449" s="7"/>
      <c r="X449" s="7">
        <f>(INDEX('Race 16'!$E$8:$E$200,(MATCH($B449,'Race 16'!$B$8:$B$200,0)),1))*100</f>
        <v>79.440125832495809</v>
      </c>
      <c r="Y449" s="227">
        <f>(INDEX('Race 17'!$E$8:$E$200,(MATCH($B449,'Race 17'!$B$8:$B$200,0)),1))*100</f>
        <v>79.986633277253432</v>
      </c>
      <c r="Z449" s="228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4"/>
      <c r="AP449" s="7"/>
      <c r="AQ449" s="74"/>
      <c r="AR449" s="70"/>
      <c r="AS449" s="7"/>
      <c r="AT449" s="70"/>
      <c r="AU449" s="7"/>
      <c r="AV449" s="70"/>
      <c r="AW449" s="7"/>
      <c r="AX449" s="183"/>
      <c r="AY449" s="10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4"/>
      <c r="BO449" s="7"/>
      <c r="BP449" s="7"/>
      <c r="BQ449" s="7"/>
      <c r="BR449" s="7"/>
      <c r="BS449" s="7">
        <f>(INDEX('Race 63'!$E$8:$E$200,(MATCH($B449,'Race 63'!$B$8:$B$200,0)),1))*100</f>
        <v>83.100337700073226</v>
      </c>
      <c r="BT449" s="7">
        <f>(INDEX('Race 64'!$E$8:$E$200,(MATCH($B449,'Race 64'!$B$8:$B$200,0)),1))*100</f>
        <v>79.63077154760343</v>
      </c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4"/>
      <c r="CF449" s="74"/>
      <c r="CG449" s="7"/>
      <c r="CH449" s="7"/>
      <c r="CI449" s="7"/>
      <c r="CJ449" s="7"/>
      <c r="CK449" s="101"/>
      <c r="CL449" s="74"/>
      <c r="CM449" s="74"/>
      <c r="CN449" s="74"/>
      <c r="CO449" s="70">
        <f>(INDEX('Race 85'!$E$8:$E$200,(MATCH($B449,'Race 85'!$B$8:$B$200,0)),1))*100</f>
        <v>81.749868301913338</v>
      </c>
      <c r="CP449" s="74"/>
      <c r="CQ449" s="7">
        <f>(INDEX('Race 87'!$E$8:$E$200,(MATCH($B449,'Race 87'!$B$8:$B$200,0)),1))*100</f>
        <v>81.719791150186921</v>
      </c>
      <c r="CR449" s="74"/>
      <c r="CS449" s="74"/>
      <c r="CT449" s="74"/>
      <c r="CU449" s="74"/>
      <c r="CV449" s="7"/>
      <c r="CW449" s="7">
        <f>(INDEX('Race 93'!$E$8:$E$200,(MATCH($B449,'Race 93'!$B$8:$B$200,0)),1))*100</f>
        <v>84.284864721542874</v>
      </c>
      <c r="CX449" s="7"/>
      <c r="CY449" s="7"/>
      <c r="CZ449" s="7"/>
      <c r="DA449" s="7"/>
      <c r="DB449" s="7"/>
      <c r="DC449" s="7"/>
      <c r="DD449" s="7"/>
      <c r="DE449" s="74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8">
        <f t="shared" si="104"/>
        <v>80.51133802799859</v>
      </c>
      <c r="EA449" s="3" t="str">
        <f t="shared" si="105"/>
        <v>Wickland, Tristan</v>
      </c>
      <c r="EB449" s="2">
        <f t="shared" si="106"/>
        <v>1</v>
      </c>
      <c r="EC449" s="112">
        <f t="shared" si="103"/>
        <v>64.150558601474174</v>
      </c>
      <c r="ED449" s="29">
        <f t="shared" si="107"/>
        <v>80.842482320143603</v>
      </c>
      <c r="EE449" s="2">
        <f t="shared" si="108"/>
        <v>3</v>
      </c>
      <c r="EF449" s="46">
        <f t="shared" si="109"/>
        <v>3</v>
      </c>
      <c r="EG449" s="46">
        <f t="shared" si="110"/>
        <v>8</v>
      </c>
      <c r="EH449" s="29" t="str">
        <f t="shared" si="111"/>
        <v>WY</v>
      </c>
      <c r="EI449" s="29">
        <f>IF(COUNT(I449:Y449)&lt;5,DZ449,SUMPRODUCT(LARGE(I449:Y449,{1,2,3,4,5}))/5)</f>
        <v>80.51133802799859</v>
      </c>
      <c r="EJ449" s="29">
        <f>IF(COUNT(I449:AX449)&lt;5,DZ449,SUMPRODUCT(LARGE(I449:AX449,{1,2,3,4,5}))/5)</f>
        <v>80.51133802799859</v>
      </c>
      <c r="EK449" s="29">
        <f>IF(COUNT(I449:DY449)&lt;5,AVERAGE(I449:DY449),SUMPRODUCT(LARGE(I449:DY449,{1,2,3,4,5}))/5)</f>
        <v>82.16829903019395</v>
      </c>
      <c r="EL449" s="29">
        <f t="shared" si="112"/>
        <v>80.842482320143603</v>
      </c>
      <c r="EM449" s="116" t="str">
        <f t="shared" si="113"/>
        <v>Wickland, Tristan</v>
      </c>
      <c r="EQ449"/>
    </row>
    <row r="450" spans="1:147" x14ac:dyDescent="0.25">
      <c r="A450" s="59">
        <f t="shared" si="99"/>
        <v>447</v>
      </c>
      <c r="B450" s="32" t="s">
        <v>145</v>
      </c>
      <c r="C450" s="5" t="s">
        <v>6</v>
      </c>
      <c r="D450" s="6" t="s">
        <v>57</v>
      </c>
      <c r="E450" s="6">
        <v>60.519320587656843</v>
      </c>
      <c r="F450" s="6">
        <v>58.80339108596209</v>
      </c>
      <c r="G450" s="5">
        <f t="shared" si="101"/>
        <v>5</v>
      </c>
      <c r="H450" s="37">
        <v>60.519320587656843</v>
      </c>
      <c r="I450" s="36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227"/>
      <c r="Z450" s="228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4"/>
      <c r="AP450" s="7"/>
      <c r="AQ450" s="74"/>
      <c r="AR450" s="101">
        <f>(INDEX('Race 36'!$E$8:$E$200,(MATCH($B450,'Race 36'!$B$8:$B$200,0)),1))*100</f>
        <v>57.133472967776036</v>
      </c>
      <c r="AS450" s="7"/>
      <c r="AT450" s="70"/>
      <c r="AU450" s="7"/>
      <c r="AV450" s="70"/>
      <c r="AW450" s="7"/>
      <c r="AX450" s="8"/>
      <c r="AY450" s="36">
        <f>(INDEX('Race 43'!$E$8:$E$200,(MATCH($B450,'Race 43'!$B$8:$B$200,0)),1))*100</f>
        <v>61.247777067683941</v>
      </c>
      <c r="AZ450" s="7"/>
      <c r="BA450" s="7"/>
      <c r="BB450" s="7">
        <f>(INDEX('Race 46'!$E$8:$E$200,(MATCH($B450,'Race 46'!$B$8:$B$200,0)),1))*100</f>
        <v>59.043463576938315</v>
      </c>
      <c r="BC450" s="7"/>
      <c r="BD450" s="7"/>
      <c r="BE450" s="7">
        <f>(INDEX('Race 49'!$E$8:$E$200,(MATCH($B450,'Race 49'!$B$8:$B$200,0)),1))*100</f>
        <v>62.468708104262447</v>
      </c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>
        <f>(INDEX('Race 62'!$E$8:$E$200,(MATCH($B450,'Race 62'!$B$8:$B$200,0)),1))*100</f>
        <v>59.776719254025778</v>
      </c>
      <c r="BS450" s="7"/>
      <c r="BT450" s="7"/>
      <c r="BU450" s="74"/>
      <c r="BV450" s="74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4"/>
      <c r="CH450" s="7"/>
      <c r="CI450" s="7"/>
      <c r="CJ450" s="74"/>
      <c r="CK450" s="101"/>
      <c r="CL450" s="74"/>
      <c r="CM450" s="74"/>
      <c r="CN450" s="74"/>
      <c r="CO450" s="70"/>
      <c r="CP450" s="74"/>
      <c r="CQ450" s="7"/>
      <c r="CR450" s="74"/>
      <c r="CS450" s="74"/>
      <c r="CT450" s="74"/>
      <c r="CU450" s="74"/>
      <c r="CV450" s="74"/>
      <c r="CW450" s="7"/>
      <c r="CX450" s="7"/>
      <c r="CY450" s="7"/>
      <c r="CZ450" s="74"/>
      <c r="DA450" s="7"/>
      <c r="DB450" s="7"/>
      <c r="DC450" s="7"/>
      <c r="DD450" s="7"/>
      <c r="DE450" s="74"/>
      <c r="DF450" s="74"/>
      <c r="DG450" s="74"/>
      <c r="DH450" s="74"/>
      <c r="DI450" s="74"/>
      <c r="DJ450" s="7"/>
      <c r="DK450" s="7"/>
      <c r="DL450" s="7"/>
      <c r="DM450" s="7"/>
      <c r="DN450" s="74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8">
        <f t="shared" si="104"/>
        <v>59.934028194137298</v>
      </c>
      <c r="EA450" s="3" t="str">
        <f t="shared" si="105"/>
        <v>Wieghaus, Brian</v>
      </c>
      <c r="EB450" s="2">
        <f t="shared" si="106"/>
        <v>1</v>
      </c>
      <c r="EC450" s="112">
        <f t="shared" si="103"/>
        <v>60.519320587656843</v>
      </c>
      <c r="ED450" s="29">
        <f t="shared" si="107"/>
        <v>58.966969887974528</v>
      </c>
      <c r="EE450" s="2">
        <f t="shared" si="108"/>
        <v>0</v>
      </c>
      <c r="EF450" s="46">
        <f t="shared" si="109"/>
        <v>4</v>
      </c>
      <c r="EG450" s="46">
        <f t="shared" si="110"/>
        <v>5</v>
      </c>
      <c r="EH450" s="2" t="str">
        <f t="shared" si="111"/>
        <v>NY</v>
      </c>
      <c r="EI450" s="29">
        <f>IF(COUNT(I450:Y450)&lt;5,DZ450,SUMPRODUCT(LARGE(I450:Y450,{1,2,3,4,5}))/5)</f>
        <v>59.934028194137298</v>
      </c>
      <c r="EJ450" s="29">
        <f>IF(COUNT(I450:AX450)&lt;5,DZ450,SUMPRODUCT(LARGE(I450:AX450,{1,2,3,4,5}))/5)</f>
        <v>59.934028194137298</v>
      </c>
      <c r="EK450" s="29">
        <f>IF(COUNT(I450:DY450)&lt;5,AVERAGE(I450:DY450),SUMPRODUCT(LARGE(I450:DY450,{1,2,3,4,5}))/5)</f>
        <v>59.934028194137305</v>
      </c>
      <c r="EL450" s="29">
        <f t="shared" si="112"/>
        <v>58.966969887974528</v>
      </c>
      <c r="EM450" s="116" t="str">
        <f t="shared" si="113"/>
        <v>Wieghaus, Brian</v>
      </c>
      <c r="EQ450"/>
    </row>
    <row r="451" spans="1:147" x14ac:dyDescent="0.25">
      <c r="A451" s="59">
        <f t="shared" si="99"/>
        <v>448</v>
      </c>
      <c r="B451" s="4" t="s">
        <v>395</v>
      </c>
      <c r="C451" s="5" t="s">
        <v>6</v>
      </c>
      <c r="D451" s="6" t="s">
        <v>62</v>
      </c>
      <c r="E451" s="6">
        <v>51.206257322193025</v>
      </c>
      <c r="F451" s="6">
        <v>51.206257322193025</v>
      </c>
      <c r="G451" s="5">
        <f t="shared" si="101"/>
        <v>0</v>
      </c>
      <c r="H451" s="99">
        <v>51.206257322193025</v>
      </c>
      <c r="I451" s="107"/>
      <c r="J451" s="7"/>
      <c r="K451" s="7"/>
      <c r="L451" s="7"/>
      <c r="M451" s="74"/>
      <c r="N451" s="7"/>
      <c r="O451" s="7"/>
      <c r="P451" s="74"/>
      <c r="Q451" s="74"/>
      <c r="R451" s="74"/>
      <c r="S451" s="74"/>
      <c r="T451" s="7"/>
      <c r="U451" s="7"/>
      <c r="V451" s="74"/>
      <c r="W451" s="7"/>
      <c r="X451" s="74"/>
      <c r="Y451" s="227"/>
      <c r="Z451" s="228"/>
      <c r="AA451" s="74"/>
      <c r="AB451" s="7"/>
      <c r="AC451" s="74"/>
      <c r="AD451" s="74"/>
      <c r="AE451" s="7"/>
      <c r="AF451" s="74"/>
      <c r="AG451" s="74"/>
      <c r="AH451" s="7"/>
      <c r="AI451" s="7"/>
      <c r="AJ451" s="7"/>
      <c r="AK451" s="7"/>
      <c r="AL451" s="7"/>
      <c r="AM451" s="7"/>
      <c r="AN451" s="7"/>
      <c r="AO451" s="74"/>
      <c r="AP451" s="7"/>
      <c r="AQ451" s="74"/>
      <c r="AR451" s="101"/>
      <c r="AS451" s="7"/>
      <c r="AT451" s="101"/>
      <c r="AU451" s="7"/>
      <c r="AV451" s="101"/>
      <c r="AW451" s="7"/>
      <c r="AX451" s="8"/>
      <c r="AY451" s="36"/>
      <c r="AZ451" s="74"/>
      <c r="BA451" s="74"/>
      <c r="BB451" s="74"/>
      <c r="BC451" s="74"/>
      <c r="BD451" s="7"/>
      <c r="BE451" s="7"/>
      <c r="BF451" s="74"/>
      <c r="BG451" s="74"/>
      <c r="BH451" s="74"/>
      <c r="BI451" s="74"/>
      <c r="BJ451" s="74"/>
      <c r="BK451" s="7"/>
      <c r="BL451" s="74"/>
      <c r="BM451" s="7"/>
      <c r="BN451" s="74"/>
      <c r="BO451" s="74"/>
      <c r="BP451" s="7"/>
      <c r="BQ451" s="7"/>
      <c r="BR451" s="74"/>
      <c r="BS451" s="7"/>
      <c r="BT451" s="7"/>
      <c r="BU451" s="74"/>
      <c r="BV451" s="74"/>
      <c r="BW451" s="74"/>
      <c r="BX451" s="74"/>
      <c r="BY451" s="74"/>
      <c r="BZ451" s="74"/>
      <c r="CA451" s="7"/>
      <c r="CB451" s="74"/>
      <c r="CC451" s="74"/>
      <c r="CD451" s="74"/>
      <c r="CE451" s="7"/>
      <c r="CF451" s="74"/>
      <c r="CG451" s="74"/>
      <c r="CH451" s="7"/>
      <c r="CI451" s="74"/>
      <c r="CJ451" s="74"/>
      <c r="CK451" s="101"/>
      <c r="CL451" s="74"/>
      <c r="CM451" s="74"/>
      <c r="CN451" s="74"/>
      <c r="CO451" s="101"/>
      <c r="CP451" s="74"/>
      <c r="CQ451" s="74"/>
      <c r="CR451" s="74"/>
      <c r="CS451" s="74"/>
      <c r="CT451" s="74"/>
      <c r="CU451" s="74"/>
      <c r="CV451" s="74"/>
      <c r="CW451" s="74"/>
      <c r="CX451" s="7"/>
      <c r="CY451" s="7"/>
      <c r="CZ451" s="74"/>
      <c r="DA451" s="74"/>
      <c r="DB451" s="74"/>
      <c r="DC451" s="74"/>
      <c r="DD451" s="74"/>
      <c r="DE451" s="74"/>
      <c r="DF451" s="74"/>
      <c r="DG451" s="74"/>
      <c r="DH451" s="74"/>
      <c r="DI451" s="74"/>
      <c r="DJ451" s="74"/>
      <c r="DK451" s="74"/>
      <c r="DL451" s="74"/>
      <c r="DM451" s="74"/>
      <c r="DN451" s="74"/>
      <c r="DO451" s="74"/>
      <c r="DP451" s="74"/>
      <c r="DQ451" s="74"/>
      <c r="DR451" s="7"/>
      <c r="DS451" s="7"/>
      <c r="DT451" s="74"/>
      <c r="DU451" s="74"/>
      <c r="DV451" s="74"/>
      <c r="DW451" s="74"/>
      <c r="DX451" s="74"/>
      <c r="DY451" s="74"/>
      <c r="DZ451" s="8">
        <f t="shared" si="104"/>
        <v>51.206257322193025</v>
      </c>
      <c r="EA451" s="3" t="str">
        <f t="shared" si="105"/>
        <v>Wilkens, Andy</v>
      </c>
      <c r="EB451" s="2">
        <f t="shared" si="106"/>
        <v>0</v>
      </c>
      <c r="EC451" s="112">
        <f t="shared" si="103"/>
        <v>51.206257322193025</v>
      </c>
      <c r="ED451" s="29">
        <f t="shared" si="107"/>
        <v>0</v>
      </c>
      <c r="EE451" s="2">
        <f t="shared" si="108"/>
        <v>0</v>
      </c>
      <c r="EF451" s="46">
        <f t="shared" si="109"/>
        <v>0</v>
      </c>
      <c r="EG451" s="46">
        <f t="shared" si="110"/>
        <v>0</v>
      </c>
      <c r="EH451" s="29" t="str">
        <f t="shared" si="111"/>
        <v>CO</v>
      </c>
      <c r="EI451" s="29">
        <f>IF(COUNT(I451:Y451)&lt;5,DZ451,SUMPRODUCT(LARGE(I451:Y451,{1,2,3,4,5}))/5)</f>
        <v>51.206257322193025</v>
      </c>
      <c r="EJ451" s="29">
        <f>IF(COUNT(I451:AX451)&lt;5,DZ451,SUMPRODUCT(LARGE(I451:AX451,{1,2,3,4,5}))/5)</f>
        <v>51.206257322193025</v>
      </c>
      <c r="EK451" s="112">
        <f>IF(EG451&lt;0,AVERAGE(I451:DY451),0)</f>
        <v>0</v>
      </c>
      <c r="EL451" s="29">
        <f t="shared" si="112"/>
        <v>0</v>
      </c>
      <c r="EM451" s="116" t="str">
        <f t="shared" si="113"/>
        <v>Wilkens, Andy</v>
      </c>
      <c r="EQ451"/>
    </row>
    <row r="452" spans="1:147" x14ac:dyDescent="0.25">
      <c r="A452" s="59">
        <f t="shared" si="99"/>
        <v>449</v>
      </c>
      <c r="B452" s="32" t="s">
        <v>1198</v>
      </c>
      <c r="C452" s="5" t="s">
        <v>6</v>
      </c>
      <c r="D452" s="6" t="s">
        <v>62</v>
      </c>
      <c r="E452" s="6">
        <v>0</v>
      </c>
      <c r="F452" s="6">
        <v>0</v>
      </c>
      <c r="G452" s="5">
        <f t="shared" si="101"/>
        <v>2</v>
      </c>
      <c r="H452" s="37">
        <v>0</v>
      </c>
      <c r="I452" s="36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227"/>
      <c r="Z452" s="228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4"/>
      <c r="AP452" s="7"/>
      <c r="AQ452" s="74"/>
      <c r="AR452" s="70"/>
      <c r="AS452" s="7"/>
      <c r="AT452" s="70"/>
      <c r="AU452" s="7"/>
      <c r="AV452" s="70"/>
      <c r="AW452" s="7"/>
      <c r="AX452" s="8"/>
      <c r="AY452" s="36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4"/>
      <c r="BO452" s="7"/>
      <c r="BP452" s="7"/>
      <c r="BQ452" s="7"/>
      <c r="BR452" s="7"/>
      <c r="BS452" s="7">
        <f>(INDEX('Race 63'!$E$8:$E$200,(MATCH($B452,'Race 63'!$B$8:$B$200,0)),1))*100</f>
        <v>84.824034661100953</v>
      </c>
      <c r="BT452" s="7">
        <f>(INDEX('Race 64'!$E$8:$E$200,(MATCH($B452,'Race 64'!$B$8:$B$200,0)),1))*100</f>
        <v>71.682016474056681</v>
      </c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101"/>
      <c r="CL452" s="74"/>
      <c r="CM452" s="74"/>
      <c r="CN452" s="74"/>
      <c r="CO452" s="70"/>
      <c r="CP452" s="74"/>
      <c r="CQ452" s="7"/>
      <c r="CR452" s="74"/>
      <c r="CS452" s="74"/>
      <c r="CT452" s="74"/>
      <c r="CU452" s="74"/>
      <c r="CV452" s="7"/>
      <c r="CW452" s="7"/>
      <c r="CX452" s="7"/>
      <c r="CY452" s="7"/>
      <c r="CZ452" s="7"/>
      <c r="DA452" s="7"/>
      <c r="DB452" s="7"/>
      <c r="DC452" s="7"/>
      <c r="DD452" s="7"/>
      <c r="DE452" s="74"/>
      <c r="DF452" s="74"/>
      <c r="DG452" s="74"/>
      <c r="DH452" s="7"/>
      <c r="DI452" s="74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8">
        <f t="shared" si="104"/>
        <v>78.253025567578817</v>
      </c>
      <c r="EA452" s="3" t="str">
        <f t="shared" si="105"/>
        <v>Wilkinson, Travis</v>
      </c>
      <c r="EB452" s="2">
        <f t="shared" si="106"/>
        <v>1</v>
      </c>
      <c r="EC452" s="112">
        <f t="shared" si="103"/>
        <v>0</v>
      </c>
      <c r="ED452" s="29">
        <f t="shared" si="107"/>
        <v>76.990383281757985</v>
      </c>
      <c r="EE452" s="2">
        <f t="shared" si="108"/>
        <v>0</v>
      </c>
      <c r="EF452" s="46">
        <f t="shared" si="109"/>
        <v>0</v>
      </c>
      <c r="EG452" s="46">
        <f t="shared" si="110"/>
        <v>2</v>
      </c>
      <c r="EH452" s="2" t="str">
        <f t="shared" si="111"/>
        <v>CO</v>
      </c>
      <c r="EI452" s="29">
        <f>IF(COUNT(I452:AD452)&lt;5,DZ452,SUMPRODUCT(LARGE(I452:AD452,{1,2,3,4,5}))/5)</f>
        <v>78.253025567578817</v>
      </c>
      <c r="EJ452" s="29">
        <f>IF(COUNT(I452:BE452)&lt;5,DZ452,SUMPRODUCT(LARGE(I452:BE452,{1,2,3,4,5}))/5)</f>
        <v>78.253025567578817</v>
      </c>
      <c r="EK452" s="112">
        <f>IF(COUNT(I452:DY452)&lt;5,AVERAGE(I452:DY452),SUMPRODUCT(LARGE(I452:DY452,{1,2,3,4,5}))/5)</f>
        <v>78.253025567578817</v>
      </c>
      <c r="EL452" s="29">
        <f t="shared" si="112"/>
        <v>76.990383281757985</v>
      </c>
      <c r="EM452" s="116" t="str">
        <f t="shared" si="113"/>
        <v>Wilkinson, Travis</v>
      </c>
      <c r="EQ452"/>
    </row>
    <row r="453" spans="1:147" x14ac:dyDescent="0.25">
      <c r="A453" s="59">
        <f t="shared" si="99"/>
        <v>450</v>
      </c>
      <c r="B453" s="32" t="s">
        <v>1141</v>
      </c>
      <c r="C453" s="5" t="s">
        <v>6</v>
      </c>
      <c r="D453" s="6" t="s">
        <v>61</v>
      </c>
      <c r="E453" s="6">
        <v>0</v>
      </c>
      <c r="F453" s="6">
        <v>53.193032945202248</v>
      </c>
      <c r="G453" s="5">
        <f t="shared" si="101"/>
        <v>3</v>
      </c>
      <c r="H453" s="37">
        <v>0</v>
      </c>
      <c r="I453" s="36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227"/>
      <c r="Z453" s="228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4"/>
      <c r="AP453" s="7"/>
      <c r="AQ453" s="74"/>
      <c r="AR453" s="70"/>
      <c r="AS453" s="7"/>
      <c r="AT453" s="70"/>
      <c r="AU453" s="7"/>
      <c r="AV453" s="70"/>
      <c r="AW453" s="7">
        <f>(INDEX('Race 41'!$E$8:$E$200,(MATCH($B453,'Race 41'!$B$8:$B$200,0)),1))*100</f>
        <v>49.796031828595801</v>
      </c>
      <c r="AX453" s="8">
        <f>(INDEX('Race 42'!$E$8:$E$200,(MATCH($B453,'Race 42'!$B$8:$B$200,0)),1))*100</f>
        <v>56.590034061808701</v>
      </c>
      <c r="AY453" s="36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4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4"/>
      <c r="CF453" s="74"/>
      <c r="CG453" s="7"/>
      <c r="CH453" s="7"/>
      <c r="CI453" s="7"/>
      <c r="CJ453" s="7"/>
      <c r="CK453" s="101"/>
      <c r="CL453" s="74"/>
      <c r="CM453" s="74"/>
      <c r="CN453" s="74"/>
      <c r="CO453" s="70"/>
      <c r="CP453" s="74"/>
      <c r="CQ453" s="7">
        <f>(INDEX('Race 87'!$E$8:$E$200,(MATCH($B453,'Race 87'!$B$8:$B$200,0)),1))*100</f>
        <v>51.509435991522565</v>
      </c>
      <c r="CR453" s="74"/>
      <c r="CS453" s="74"/>
      <c r="CT453" s="74"/>
      <c r="CU453" s="74"/>
      <c r="CV453" s="7"/>
      <c r="CW453" s="7"/>
      <c r="CX453" s="7"/>
      <c r="CY453" s="7"/>
      <c r="CZ453" s="7"/>
      <c r="DA453" s="7"/>
      <c r="DB453" s="7"/>
      <c r="DC453" s="7"/>
      <c r="DD453" s="7"/>
      <c r="DE453" s="74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8">
        <f t="shared" si="104"/>
        <v>52.631833960642354</v>
      </c>
      <c r="EA453" s="3" t="str">
        <f t="shared" si="105"/>
        <v>Wilson, Stephen</v>
      </c>
      <c r="EB453" s="2">
        <f t="shared" si="106"/>
        <v>1</v>
      </c>
      <c r="EC453" s="29">
        <v>0</v>
      </c>
      <c r="ED453" s="29">
        <f t="shared" si="107"/>
        <v>51.782599331604047</v>
      </c>
      <c r="EE453" s="2">
        <f t="shared" si="108"/>
        <v>0</v>
      </c>
      <c r="EF453" s="46">
        <f t="shared" si="109"/>
        <v>2</v>
      </c>
      <c r="EG453" s="46">
        <f t="shared" si="110"/>
        <v>3</v>
      </c>
      <c r="EH453" s="29" t="str">
        <f t="shared" si="111"/>
        <v>AK</v>
      </c>
      <c r="EI453" s="29">
        <f>IF(COUNT(I453:AD453)&lt;5,DZ453,SUMPRODUCT(LARGE(I453:AD453,{1,2,3,4,5}))/5)</f>
        <v>52.631833960642354</v>
      </c>
      <c r="EJ453" s="29">
        <f>IF(COUNT(I453:AX453)&lt;5,DZ453,SUMPRODUCT(LARGE(I453:AX453,{1,2,3,4,5}))/5)</f>
        <v>52.631833960642354</v>
      </c>
      <c r="EK453" s="112">
        <f>IF(COUNT(I453:DY453)&lt;5,AVERAGE(I453:DY453),SUMPRODUCT(LARGE(I453:DY453,{1,2,3,4,5}))/5)</f>
        <v>52.631833960642354</v>
      </c>
      <c r="EL453" s="29">
        <f t="shared" si="112"/>
        <v>51.782599331604047</v>
      </c>
      <c r="EM453" s="116" t="str">
        <f t="shared" si="113"/>
        <v>Wilson, Stephen</v>
      </c>
      <c r="EQ453"/>
    </row>
    <row r="454" spans="1:147" x14ac:dyDescent="0.25">
      <c r="A454" s="59">
        <f t="shared" ref="A454:A470" si="114">A453+1</f>
        <v>451</v>
      </c>
      <c r="B454" s="32" t="s">
        <v>812</v>
      </c>
      <c r="C454" s="5" t="s">
        <v>6</v>
      </c>
      <c r="D454" s="6" t="s">
        <v>57</v>
      </c>
      <c r="E454" s="6">
        <v>39.238841356732316</v>
      </c>
      <c r="F454" s="6">
        <v>39.238841356732316</v>
      </c>
      <c r="G454" s="5">
        <f t="shared" si="101"/>
        <v>0</v>
      </c>
      <c r="H454" s="37">
        <v>39.238841356732316</v>
      </c>
      <c r="I454" s="36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227"/>
      <c r="Z454" s="228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4"/>
      <c r="AR454" s="70"/>
      <c r="AS454" s="7"/>
      <c r="AT454" s="70"/>
      <c r="AU454" s="7"/>
      <c r="AV454" s="70"/>
      <c r="AW454" s="7"/>
      <c r="AX454" s="8"/>
      <c r="AY454" s="36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4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101"/>
      <c r="CL454" s="74"/>
      <c r="CM454" s="74"/>
      <c r="CN454" s="74"/>
      <c r="CO454" s="70"/>
      <c r="CP454" s="74"/>
      <c r="CQ454" s="7"/>
      <c r="CR454" s="74"/>
      <c r="CS454" s="74"/>
      <c r="CT454" s="74"/>
      <c r="CU454" s="74"/>
      <c r="CV454" s="7"/>
      <c r="CW454" s="7"/>
      <c r="CX454" s="7"/>
      <c r="CY454" s="7"/>
      <c r="CZ454" s="7"/>
      <c r="DA454" s="7"/>
      <c r="DB454" s="7"/>
      <c r="DC454" s="7"/>
      <c r="DD454" s="7"/>
      <c r="DE454" s="74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8">
        <f t="shared" si="104"/>
        <v>39.238841356732316</v>
      </c>
      <c r="EA454" s="3" t="str">
        <f t="shared" si="105"/>
        <v>Winter, Rob</v>
      </c>
      <c r="EB454" s="2">
        <f t="shared" si="106"/>
        <v>0</v>
      </c>
      <c r="EC454" s="112">
        <f>H454</f>
        <v>39.238841356732316</v>
      </c>
      <c r="ED454" s="29">
        <f t="shared" si="107"/>
        <v>0</v>
      </c>
      <c r="EE454" s="2">
        <f t="shared" si="108"/>
        <v>0</v>
      </c>
      <c r="EF454" s="46">
        <f t="shared" si="109"/>
        <v>0</v>
      </c>
      <c r="EG454" s="46">
        <f t="shared" si="110"/>
        <v>0</v>
      </c>
      <c r="EH454" s="29" t="str">
        <f t="shared" si="111"/>
        <v>NY</v>
      </c>
      <c r="EI454" s="29">
        <f>IF(COUNT(I454:Y454)&lt;5,DZ454,SUMPRODUCT(LARGE(I454:Y454,{1,2,3,4,5}))/5)</f>
        <v>39.238841356732316</v>
      </c>
      <c r="EJ454" s="29">
        <f>IF(COUNT(I454:AX454)&lt;5,DZ454,SUMPRODUCT(LARGE(I454:AX454,{1,2,3,4,5}))/5)</f>
        <v>39.238841356732316</v>
      </c>
      <c r="EK454" s="112">
        <f>IF(EG454&lt;0,AVERAGE(I454:DY454),0)</f>
        <v>0</v>
      </c>
      <c r="EL454" s="29">
        <f t="shared" si="112"/>
        <v>0</v>
      </c>
      <c r="EM454" s="116" t="str">
        <f t="shared" si="113"/>
        <v>Winter, Rob</v>
      </c>
      <c r="EQ454"/>
    </row>
    <row r="455" spans="1:147" x14ac:dyDescent="0.25">
      <c r="A455" s="59">
        <f t="shared" si="114"/>
        <v>452</v>
      </c>
      <c r="B455" s="32" t="s">
        <v>362</v>
      </c>
      <c r="C455" s="5" t="s">
        <v>6</v>
      </c>
      <c r="D455" s="6" t="s">
        <v>63</v>
      </c>
      <c r="E455" s="6">
        <v>55.679463696300587</v>
      </c>
      <c r="F455" s="6">
        <v>51.583230225978319</v>
      </c>
      <c r="G455" s="5">
        <f t="shared" si="101"/>
        <v>13</v>
      </c>
      <c r="H455" s="37">
        <v>55.679463696300587</v>
      </c>
      <c r="I455" s="107"/>
      <c r="J455" s="7"/>
      <c r="K455" s="74"/>
      <c r="L455" s="7"/>
      <c r="M455" s="74"/>
      <c r="N455" s="74"/>
      <c r="O455" s="7"/>
      <c r="P455" s="74"/>
      <c r="Q455" s="74"/>
      <c r="R455" s="74"/>
      <c r="S455" s="74"/>
      <c r="T455" s="7"/>
      <c r="U455" s="7"/>
      <c r="V455" s="74"/>
      <c r="W455" s="7"/>
      <c r="X455" s="74"/>
      <c r="Y455" s="227"/>
      <c r="Z455" s="228"/>
      <c r="AA455" s="74"/>
      <c r="AB455" s="74"/>
      <c r="AC455" s="74"/>
      <c r="AD455" s="74"/>
      <c r="AE455" s="7"/>
      <c r="AF455" s="74"/>
      <c r="AG455" s="74"/>
      <c r="AH455" s="7"/>
      <c r="AI455" s="7"/>
      <c r="AJ455" s="7"/>
      <c r="AK455" s="7"/>
      <c r="AL455" s="7"/>
      <c r="AM455" s="7"/>
      <c r="AN455" s="7"/>
      <c r="AO455" s="7"/>
      <c r="AP455" s="7"/>
      <c r="AQ455" s="74"/>
      <c r="AR455" s="101">
        <f>(INDEX('Race 36'!$E$8:$E$200,(MATCH($B455,'Race 36'!$B$8:$B$200,0)),1))*100</f>
        <v>50.764183968040598</v>
      </c>
      <c r="AS455" s="74">
        <f>(INDEX('Race 37'!$E$8:$E$200,(MATCH($B455,'Race 37'!$B$8:$B$200,0)),1))*100</f>
        <v>49.710446200735831</v>
      </c>
      <c r="AT455" s="101"/>
      <c r="AU455" s="74">
        <f>(INDEX('Race 39'!$E$8:$E$200,(MATCH($B455,'Race 39'!$B$8:$B$200,0)),1))*100</f>
        <v>50.756714812930362</v>
      </c>
      <c r="AV455" s="101">
        <f>(INDEX('Race 40'!$E$8:$E$200,(MATCH($B455,'Race 40'!$B$8:$B$200,0)),1))*100</f>
        <v>50.889679708669064</v>
      </c>
      <c r="AW455" s="74"/>
      <c r="AX455" s="8"/>
      <c r="AY455" s="36">
        <f>(INDEX('Race 43'!$E$8:$E$200,(MATCH($B455,'Race 43'!$B$8:$B$200,0)),1))*100</f>
        <v>56.509681884521179</v>
      </c>
      <c r="AZ455" s="7">
        <f>(INDEX('Race 44'!$E$8:$E$200,(MATCH($B455,'Race 44'!$B$8:$B$200,0)),1))*100</f>
        <v>54.663166772211206</v>
      </c>
      <c r="BA455" s="74"/>
      <c r="BB455" s="7">
        <f>(INDEX('Race 46'!$E$8:$E$200,(MATCH($B455,'Race 46'!$B$8:$B$200,0)),1))*100</f>
        <v>62.389053328412267</v>
      </c>
      <c r="BC455" s="74"/>
      <c r="BD455" s="7"/>
      <c r="BE455" s="7">
        <f>(INDEX('Race 49'!$E$8:$E$200,(MATCH($B455,'Race 49'!$B$8:$B$200,0)),1))*100</f>
        <v>56.193186790713824</v>
      </c>
      <c r="BF455" s="74"/>
      <c r="BG455" s="74"/>
      <c r="BH455" s="7"/>
      <c r="BI455" s="74"/>
      <c r="BJ455" s="74"/>
      <c r="BK455" s="7"/>
      <c r="BL455" s="74">
        <f>(INDEX('Race 56'!$E$8:$E$200,(MATCH($B455,'Race 56'!$B$8:$B$200,0)),1))*100</f>
        <v>50.647119337083112</v>
      </c>
      <c r="BM455" s="7"/>
      <c r="BN455" s="74">
        <f>(INDEX('Race 58'!$E$8:$E$200,(MATCH($B455,'Race 58'!$B$8:$B$200,0)),1))*100</f>
        <v>51.304606868871019</v>
      </c>
      <c r="BO455" s="74"/>
      <c r="BP455" s="7">
        <f>(INDEX('Race 60'!$E$8:$E$200,(MATCH($B455,'Race 60'!$B$8:$B$200,0)),1))*100</f>
        <v>55.935839655659834</v>
      </c>
      <c r="BQ455" s="7">
        <f>(INDEX('Race 61'!$E$8:$E$200,(MATCH($B455,'Race 61'!$B$8:$B$200,0)),1))*100</f>
        <v>43.683478743738441</v>
      </c>
      <c r="BR455" s="74">
        <f>(INDEX('Race 62'!$E$8:$E$200,(MATCH($B455,'Race 62'!$B$8:$B$200,0)),1))*100</f>
        <v>55.323287398293473</v>
      </c>
      <c r="BS455" s="7"/>
      <c r="BT455" s="7"/>
      <c r="BU455" s="74"/>
      <c r="BV455" s="74"/>
      <c r="BW455" s="74"/>
      <c r="BX455" s="74"/>
      <c r="BY455" s="7"/>
      <c r="BZ455" s="7"/>
      <c r="CA455" s="7"/>
      <c r="CB455" s="7"/>
      <c r="CC455" s="74"/>
      <c r="CD455" s="74"/>
      <c r="CE455" s="7"/>
      <c r="CF455" s="74"/>
      <c r="CG455" s="74"/>
      <c r="CH455" s="7"/>
      <c r="CI455" s="7"/>
      <c r="CJ455" s="74"/>
      <c r="CK455" s="101"/>
      <c r="CL455" s="74"/>
      <c r="CM455" s="74"/>
      <c r="CN455" s="74"/>
      <c r="CO455" s="101"/>
      <c r="CP455" s="74"/>
      <c r="CQ455" s="74"/>
      <c r="CR455" s="74"/>
      <c r="CS455" s="74"/>
      <c r="CT455" s="74"/>
      <c r="CU455" s="74"/>
      <c r="CV455" s="74"/>
      <c r="CW455" s="74"/>
      <c r="CX455" s="7"/>
      <c r="CY455" s="7"/>
      <c r="CZ455" s="74"/>
      <c r="DA455" s="74"/>
      <c r="DB455" s="74"/>
      <c r="DC455" s="74"/>
      <c r="DD455" s="74"/>
      <c r="DE455" s="74"/>
      <c r="DF455" s="74"/>
      <c r="DG455" s="74"/>
      <c r="DH455" s="74"/>
      <c r="DI455" s="74"/>
      <c r="DJ455" s="74"/>
      <c r="DK455" s="74"/>
      <c r="DL455" s="74"/>
      <c r="DM455" s="74"/>
      <c r="DN455" s="74"/>
      <c r="DO455" s="74"/>
      <c r="DP455" s="7"/>
      <c r="DQ455" s="74"/>
      <c r="DR455" s="7"/>
      <c r="DS455" s="7"/>
      <c r="DT455" s="74"/>
      <c r="DU455" s="74"/>
      <c r="DV455" s="74"/>
      <c r="DW455" s="74"/>
      <c r="DX455" s="74"/>
      <c r="DY455" s="74"/>
      <c r="DZ455" s="8">
        <f t="shared" si="104"/>
        <v>52.982341959221557</v>
      </c>
      <c r="EA455" s="3" t="str">
        <f t="shared" si="105"/>
        <v>Witmer, John</v>
      </c>
      <c r="EB455" s="2">
        <f t="shared" si="106"/>
        <v>1</v>
      </c>
      <c r="EC455" s="112">
        <f>H455</f>
        <v>55.679463696300587</v>
      </c>
      <c r="ED455" s="29">
        <f t="shared" si="107"/>
        <v>56.346133226603804</v>
      </c>
      <c r="EE455" s="2">
        <f t="shared" si="108"/>
        <v>0</v>
      </c>
      <c r="EF455" s="46">
        <f t="shared" si="109"/>
        <v>12</v>
      </c>
      <c r="EG455" s="46">
        <f t="shared" si="110"/>
        <v>13</v>
      </c>
      <c r="EH455" s="29" t="str">
        <f t="shared" si="111"/>
        <v>VT</v>
      </c>
      <c r="EI455" s="29">
        <f>IF(COUNT(I455:Y455)&lt;5,DZ455,SUMPRODUCT(LARGE(I455:Y455,{1,2,3,4,5}))/5)</f>
        <v>52.982341959221557</v>
      </c>
      <c r="EJ455" s="29">
        <f>IF(COUNT(I455:AX455)&lt;5,DZ455,SUMPRODUCT(LARGE(I455:AX455,{1,2,3,4,5}))/5)</f>
        <v>52.982341959221557</v>
      </c>
      <c r="EK455" s="29">
        <f>IF(COUNT(I455:DY455)&lt;5,AVERAGE(I455:DY455),SUMPRODUCT(LARGE(I455:DY455,{1,2,3,4,5}))/5)</f>
        <v>57.270209811520111</v>
      </c>
      <c r="EL455" s="29">
        <f t="shared" si="112"/>
        <v>56.346133226603804</v>
      </c>
      <c r="EM455" s="116" t="str">
        <f t="shared" si="113"/>
        <v>Witmer, John</v>
      </c>
      <c r="EQ455"/>
    </row>
    <row r="456" spans="1:147" s="194" customFormat="1" x14ac:dyDescent="0.25">
      <c r="A456" s="59">
        <f t="shared" si="114"/>
        <v>453</v>
      </c>
      <c r="B456" s="32" t="s">
        <v>246</v>
      </c>
      <c r="C456" s="5" t="s">
        <v>6</v>
      </c>
      <c r="D456" s="6" t="s">
        <v>69</v>
      </c>
      <c r="E456" s="6">
        <v>39.926233310555538</v>
      </c>
      <c r="F456" s="6">
        <v>46.1958590881178</v>
      </c>
      <c r="G456" s="5">
        <f t="shared" si="101"/>
        <v>3</v>
      </c>
      <c r="H456" s="37">
        <v>39.926233310555538</v>
      </c>
      <c r="I456" s="36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227"/>
      <c r="Z456" s="228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4">
        <f>(INDEX('Race 31'!$E$8:$E$200,(MATCH($B456,'Race 31'!$B$8:$B$200,0)),1))*100</f>
        <v>46.1958590881178</v>
      </c>
      <c r="AN456" s="74"/>
      <c r="AO456" s="74"/>
      <c r="AP456" s="7"/>
      <c r="AQ456" s="74"/>
      <c r="AR456" s="70"/>
      <c r="AS456" s="7"/>
      <c r="AT456" s="70"/>
      <c r="AU456" s="7"/>
      <c r="AV456" s="70"/>
      <c r="AW456" s="7"/>
      <c r="AX456" s="183"/>
      <c r="AY456" s="107"/>
      <c r="AZ456" s="74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4"/>
      <c r="CF456" s="74"/>
      <c r="CG456" s="7"/>
      <c r="CH456" s="7"/>
      <c r="CI456" s="7"/>
      <c r="CJ456" s="7"/>
      <c r="CK456" s="101">
        <f>(INDEX('Race 81'!$E$8:$E$200,(MATCH($B456,'Race 81'!$B$8:$B$200,0)),1))*100</f>
        <v>33.68507465963755</v>
      </c>
      <c r="CL456" s="74">
        <f>(INDEX('Race 82'!$E$8:$E$200,(MATCH($B456,'Race 82'!$B$8:$B$200,0)),1))*100</f>
        <v>48.027951624190038</v>
      </c>
      <c r="CM456" s="74"/>
      <c r="CN456" s="74"/>
      <c r="CO456" s="70"/>
      <c r="CP456" s="74"/>
      <c r="CQ456" s="7"/>
      <c r="CR456" s="74"/>
      <c r="CS456" s="74"/>
      <c r="CT456" s="74"/>
      <c r="CU456" s="74"/>
      <c r="CV456" s="74"/>
      <c r="CW456" s="7"/>
      <c r="CX456" s="7"/>
      <c r="CY456" s="7"/>
      <c r="CZ456" s="7"/>
      <c r="DA456" s="7"/>
      <c r="DB456" s="7"/>
      <c r="DC456" s="7"/>
      <c r="DD456" s="7"/>
      <c r="DE456" s="74"/>
      <c r="DF456" s="74"/>
      <c r="DG456" s="74"/>
      <c r="DH456" s="74"/>
      <c r="DI456" s="74"/>
      <c r="DJ456" s="7"/>
      <c r="DK456" s="7"/>
      <c r="DL456" s="7"/>
      <c r="DM456" s="7"/>
      <c r="DN456" s="7"/>
      <c r="DO456" s="7"/>
      <c r="DP456" s="7"/>
      <c r="DQ456" s="74"/>
      <c r="DR456" s="7"/>
      <c r="DS456" s="7"/>
      <c r="DT456" s="7"/>
      <c r="DU456" s="7"/>
      <c r="DV456" s="74"/>
      <c r="DW456" s="7"/>
      <c r="DX456" s="7"/>
      <c r="DY456" s="7"/>
      <c r="DZ456" s="8">
        <f t="shared" si="104"/>
        <v>42.636295123981796</v>
      </c>
      <c r="EA456" s="3" t="str">
        <f t="shared" si="105"/>
        <v>Woo, Victor</v>
      </c>
      <c r="EB456" s="2">
        <f t="shared" si="106"/>
        <v>1</v>
      </c>
      <c r="EC456" s="112">
        <f>H456</f>
        <v>39.926233310555538</v>
      </c>
      <c r="ED456" s="29">
        <f t="shared" si="107"/>
        <v>41.948342310096223</v>
      </c>
      <c r="EE456" s="2">
        <f t="shared" si="108"/>
        <v>0</v>
      </c>
      <c r="EF456" s="46">
        <f t="shared" si="109"/>
        <v>1</v>
      </c>
      <c r="EG456" s="46">
        <f t="shared" si="110"/>
        <v>3</v>
      </c>
      <c r="EH456" s="2" t="str">
        <f t="shared" si="111"/>
        <v>WA</v>
      </c>
      <c r="EI456" s="29">
        <f>IF(COUNT(I456:Y456)&lt;5,DZ456,SUMPRODUCT(LARGE(I456:Y456,{1,2,3,4,5}))/5)</f>
        <v>42.636295123981796</v>
      </c>
      <c r="EJ456" s="29">
        <f>IF(COUNT(I456:AX456)&lt;5,DZ456,SUMPRODUCT(LARGE(I456:AX456,{1,2,3,4,5}))/5)</f>
        <v>42.636295123981796</v>
      </c>
      <c r="EK456" s="29">
        <f>IF(COUNT(I456:DY456)&lt;5,AVERAGE(I456:DY456),SUMPRODUCT(LARGE(I456:DY456,{1,2,3,4,5}))/5)</f>
        <v>42.636295123981796</v>
      </c>
      <c r="EL456" s="29">
        <f t="shared" si="112"/>
        <v>41.948342310096223</v>
      </c>
      <c r="EM456" s="116" t="str">
        <f t="shared" si="113"/>
        <v>Woo, Victor</v>
      </c>
    </row>
    <row r="457" spans="1:147" x14ac:dyDescent="0.25">
      <c r="A457" s="59">
        <f t="shared" si="114"/>
        <v>454</v>
      </c>
      <c r="B457" s="32" t="s">
        <v>200</v>
      </c>
      <c r="C457" s="5" t="s">
        <v>6</v>
      </c>
      <c r="D457" s="6" t="s">
        <v>62</v>
      </c>
      <c r="E457" s="6">
        <v>71.847238112987299</v>
      </c>
      <c r="F457" s="6">
        <v>71.847238112987299</v>
      </c>
      <c r="G457" s="5">
        <f t="shared" si="101"/>
        <v>0</v>
      </c>
      <c r="H457" s="99">
        <v>71.847238112987299</v>
      </c>
      <c r="I457" s="107"/>
      <c r="J457" s="7"/>
      <c r="K457" s="74"/>
      <c r="L457" s="7"/>
      <c r="M457" s="74"/>
      <c r="N457" s="7"/>
      <c r="O457" s="7"/>
      <c r="P457" s="74"/>
      <c r="Q457" s="74"/>
      <c r="R457" s="7"/>
      <c r="S457" s="74"/>
      <c r="T457" s="7"/>
      <c r="U457" s="7"/>
      <c r="V457" s="74"/>
      <c r="W457" s="7"/>
      <c r="X457" s="74"/>
      <c r="Y457" s="227"/>
      <c r="Z457" s="228"/>
      <c r="AA457" s="74"/>
      <c r="AB457" s="7"/>
      <c r="AC457" s="7"/>
      <c r="AD457" s="74"/>
      <c r="AE457" s="7"/>
      <c r="AF457" s="74"/>
      <c r="AG457" s="74"/>
      <c r="AH457" s="7"/>
      <c r="AI457" s="7"/>
      <c r="AJ457" s="7"/>
      <c r="AK457" s="7"/>
      <c r="AL457" s="7"/>
      <c r="AM457" s="7"/>
      <c r="AN457" s="7"/>
      <c r="AO457" s="7"/>
      <c r="AP457" s="7"/>
      <c r="AQ457" s="74"/>
      <c r="AR457" s="101"/>
      <c r="AS457" s="7"/>
      <c r="AT457" s="101"/>
      <c r="AU457" s="7"/>
      <c r="AV457" s="101"/>
      <c r="AW457" s="7"/>
      <c r="AX457" s="8"/>
      <c r="AY457" s="36"/>
      <c r="AZ457" s="74"/>
      <c r="BA457" s="74"/>
      <c r="BB457" s="74"/>
      <c r="BC457" s="74"/>
      <c r="BD457" s="7"/>
      <c r="BE457" s="7"/>
      <c r="BF457" s="74"/>
      <c r="BG457" s="74"/>
      <c r="BH457" s="74"/>
      <c r="BI457" s="74"/>
      <c r="BJ457" s="74"/>
      <c r="BK457" s="7"/>
      <c r="BL457" s="74"/>
      <c r="BM457" s="7"/>
      <c r="BN457" s="74"/>
      <c r="BO457" s="74"/>
      <c r="BP457" s="7"/>
      <c r="BQ457" s="7"/>
      <c r="BR457" s="74"/>
      <c r="BS457" s="7"/>
      <c r="BT457" s="7"/>
      <c r="BU457" s="74"/>
      <c r="BV457" s="74"/>
      <c r="BW457" s="74"/>
      <c r="BX457" s="74"/>
      <c r="BY457" s="74"/>
      <c r="BZ457" s="74"/>
      <c r="CA457" s="7"/>
      <c r="CB457" s="74"/>
      <c r="CC457" s="74"/>
      <c r="CD457" s="74"/>
      <c r="CE457" s="7"/>
      <c r="CF457" s="74"/>
      <c r="CG457" s="74"/>
      <c r="CH457" s="7"/>
      <c r="CI457" s="74"/>
      <c r="CJ457" s="74"/>
      <c r="CK457" s="101"/>
      <c r="CL457" s="74"/>
      <c r="CM457" s="74"/>
      <c r="CN457" s="74"/>
      <c r="CO457" s="101"/>
      <c r="CP457" s="74"/>
      <c r="CQ457" s="74"/>
      <c r="CR457" s="74"/>
      <c r="CS457" s="74"/>
      <c r="CT457" s="74"/>
      <c r="CU457" s="74"/>
      <c r="CV457" s="74"/>
      <c r="CW457" s="74"/>
      <c r="CX457" s="7"/>
      <c r="CY457" s="7"/>
      <c r="CZ457" s="74"/>
      <c r="DA457" s="74"/>
      <c r="DB457" s="74"/>
      <c r="DC457" s="74"/>
      <c r="DD457" s="74"/>
      <c r="DE457" s="74"/>
      <c r="DF457" s="74"/>
      <c r="DG457" s="74"/>
      <c r="DH457" s="74"/>
      <c r="DI457" s="74"/>
      <c r="DJ457" s="74"/>
      <c r="DK457" s="74"/>
      <c r="DL457" s="74"/>
      <c r="DM457" s="74"/>
      <c r="DN457" s="74"/>
      <c r="DO457" s="74"/>
      <c r="DP457" s="74"/>
      <c r="DQ457" s="74"/>
      <c r="DR457" s="7"/>
      <c r="DS457" s="7"/>
      <c r="DT457" s="74"/>
      <c r="DU457" s="74"/>
      <c r="DV457" s="74"/>
      <c r="DW457" s="74"/>
      <c r="DX457" s="74"/>
      <c r="DY457" s="74"/>
      <c r="DZ457" s="8">
        <f t="shared" si="104"/>
        <v>71.847238112987299</v>
      </c>
      <c r="EA457" s="3" t="str">
        <f t="shared" si="105"/>
        <v>Woodard, Brian</v>
      </c>
      <c r="EB457" s="2">
        <f t="shared" si="106"/>
        <v>0</v>
      </c>
      <c r="EC457" s="112">
        <f>H457</f>
        <v>71.847238112987299</v>
      </c>
      <c r="ED457" s="29">
        <f t="shared" si="107"/>
        <v>0</v>
      </c>
      <c r="EE457" s="2">
        <f t="shared" si="108"/>
        <v>0</v>
      </c>
      <c r="EF457" s="46">
        <f t="shared" si="109"/>
        <v>0</v>
      </c>
      <c r="EG457" s="46">
        <f t="shared" si="110"/>
        <v>0</v>
      </c>
      <c r="EH457" s="29" t="str">
        <f t="shared" si="111"/>
        <v>CO</v>
      </c>
      <c r="EI457" s="29">
        <f>IF(COUNT(I457:Y457)&lt;5,DZ457,SUMPRODUCT(LARGE(I457:Y457,{1,2,3,4,5}))/5)</f>
        <v>71.847238112987299</v>
      </c>
      <c r="EJ457" s="29">
        <f>IF(COUNT(I457:AX457)&lt;5,DZ457,SUMPRODUCT(LARGE(I457:AX457,{1,2,3,4,5}))/5)</f>
        <v>71.847238112987299</v>
      </c>
      <c r="EK457" s="112">
        <f>IF(EG457&lt;0,AVERAGE(I457:DY457),0)</f>
        <v>0</v>
      </c>
      <c r="EL457" s="29">
        <f t="shared" si="112"/>
        <v>0</v>
      </c>
      <c r="EM457" s="116" t="str">
        <f t="shared" si="113"/>
        <v>Woodard, Brian</v>
      </c>
      <c r="EQ457"/>
    </row>
    <row r="458" spans="1:147" x14ac:dyDescent="0.25">
      <c r="A458" s="59">
        <f t="shared" si="114"/>
        <v>455</v>
      </c>
      <c r="B458" s="32" t="s">
        <v>1289</v>
      </c>
      <c r="C458" s="5" t="s">
        <v>6</v>
      </c>
      <c r="D458" s="6" t="s">
        <v>75</v>
      </c>
      <c r="E458" s="6">
        <v>0</v>
      </c>
      <c r="F458" s="6">
        <v>0</v>
      </c>
      <c r="G458" s="5">
        <f t="shared" si="101"/>
        <v>2</v>
      </c>
      <c r="H458" s="99">
        <v>0</v>
      </c>
      <c r="I458" s="36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227"/>
      <c r="Z458" s="228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4"/>
      <c r="AP458" s="7"/>
      <c r="AQ458" s="74"/>
      <c r="AR458" s="70"/>
      <c r="AS458" s="7"/>
      <c r="AT458" s="70"/>
      <c r="AU458" s="7"/>
      <c r="AV458" s="70"/>
      <c r="AW458" s="7"/>
      <c r="AX458" s="8"/>
      <c r="AY458" s="36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4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>
        <f>(INDEX('Race 75'!$E$8:$E$200,(MATCH($B458,'Race 75'!$B$8:$B$200,0)),1))*100</f>
        <v>37.448308323495674</v>
      </c>
      <c r="CF458" s="74">
        <f>(INDEX('Race 76'!$E$8:$E$200,(MATCH($B458,'Race 76'!$B$8:$B$200,0)),1))*100</f>
        <v>36.207089278927029</v>
      </c>
      <c r="CG458" s="74"/>
      <c r="CH458" s="7"/>
      <c r="CI458" s="7"/>
      <c r="CJ458" s="7"/>
      <c r="CK458" s="101"/>
      <c r="CL458" s="74"/>
      <c r="CM458" s="74"/>
      <c r="CN458" s="74"/>
      <c r="CO458" s="70"/>
      <c r="CP458" s="74"/>
      <c r="CQ458" s="7"/>
      <c r="CR458" s="74"/>
      <c r="CS458" s="74"/>
      <c r="CT458" s="74"/>
      <c r="CU458" s="74"/>
      <c r="CV458" s="7"/>
      <c r="CW458" s="7"/>
      <c r="CX458" s="7"/>
      <c r="CY458" s="7"/>
      <c r="CZ458" s="7"/>
      <c r="DA458" s="7"/>
      <c r="DB458" s="7"/>
      <c r="DC458" s="7"/>
      <c r="DD458" s="7"/>
      <c r="DE458" s="74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8">
        <f t="shared" si="104"/>
        <v>36.827698801211355</v>
      </c>
      <c r="EA458" s="3" t="str">
        <f t="shared" si="105"/>
        <v>WORLEY, Thomas</v>
      </c>
      <c r="EB458" s="2">
        <f t="shared" si="106"/>
        <v>1</v>
      </c>
      <c r="EC458" s="29">
        <v>0</v>
      </c>
      <c r="ED458" s="29">
        <f t="shared" si="107"/>
        <v>36.23346989493443</v>
      </c>
      <c r="EE458" s="2">
        <f t="shared" si="108"/>
        <v>0</v>
      </c>
      <c r="EF458" s="46">
        <f t="shared" si="109"/>
        <v>0</v>
      </c>
      <c r="EG458" s="46">
        <f t="shared" si="110"/>
        <v>2</v>
      </c>
      <c r="EH458" s="29" t="str">
        <f t="shared" si="111"/>
        <v>ID</v>
      </c>
      <c r="EI458" s="29">
        <f>IF(COUNT(I458:AD458)&lt;5,DZ458,SUMPRODUCT(LARGE(I458:AD458,{1,2,3,4,5}))/5)</f>
        <v>36.827698801211355</v>
      </c>
      <c r="EJ458" s="29">
        <f>IF(COUNT(I458:BE458)&lt;5,DZ458,SUMPRODUCT(LARGE(I458:BE458,{1,2,3,4,5}))/5)</f>
        <v>36.827698801211355</v>
      </c>
      <c r="EK458" s="112">
        <f>IF(COUNT(I458:DY458)&lt;5,AVERAGE(I458:DY458),SUMPRODUCT(LARGE(I458:DY458,{1,2,3,4,5}))/5)</f>
        <v>36.827698801211355</v>
      </c>
      <c r="EL458" s="29">
        <f t="shared" si="112"/>
        <v>36.23346989493443</v>
      </c>
      <c r="EM458" s="116" t="str">
        <f t="shared" si="113"/>
        <v>WORLEY, Thomas</v>
      </c>
      <c r="EQ458"/>
    </row>
    <row r="459" spans="1:147" x14ac:dyDescent="0.25">
      <c r="A459" s="59">
        <f t="shared" si="114"/>
        <v>456</v>
      </c>
      <c r="B459" s="32" t="s">
        <v>767</v>
      </c>
      <c r="C459" s="5" t="s">
        <v>6</v>
      </c>
      <c r="D459" s="6" t="s">
        <v>62</v>
      </c>
      <c r="E459" s="6">
        <v>60.533894385989399</v>
      </c>
      <c r="F459" s="6">
        <v>60.533894385989399</v>
      </c>
      <c r="G459" s="5">
        <f t="shared" si="101"/>
        <v>2</v>
      </c>
      <c r="H459" s="37">
        <v>60.533894385989399</v>
      </c>
      <c r="I459" s="36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227"/>
      <c r="Z459" s="228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4"/>
      <c r="AP459" s="7"/>
      <c r="AQ459" s="74"/>
      <c r="AR459" s="70"/>
      <c r="AS459" s="7"/>
      <c r="AT459" s="70"/>
      <c r="AU459" s="7"/>
      <c r="AV459" s="70"/>
      <c r="AW459" s="7"/>
      <c r="AX459" s="183"/>
      <c r="AY459" s="36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4"/>
      <c r="BO459" s="7"/>
      <c r="BP459" s="7"/>
      <c r="BQ459" s="7"/>
      <c r="BR459" s="7"/>
      <c r="BS459" s="7"/>
      <c r="BT459" s="7">
        <f>(INDEX('Race 64'!$E$8:$E$200,(MATCH($B459,'Race 64'!$B$8:$B$200,0)),1))*100</f>
        <v>65.202783083150123</v>
      </c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4"/>
      <c r="CG459" s="7"/>
      <c r="CH459" s="7"/>
      <c r="CI459" s="7"/>
      <c r="CJ459" s="7"/>
      <c r="CK459" s="101"/>
      <c r="CL459" s="74"/>
      <c r="CM459" s="74"/>
      <c r="CN459" s="74"/>
      <c r="CO459" s="70"/>
      <c r="CP459" s="74"/>
      <c r="CQ459" s="7"/>
      <c r="CR459" s="74"/>
      <c r="CS459" s="74"/>
      <c r="CT459" s="74"/>
      <c r="CU459" s="74"/>
      <c r="CV459" s="7"/>
      <c r="CW459" s="7"/>
      <c r="CX459" s="7">
        <f>(INDEX('Race 94'!$E$8:$E$200,(MATCH($B459,'Race 94'!$B$8:$B$200,0)),1))*100</f>
        <v>58.877262115097871</v>
      </c>
      <c r="CY459" s="7"/>
      <c r="CZ459" s="7"/>
      <c r="DA459" s="7"/>
      <c r="DB459" s="7"/>
      <c r="DC459" s="7"/>
      <c r="DD459" s="7"/>
      <c r="DE459" s="74"/>
      <c r="DF459" s="74"/>
      <c r="DG459" s="74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8">
        <f t="shared" si="104"/>
        <v>62.040022599124001</v>
      </c>
      <c r="EA459" s="3" t="str">
        <f t="shared" si="105"/>
        <v>Yarbrough, Carl</v>
      </c>
      <c r="EB459" s="2">
        <f t="shared" si="106"/>
        <v>1</v>
      </c>
      <c r="EC459" s="112">
        <f t="shared" ref="EC459:EC466" si="115">H459</f>
        <v>60.533894385989399</v>
      </c>
      <c r="ED459" s="29">
        <f t="shared" si="107"/>
        <v>61.038983273439591</v>
      </c>
      <c r="EE459" s="2">
        <f t="shared" si="108"/>
        <v>0</v>
      </c>
      <c r="EF459" s="46">
        <f t="shared" si="109"/>
        <v>0</v>
      </c>
      <c r="EG459" s="46">
        <f t="shared" si="110"/>
        <v>2</v>
      </c>
      <c r="EH459" s="2" t="str">
        <f t="shared" si="111"/>
        <v>CO</v>
      </c>
      <c r="EI459" s="29">
        <f>IF(COUNT(I459:Y459)&lt;5,DZ459,SUMPRODUCT(LARGE(I459:Y459,{1,2,3,4,5}))/5)</f>
        <v>62.040022599124001</v>
      </c>
      <c r="EJ459" s="29">
        <f>IF(COUNT(I459:AX459)&lt;5,DZ459,SUMPRODUCT(LARGE(I459:AX459,{1,2,3,4,5}))/5)</f>
        <v>62.040022599124001</v>
      </c>
      <c r="EK459" s="29">
        <f>IF(COUNT(I459:DY459)&lt;5,AVERAGE(I459:DY459),SUMPRODUCT(LARGE(I459:DY459,{1,2,3,4,5}))/5)</f>
        <v>62.040022599124001</v>
      </c>
      <c r="EL459" s="29">
        <f t="shared" si="112"/>
        <v>61.038983273439591</v>
      </c>
      <c r="EM459" s="116" t="str">
        <f t="shared" si="113"/>
        <v>Yarbrough, Carl</v>
      </c>
      <c r="EQ459"/>
    </row>
    <row r="460" spans="1:147" x14ac:dyDescent="0.25">
      <c r="A460" s="59">
        <f t="shared" si="114"/>
        <v>457</v>
      </c>
      <c r="B460" s="32" t="s">
        <v>401</v>
      </c>
      <c r="C460" s="5" t="s">
        <v>6</v>
      </c>
      <c r="D460" s="6" t="s">
        <v>59</v>
      </c>
      <c r="E460" s="6">
        <v>49.43360583444634</v>
      </c>
      <c r="F460" s="6">
        <v>53.902504097851107</v>
      </c>
      <c r="G460" s="5">
        <f t="shared" si="101"/>
        <v>4</v>
      </c>
      <c r="H460" s="37">
        <v>49.43360583444634</v>
      </c>
      <c r="I460" s="36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227"/>
      <c r="Z460" s="228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4"/>
      <c r="AP460" s="7"/>
      <c r="AQ460" s="74"/>
      <c r="AR460" s="70"/>
      <c r="AS460" s="7"/>
      <c r="AT460" s="70"/>
      <c r="AU460" s="7"/>
      <c r="AV460" s="70"/>
      <c r="AW460" s="7">
        <f>(INDEX('Race 41'!$E$8:$E$200,(MATCH($B460,'Race 41'!$B$8:$B$200,0)),1))*100</f>
        <v>51.983454415381672</v>
      </c>
      <c r="AX460" s="8">
        <f>(INDEX('Race 42'!$E$8:$E$200,(MATCH($B460,'Race 42'!$B$8:$B$200,0)),1))*100</f>
        <v>55.821553780320542</v>
      </c>
      <c r="AY460" s="36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4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>
        <f>(INDEX('Race 75'!$E$8:$E$200,(MATCH($B460,'Race 75'!$B$8:$B$200,0)),1))*100</f>
        <v>53.503133646244983</v>
      </c>
      <c r="CF460" s="7">
        <f>(INDEX('Race 76'!$E$8:$E$200,(MATCH($B460,'Race 76'!$B$8:$B$200,0)),1))*100</f>
        <v>54.806961393082474</v>
      </c>
      <c r="CG460" s="7"/>
      <c r="CH460" s="7"/>
      <c r="CI460" s="7"/>
      <c r="CJ460" s="7"/>
      <c r="CK460" s="101"/>
      <c r="CL460" s="74"/>
      <c r="CM460" s="74"/>
      <c r="CN460" s="74"/>
      <c r="CO460" s="70"/>
      <c r="CP460" s="74"/>
      <c r="CQ460" s="7"/>
      <c r="CR460" s="74"/>
      <c r="CS460" s="74"/>
      <c r="CT460" s="74"/>
      <c r="CU460" s="74"/>
      <c r="CV460" s="74"/>
      <c r="CW460" s="7"/>
      <c r="CX460" s="7"/>
      <c r="CY460" s="7"/>
      <c r="CZ460" s="7"/>
      <c r="DA460" s="7"/>
      <c r="DB460" s="7"/>
      <c r="DC460" s="7"/>
      <c r="DD460" s="7"/>
      <c r="DE460" s="74"/>
      <c r="DF460" s="74"/>
      <c r="DG460" s="74"/>
      <c r="DH460" s="74"/>
      <c r="DI460" s="74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8">
        <f t="shared" si="104"/>
        <v>54.028775808757416</v>
      </c>
      <c r="EA460" s="3" t="str">
        <f t="shared" si="105"/>
        <v>Yetter, Andrew</v>
      </c>
      <c r="EB460" s="2">
        <f t="shared" si="106"/>
        <v>1</v>
      </c>
      <c r="EC460" s="112">
        <f t="shared" si="115"/>
        <v>49.43360583444634</v>
      </c>
      <c r="ED460" s="29">
        <f t="shared" si="107"/>
        <v>53.157000992480732</v>
      </c>
      <c r="EE460" s="2">
        <f t="shared" si="108"/>
        <v>0</v>
      </c>
      <c r="EF460" s="46">
        <f t="shared" si="109"/>
        <v>2</v>
      </c>
      <c r="EG460" s="46">
        <f t="shared" si="110"/>
        <v>4</v>
      </c>
      <c r="EH460" s="2" t="str">
        <f t="shared" si="111"/>
        <v>MT</v>
      </c>
      <c r="EI460" s="29">
        <f>IF(COUNT(I460:Y460)&lt;5,DZ460,SUMPRODUCT(LARGE(I460:Y460,{1,2,3,4,5}))/5)</f>
        <v>54.028775808757416</v>
      </c>
      <c r="EJ460" s="29">
        <f>IF(COUNT(I460:AX460)&lt;5,DZ460,SUMPRODUCT(LARGE(I460:AX460,{1,2,3,4,5}))/5)</f>
        <v>54.028775808757416</v>
      </c>
      <c r="EK460" s="29">
        <f>IF(COUNT(I460:DY460)&lt;5,AVERAGE(I460:DY460),SUMPRODUCT(LARGE(I460:DY460,{1,2,3,4,5}))/5)</f>
        <v>54.028775808757416</v>
      </c>
      <c r="EL460" s="29">
        <f t="shared" si="112"/>
        <v>53.157000992480732</v>
      </c>
      <c r="EM460" s="116" t="str">
        <f t="shared" si="113"/>
        <v>Yetter, Andrew</v>
      </c>
      <c r="EQ460"/>
    </row>
    <row r="461" spans="1:147" x14ac:dyDescent="0.25">
      <c r="A461" s="59">
        <f t="shared" si="114"/>
        <v>458</v>
      </c>
      <c r="B461" s="32" t="s">
        <v>1195</v>
      </c>
      <c r="C461" s="5" t="s">
        <v>6</v>
      </c>
      <c r="D461" s="6" t="s">
        <v>62</v>
      </c>
      <c r="E461" s="6">
        <v>0</v>
      </c>
      <c r="F461" s="6">
        <v>0</v>
      </c>
      <c r="G461" s="5">
        <f t="shared" si="101"/>
        <v>5</v>
      </c>
      <c r="H461" s="37">
        <v>0</v>
      </c>
      <c r="I461" s="36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227"/>
      <c r="Z461" s="228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4"/>
      <c r="AP461" s="7"/>
      <c r="AQ461" s="74"/>
      <c r="AR461" s="70"/>
      <c r="AS461" s="7"/>
      <c r="AT461" s="70"/>
      <c r="AU461" s="7"/>
      <c r="AV461" s="70"/>
      <c r="AW461" s="7"/>
      <c r="AX461" s="8"/>
      <c r="AY461" s="36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4"/>
      <c r="BO461" s="7"/>
      <c r="BP461" s="7"/>
      <c r="BQ461" s="7"/>
      <c r="BR461" s="7"/>
      <c r="BS461" s="7">
        <f>(INDEX('Race 63'!$E$8:$E$200,(MATCH($B461,'Race 63'!$B$8:$B$200,0)),1))*100</f>
        <v>57.384649741187928</v>
      </c>
      <c r="BT461" s="7">
        <f>(INDEX('Race 64'!$E$8:$E$200,(MATCH($B461,'Race 64'!$B$8:$B$200,0)),1))*100</f>
        <v>50.338113242280414</v>
      </c>
      <c r="BU461" s="7"/>
      <c r="BV461" s="74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101"/>
      <c r="CL461" s="74"/>
      <c r="CM461" s="74"/>
      <c r="CN461" s="74">
        <f>(INDEX('Race 84'!$E$8:$E$200,(MATCH($B461,'Race 84'!$B$8:$B$200,0)),1))*100</f>
        <v>52.067742910045034</v>
      </c>
      <c r="CO461" s="70"/>
      <c r="CP461" s="74">
        <f>(INDEX('Race 86'!$E$8:$E$200,(MATCH($B461,'Race 86'!$B$8:$B$200,0)),1))*100</f>
        <v>50.729321077333964</v>
      </c>
      <c r="CQ461" s="70"/>
      <c r="CR461" s="74"/>
      <c r="CS461" s="74"/>
      <c r="CT461" s="74"/>
      <c r="CU461" s="74"/>
      <c r="CV461" s="7">
        <f>(INDEX('Race 92'!$E$8:$E$200,(MATCH($B461,'Race 92'!$B$8:$B$200,0)),1))*100</f>
        <v>52.682468083108525</v>
      </c>
      <c r="CW461" s="7"/>
      <c r="CX461" s="7"/>
      <c r="CY461" s="7"/>
      <c r="CZ461" s="7"/>
      <c r="DA461" s="7"/>
      <c r="DB461" s="7"/>
      <c r="DC461" s="7"/>
      <c r="DD461" s="7"/>
      <c r="DE461" s="74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8">
        <f t="shared" si="104"/>
        <v>52.640459010791176</v>
      </c>
      <c r="EA461" s="3" t="str">
        <f t="shared" si="105"/>
        <v>Young, Matt</v>
      </c>
      <c r="EB461" s="2">
        <f t="shared" si="106"/>
        <v>1</v>
      </c>
      <c r="EC461" s="112">
        <f t="shared" si="115"/>
        <v>0</v>
      </c>
      <c r="ED461" s="29">
        <f t="shared" si="107"/>
        <v>51.791085213293165</v>
      </c>
      <c r="EE461" s="2">
        <f t="shared" si="108"/>
        <v>0</v>
      </c>
      <c r="EF461" s="46">
        <f t="shared" si="109"/>
        <v>0</v>
      </c>
      <c r="EG461" s="46">
        <f t="shared" si="110"/>
        <v>5</v>
      </c>
      <c r="EH461" s="29" t="str">
        <f t="shared" si="111"/>
        <v>CO</v>
      </c>
      <c r="EI461" s="29">
        <f>IF(COUNT(I461:AD461)&lt;5,DZ461,SUMPRODUCT(LARGE(I461:AD461,{1,2,3,4,5}))/5)</f>
        <v>52.640459010791176</v>
      </c>
      <c r="EJ461" s="29">
        <f>IF(COUNT(I461:AX461)&lt;5,DZ461,SUMPRODUCT(LARGE(I461:AX461,{1,2,3,4,5}))/5)</f>
        <v>52.640459010791176</v>
      </c>
      <c r="EK461" s="112">
        <f>IF(COUNT(I461:DY461)&lt;5,AVERAGE(I461:DY461),SUMPRODUCT(LARGE(I461:DY461,{1,2,3,4,5}))/5)</f>
        <v>52.640459010791176</v>
      </c>
      <c r="EL461" s="29">
        <f t="shared" si="112"/>
        <v>51.791085213293165</v>
      </c>
      <c r="EM461" s="116" t="str">
        <f t="shared" si="113"/>
        <v>Young, Matt</v>
      </c>
      <c r="EQ461"/>
    </row>
    <row r="462" spans="1:147" x14ac:dyDescent="0.25">
      <c r="A462" s="59">
        <f t="shared" si="114"/>
        <v>459</v>
      </c>
      <c r="B462" s="32" t="s">
        <v>712</v>
      </c>
      <c r="C462" s="5" t="s">
        <v>16</v>
      </c>
      <c r="D462" s="6" t="s">
        <v>87</v>
      </c>
      <c r="E462" s="6">
        <v>74.905957502259213</v>
      </c>
      <c r="F462" s="6">
        <v>74.905957502259213</v>
      </c>
      <c r="G462" s="5">
        <f t="shared" si="101"/>
        <v>2</v>
      </c>
      <c r="H462" s="37">
        <v>82.907092027259509</v>
      </c>
      <c r="I462" s="36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>
        <f>(INDEX('Race 16'!$E$8:$E$200,(MATCH($B462,'Race 16'!$B$8:$B$200,0)),1))*100</f>
        <v>74.108316324665353</v>
      </c>
      <c r="Y462" s="227">
        <f>(INDEX('Race 17'!$E$8:$E$200,(MATCH($B462,'Race 17'!$B$8:$B$200,0)),1))*100</f>
        <v>75.703598679853073</v>
      </c>
      <c r="Z462" s="228"/>
      <c r="AA462" s="7"/>
      <c r="AB462" s="7"/>
      <c r="AC462" s="7"/>
      <c r="AD462" s="74"/>
      <c r="AE462" s="74"/>
      <c r="AF462" s="7"/>
      <c r="AG462" s="7"/>
      <c r="AH462" s="7"/>
      <c r="AI462" s="7"/>
      <c r="AJ462" s="7"/>
      <c r="AK462" s="7"/>
      <c r="AL462" s="7"/>
      <c r="AM462" s="7"/>
      <c r="AN462" s="7"/>
      <c r="AO462" s="74"/>
      <c r="AP462" s="7"/>
      <c r="AQ462" s="74"/>
      <c r="AR462" s="70"/>
      <c r="AS462" s="7"/>
      <c r="AT462" s="70"/>
      <c r="AU462" s="7"/>
      <c r="AV462" s="70"/>
      <c r="AW462" s="7"/>
      <c r="AX462" s="183"/>
      <c r="AY462" s="107"/>
      <c r="AZ462" s="7"/>
      <c r="BA462" s="7"/>
      <c r="BB462" s="7"/>
      <c r="BC462" s="74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101"/>
      <c r="CL462" s="74"/>
      <c r="CM462" s="74"/>
      <c r="CN462" s="74"/>
      <c r="CO462" s="70"/>
      <c r="CP462" s="74"/>
      <c r="CQ462" s="7"/>
      <c r="CR462" s="74"/>
      <c r="CS462" s="74"/>
      <c r="CT462" s="74"/>
      <c r="CU462" s="74"/>
      <c r="CV462" s="74"/>
      <c r="CW462" s="7"/>
      <c r="CX462" s="7"/>
      <c r="CY462" s="7"/>
      <c r="CZ462" s="74"/>
      <c r="DA462" s="7"/>
      <c r="DB462" s="74"/>
      <c r="DC462" s="7"/>
      <c r="DD462" s="7"/>
      <c r="DE462" s="74"/>
      <c r="DF462" s="74"/>
      <c r="DG462" s="74"/>
      <c r="DH462" s="74"/>
      <c r="DI462" s="74"/>
      <c r="DJ462" s="7"/>
      <c r="DK462" s="7"/>
      <c r="DL462" s="7"/>
      <c r="DM462" s="7"/>
      <c r="DN462" s="7"/>
      <c r="DO462" s="74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8">
        <f t="shared" si="104"/>
        <v>74.905957502259213</v>
      </c>
      <c r="EA462" s="3" t="str">
        <f t="shared" si="105"/>
        <v>Zabell, Sam</v>
      </c>
      <c r="EB462" s="2">
        <f t="shared" si="106"/>
        <v>1</v>
      </c>
      <c r="EC462" s="112">
        <f t="shared" si="115"/>
        <v>82.907092027259509</v>
      </c>
      <c r="ED462" s="29">
        <f t="shared" si="107"/>
        <v>73.69732143079419</v>
      </c>
      <c r="EE462" s="2">
        <f t="shared" si="108"/>
        <v>2</v>
      </c>
      <c r="EF462" s="46">
        <f t="shared" si="109"/>
        <v>2</v>
      </c>
      <c r="EG462" s="46">
        <f t="shared" si="110"/>
        <v>2</v>
      </c>
      <c r="EH462" s="2" t="str">
        <f t="shared" si="111"/>
        <v>CA</v>
      </c>
      <c r="EI462" s="29">
        <f>IF(COUNT(I462:Y462)&lt;5,DZ462,SUMPRODUCT(LARGE(I462:Y462,{1,2,3,4,5}))/5)</f>
        <v>74.905957502259213</v>
      </c>
      <c r="EJ462" s="29">
        <f>IF(COUNT(I462:AX462)&lt;5,DZ462,SUMPRODUCT(LARGE(I462:AX462,{1,2,3,4,5}))/5)</f>
        <v>74.905957502259213</v>
      </c>
      <c r="EK462" s="29">
        <f>IF(COUNT(I462:DY462)&lt;5,AVERAGE(I462:DY462),SUMPRODUCT(LARGE(I462:DY462,{1,2,3,4,5}))/5)</f>
        <v>74.905957502259213</v>
      </c>
      <c r="EL462" s="29">
        <f t="shared" si="112"/>
        <v>73.69732143079419</v>
      </c>
      <c r="EM462" s="116" t="str">
        <f t="shared" si="113"/>
        <v>Zabell, Sam</v>
      </c>
      <c r="EQ462"/>
    </row>
    <row r="463" spans="1:147" x14ac:dyDescent="0.25">
      <c r="A463" s="59">
        <f t="shared" si="114"/>
        <v>460</v>
      </c>
      <c r="B463" s="32" t="s">
        <v>920</v>
      </c>
      <c r="C463" s="5" t="s">
        <v>6</v>
      </c>
      <c r="D463" s="6" t="s">
        <v>66</v>
      </c>
      <c r="E463" s="6">
        <v>39.33529400467787</v>
      </c>
      <c r="F463" s="6">
        <v>39.33529400467787</v>
      </c>
      <c r="G463" s="5">
        <f t="shared" si="101"/>
        <v>0</v>
      </c>
      <c r="H463" s="37">
        <v>39.33529400467787</v>
      </c>
      <c r="I463" s="36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227"/>
      <c r="Z463" s="228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4"/>
      <c r="AP463" s="7"/>
      <c r="AQ463" s="74"/>
      <c r="AR463" s="70"/>
      <c r="AS463" s="7"/>
      <c r="AT463" s="70"/>
      <c r="AU463" s="7"/>
      <c r="AV463" s="70"/>
      <c r="AW463" s="7"/>
      <c r="AX463" s="8"/>
      <c r="AY463" s="36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4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4"/>
      <c r="CF463" s="74"/>
      <c r="CG463" s="7"/>
      <c r="CH463" s="7"/>
      <c r="CI463" s="7"/>
      <c r="CJ463" s="7"/>
      <c r="CK463" s="101"/>
      <c r="CL463" s="74"/>
      <c r="CM463" s="74"/>
      <c r="CN463" s="74"/>
      <c r="CO463" s="70"/>
      <c r="CP463" s="74"/>
      <c r="CQ463" s="7"/>
      <c r="CR463" s="74"/>
      <c r="CS463" s="74"/>
      <c r="CT463" s="74"/>
      <c r="CU463" s="74"/>
      <c r="CV463" s="7"/>
      <c r="CW463" s="7"/>
      <c r="CX463" s="7"/>
      <c r="CY463" s="7"/>
      <c r="CZ463" s="7"/>
      <c r="DA463" s="7"/>
      <c r="DB463" s="7"/>
      <c r="DC463" s="7"/>
      <c r="DD463" s="7"/>
      <c r="DE463" s="74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8">
        <f t="shared" si="104"/>
        <v>39.33529400467787</v>
      </c>
      <c r="EA463" s="3" t="str">
        <f t="shared" si="105"/>
        <v xml:space="preserve">Zabriskie, Daniel </v>
      </c>
      <c r="EB463" s="2">
        <f t="shared" si="106"/>
        <v>0</v>
      </c>
      <c r="EC463" s="112">
        <f t="shared" si="115"/>
        <v>39.33529400467787</v>
      </c>
      <c r="ED463" s="29">
        <f t="shared" si="107"/>
        <v>0</v>
      </c>
      <c r="EE463" s="2">
        <f t="shared" si="108"/>
        <v>0</v>
      </c>
      <c r="EF463" s="46">
        <f t="shared" si="109"/>
        <v>0</v>
      </c>
      <c r="EG463" s="46">
        <f t="shared" si="110"/>
        <v>0</v>
      </c>
      <c r="EH463" s="29" t="str">
        <f t="shared" si="111"/>
        <v>WY</v>
      </c>
      <c r="EI463" s="29">
        <f>IF(COUNT(I463:Y463)&lt;5,DZ463,SUMPRODUCT(LARGE(I463:Y463,{1,2,3,4,5}))/5)</f>
        <v>39.33529400467787</v>
      </c>
      <c r="EJ463" s="29">
        <f>IF(COUNT(I463:AX463)&lt;5,DZ463,SUMPRODUCT(LARGE(I463:AX463,{1,2,3,4,5}))/5)</f>
        <v>39.33529400467787</v>
      </c>
      <c r="EK463" s="112">
        <f>IF(EG463&lt;0,AVERAGE(I463:DY463),0)</f>
        <v>0</v>
      </c>
      <c r="EL463" s="29">
        <f t="shared" si="112"/>
        <v>0</v>
      </c>
      <c r="EM463" s="116" t="str">
        <f t="shared" si="113"/>
        <v xml:space="preserve">Zabriskie, Daniel </v>
      </c>
      <c r="EQ463"/>
    </row>
    <row r="464" spans="1:147" x14ac:dyDescent="0.25">
      <c r="A464" s="59">
        <f t="shared" si="114"/>
        <v>461</v>
      </c>
      <c r="B464" s="4" t="s">
        <v>1199</v>
      </c>
      <c r="C464" s="5" t="s">
        <v>6</v>
      </c>
      <c r="D464" s="6" t="s">
        <v>62</v>
      </c>
      <c r="E464" s="6">
        <v>0</v>
      </c>
      <c r="F464" s="6">
        <v>0</v>
      </c>
      <c r="G464" s="5">
        <f t="shared" si="101"/>
        <v>2</v>
      </c>
      <c r="H464" s="37">
        <v>0</v>
      </c>
      <c r="I464" s="36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227"/>
      <c r="Z464" s="228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4"/>
      <c r="AP464" s="7"/>
      <c r="AQ464" s="74"/>
      <c r="AR464" s="70"/>
      <c r="AS464" s="7"/>
      <c r="AT464" s="70"/>
      <c r="AU464" s="7"/>
      <c r="AV464" s="70"/>
      <c r="AW464" s="7"/>
      <c r="AX464" s="8"/>
      <c r="AY464" s="36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>
        <f>(INDEX('Race 63'!$E$8:$E$200,(MATCH($B464,'Race 63'!$B$8:$B$200,0)),1))*100</f>
        <v>65.494927577607569</v>
      </c>
      <c r="BT464" s="7">
        <f>(INDEX('Race 64'!$E$8:$E$200,(MATCH($B464,'Race 64'!$B$8:$B$200,0)),1))*100</f>
        <v>67.723366456373014</v>
      </c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101"/>
      <c r="CL464" s="74"/>
      <c r="CM464" s="74"/>
      <c r="CN464" s="74"/>
      <c r="CO464" s="70"/>
      <c r="CP464" s="74"/>
      <c r="CQ464" s="7"/>
      <c r="CR464" s="74"/>
      <c r="CS464" s="74"/>
      <c r="CT464" s="74"/>
      <c r="CU464" s="74"/>
      <c r="CV464" s="74"/>
      <c r="CW464" s="7"/>
      <c r="CX464" s="7"/>
      <c r="CY464" s="7"/>
      <c r="CZ464" s="7"/>
      <c r="DA464" s="7"/>
      <c r="DB464" s="7"/>
      <c r="DC464" s="7"/>
      <c r="DD464" s="7"/>
      <c r="DE464" s="74"/>
      <c r="DF464" s="74"/>
      <c r="DG464" s="74"/>
      <c r="DH464" s="74"/>
      <c r="DI464" s="74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8">
        <f t="shared" si="104"/>
        <v>66.609147016990292</v>
      </c>
      <c r="EA464" s="3" t="str">
        <f t="shared" si="105"/>
        <v>Zimmerman, Rick</v>
      </c>
      <c r="EB464" s="2">
        <f t="shared" si="106"/>
        <v>1</v>
      </c>
      <c r="EC464" s="112">
        <f t="shared" si="115"/>
        <v>0</v>
      </c>
      <c r="ED464" s="29">
        <f t="shared" si="107"/>
        <v>65.534383133599263</v>
      </c>
      <c r="EE464" s="2">
        <f t="shared" si="108"/>
        <v>0</v>
      </c>
      <c r="EF464" s="46">
        <f t="shared" si="109"/>
        <v>0</v>
      </c>
      <c r="EG464" s="46">
        <f t="shared" si="110"/>
        <v>2</v>
      </c>
      <c r="EH464" s="2" t="str">
        <f t="shared" si="111"/>
        <v>CO</v>
      </c>
      <c r="EI464" s="29">
        <f>IF(COUNT(I464:AD464)&lt;5,DZ464,SUMPRODUCT(LARGE(I464:AD464,{1,2,3,4,5}))/5)</f>
        <v>66.609147016990292</v>
      </c>
      <c r="EJ464" s="29">
        <f>IF(COUNT(I464:BE464)&lt;5,DZ464,SUMPRODUCT(LARGE(I464:BE464,{1,2,3,4,5}))/5)</f>
        <v>66.609147016990292</v>
      </c>
      <c r="EK464" s="112">
        <f>IF(COUNT(I464:DY464)&lt;5,AVERAGE(I464:DY464),SUMPRODUCT(LARGE(I464:DY464,{1,2,3,4,5}))/5)</f>
        <v>66.609147016990292</v>
      </c>
      <c r="EL464" s="29">
        <f t="shared" si="112"/>
        <v>65.534383133599263</v>
      </c>
      <c r="EM464" s="116" t="str">
        <f t="shared" si="113"/>
        <v>Zimmerman, Rick</v>
      </c>
      <c r="EQ464"/>
    </row>
    <row r="465" spans="1:147" x14ac:dyDescent="0.25">
      <c r="A465" s="59">
        <f t="shared" si="114"/>
        <v>462</v>
      </c>
      <c r="B465" s="32" t="s">
        <v>1128</v>
      </c>
      <c r="C465" s="5" t="s">
        <v>6</v>
      </c>
      <c r="D465" s="6" t="s">
        <v>58</v>
      </c>
      <c r="E465" s="6">
        <v>0</v>
      </c>
      <c r="F465" s="6">
        <v>78.23941171923417</v>
      </c>
      <c r="G465" s="5">
        <f t="shared" si="101"/>
        <v>4</v>
      </c>
      <c r="H465" s="37">
        <v>0</v>
      </c>
      <c r="I465" s="36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227"/>
      <c r="Z465" s="228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4"/>
      <c r="AP465" s="7"/>
      <c r="AQ465" s="74"/>
      <c r="AR465" s="70"/>
      <c r="AS465" s="7"/>
      <c r="AT465" s="70"/>
      <c r="AU465" s="7"/>
      <c r="AV465" s="70"/>
      <c r="AW465" s="7">
        <f>(INDEX('Race 41'!$E$8:$E$200,(MATCH($B465,'Race 41'!$B$8:$B$200,0)),1))*100</f>
        <v>79.20313723918386</v>
      </c>
      <c r="AX465" s="8">
        <f>(INDEX('Race 42'!$E$8:$E$200,(MATCH($B465,'Race 42'!$B$8:$B$200,0)),1))*100</f>
        <v>77.275686199284479</v>
      </c>
      <c r="AY465" s="36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4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4">
        <f>(INDEX('Race 75'!$E$8:$E$200,(MATCH($B465,'Race 75'!$B$8:$B$200,0)),1))*100</f>
        <v>75.534883420014964</v>
      </c>
      <c r="CF465" s="74">
        <f>(INDEX('Race 76'!$E$8:$E$200,(MATCH($B465,'Race 76'!$B$8:$B$200,0)),1))*100</f>
        <v>78.704091213101449</v>
      </c>
      <c r="CG465" s="7"/>
      <c r="CH465" s="7"/>
      <c r="CI465" s="7"/>
      <c r="CJ465" s="7"/>
      <c r="CK465" s="101"/>
      <c r="CL465" s="74"/>
      <c r="CM465" s="74"/>
      <c r="CN465" s="74"/>
      <c r="CO465" s="70"/>
      <c r="CP465" s="74"/>
      <c r="CQ465" s="7"/>
      <c r="CR465" s="74"/>
      <c r="CS465" s="74"/>
      <c r="CT465" s="74"/>
      <c r="CU465" s="74"/>
      <c r="CV465" s="7"/>
      <c r="CW465" s="7"/>
      <c r="CX465" s="7"/>
      <c r="CY465" s="7"/>
      <c r="CZ465" s="7"/>
      <c r="DA465" s="7"/>
      <c r="DB465" s="7"/>
      <c r="DC465" s="7"/>
      <c r="DD465" s="7"/>
      <c r="DE465" s="74"/>
      <c r="DF465" s="74"/>
      <c r="DG465" s="74"/>
      <c r="DH465" s="7"/>
      <c r="DI465" s="7"/>
      <c r="DJ465" s="7"/>
      <c r="DK465" s="7"/>
      <c r="DL465" s="7"/>
      <c r="DM465" s="7"/>
      <c r="DN465" s="7"/>
      <c r="DO465" s="7"/>
      <c r="DP465" s="7"/>
      <c r="DQ465" s="74"/>
      <c r="DR465" s="74"/>
      <c r="DS465" s="7"/>
      <c r="DT465" s="7"/>
      <c r="DU465" s="7"/>
      <c r="DV465" s="7"/>
      <c r="DW465" s="7"/>
      <c r="DX465" s="7"/>
      <c r="DY465" s="7"/>
      <c r="DZ465" s="8">
        <f t="shared" si="104"/>
        <v>77.679449517896188</v>
      </c>
      <c r="EA465" s="3" t="str">
        <f t="shared" si="105"/>
        <v>Zupko, Hunter</v>
      </c>
      <c r="EB465" s="2">
        <f t="shared" si="106"/>
        <v>1</v>
      </c>
      <c r="EC465" s="112">
        <f t="shared" si="115"/>
        <v>0</v>
      </c>
      <c r="ED465" s="29">
        <f t="shared" si="107"/>
        <v>76.426062099464971</v>
      </c>
      <c r="EE465" s="2">
        <f t="shared" si="108"/>
        <v>0</v>
      </c>
      <c r="EF465" s="46">
        <f t="shared" si="109"/>
        <v>2</v>
      </c>
      <c r="EG465" s="46">
        <f t="shared" si="110"/>
        <v>4</v>
      </c>
      <c r="EH465" s="2" t="str">
        <f t="shared" si="111"/>
        <v>MN</v>
      </c>
      <c r="EI465" s="29">
        <f>IF(COUNT(I465:AD465)&lt;5,DZ465,SUMPRODUCT(LARGE(I465:AD465,{1,2,3,4,5}))/5)</f>
        <v>77.679449517896188</v>
      </c>
      <c r="EJ465" s="29">
        <f>IF(COUNT(I465:AX465)&lt;5,DZ465,SUMPRODUCT(LARGE(I465:AX465,{1,2,3,4,5}))/5)</f>
        <v>77.679449517896188</v>
      </c>
      <c r="EK465" s="112">
        <f>IF(COUNT(I465:DY465)&lt;5,AVERAGE(I465:DY465),SUMPRODUCT(LARGE(I465:DY465,{1,2,3,4,5}))/5)</f>
        <v>77.679449517896188</v>
      </c>
      <c r="EL465" s="29">
        <f t="shared" si="112"/>
        <v>76.426062099464971</v>
      </c>
      <c r="EM465" s="116" t="str">
        <f t="shared" si="113"/>
        <v>Zupko, Hunter</v>
      </c>
      <c r="EQ465"/>
    </row>
    <row r="466" spans="1:147" x14ac:dyDescent="0.25">
      <c r="A466" s="59">
        <f t="shared" si="114"/>
        <v>463</v>
      </c>
      <c r="B466" s="4"/>
      <c r="C466" s="5"/>
      <c r="D466" s="6"/>
      <c r="E466" s="6"/>
      <c r="F466" s="6"/>
      <c r="G466" s="5"/>
      <c r="H466" s="99"/>
      <c r="I466" s="107"/>
      <c r="J466" s="7"/>
      <c r="K466" s="74"/>
      <c r="L466" s="7"/>
      <c r="M466" s="74"/>
      <c r="N466" s="74"/>
      <c r="O466" s="7"/>
      <c r="P466" s="74"/>
      <c r="Q466" s="7"/>
      <c r="R466" s="74"/>
      <c r="S466" s="74"/>
      <c r="T466" s="7"/>
      <c r="U466" s="7"/>
      <c r="V466" s="74"/>
      <c r="W466" s="7"/>
      <c r="X466" s="7"/>
      <c r="Y466" s="229"/>
      <c r="Z466" s="230"/>
      <c r="AA466" s="74"/>
      <c r="AB466" s="74"/>
      <c r="AC466" s="74"/>
      <c r="AD466" s="74"/>
      <c r="AE466" s="7"/>
      <c r="AF466" s="74"/>
      <c r="AG466" s="74"/>
      <c r="AH466" s="7"/>
      <c r="AI466" s="7"/>
      <c r="AJ466" s="7"/>
      <c r="AK466" s="7"/>
      <c r="AL466" s="7"/>
      <c r="AM466" s="7"/>
      <c r="AN466" s="7"/>
      <c r="AO466" s="74"/>
      <c r="AP466" s="7"/>
      <c r="AQ466" s="74"/>
      <c r="AR466" s="101"/>
      <c r="AS466" s="7"/>
      <c r="AT466" s="101"/>
      <c r="AU466" s="7"/>
      <c r="AV466" s="101"/>
      <c r="AW466" s="7"/>
      <c r="AX466" s="8"/>
      <c r="AY466" s="36"/>
      <c r="AZ466" s="74"/>
      <c r="BA466" s="74"/>
      <c r="BB466" s="74"/>
      <c r="BC466" s="74"/>
      <c r="BD466" s="7"/>
      <c r="BE466" s="7"/>
      <c r="BF466" s="74"/>
      <c r="BG466" s="74"/>
      <c r="BH466" s="74"/>
      <c r="BI466" s="74"/>
      <c r="BJ466" s="74"/>
      <c r="BK466" s="7"/>
      <c r="BL466" s="74"/>
      <c r="BM466" s="7"/>
      <c r="BN466" s="74"/>
      <c r="BO466" s="74"/>
      <c r="BP466" s="7"/>
      <c r="BQ466" s="7"/>
      <c r="BR466" s="74"/>
      <c r="BS466" s="7"/>
      <c r="BT466" s="7"/>
      <c r="BU466" s="74"/>
      <c r="BV466" s="74"/>
      <c r="BW466" s="74"/>
      <c r="BX466" s="74"/>
      <c r="BY466" s="74"/>
      <c r="BZ466" s="74"/>
      <c r="CA466" s="7"/>
      <c r="CB466" s="74"/>
      <c r="CC466" s="74"/>
      <c r="CD466" s="74"/>
      <c r="CE466" s="7"/>
      <c r="CF466" s="74"/>
      <c r="CG466" s="74"/>
      <c r="CH466" s="7"/>
      <c r="CI466" s="74"/>
      <c r="CJ466" s="74"/>
      <c r="CK466" s="101"/>
      <c r="CL466" s="74"/>
      <c r="CM466" s="74"/>
      <c r="CN466" s="74"/>
      <c r="CO466" s="101"/>
      <c r="CP466" s="74"/>
      <c r="CQ466" s="74"/>
      <c r="CR466" s="74"/>
      <c r="CS466" s="74"/>
      <c r="CT466" s="74"/>
      <c r="CU466" s="74"/>
      <c r="CV466" s="74"/>
      <c r="CW466" s="74"/>
      <c r="CX466" s="7"/>
      <c r="CY466" s="7"/>
      <c r="CZ466" s="74"/>
      <c r="DA466" s="74"/>
      <c r="DB466" s="74"/>
      <c r="DC466" s="74"/>
      <c r="DD466" s="74"/>
      <c r="DE466" s="74"/>
      <c r="DF466" s="74"/>
      <c r="DG466" s="74"/>
      <c r="DH466" s="74"/>
      <c r="DI466" s="74"/>
      <c r="DJ466" s="7"/>
      <c r="DK466" s="74"/>
      <c r="DL466" s="7"/>
      <c r="DM466" s="74"/>
      <c r="DN466" s="74"/>
      <c r="DO466" s="74"/>
      <c r="DP466" s="74"/>
      <c r="DQ466" s="74"/>
      <c r="DR466" s="74"/>
      <c r="DS466" s="74"/>
      <c r="DT466" s="74"/>
      <c r="DU466" s="74"/>
      <c r="DV466" s="74"/>
      <c r="DW466" s="74"/>
      <c r="DX466" s="74"/>
      <c r="DY466" s="74"/>
      <c r="DZ466" s="8">
        <f t="shared" si="104"/>
        <v>0</v>
      </c>
      <c r="EA466" s="3">
        <f t="shared" si="105"/>
        <v>0</v>
      </c>
      <c r="EB466" s="2">
        <f t="shared" si="106"/>
        <v>0</v>
      </c>
      <c r="EC466" s="112">
        <f t="shared" si="115"/>
        <v>0</v>
      </c>
      <c r="ED466" s="29">
        <f t="shared" si="107"/>
        <v>0</v>
      </c>
      <c r="EE466" s="2">
        <f t="shared" si="108"/>
        <v>0</v>
      </c>
      <c r="EF466" s="46">
        <f t="shared" si="109"/>
        <v>0</v>
      </c>
      <c r="EG466" s="46">
        <f t="shared" si="110"/>
        <v>0</v>
      </c>
      <c r="EH466" s="29">
        <f t="shared" si="111"/>
        <v>0</v>
      </c>
      <c r="EI466" s="29">
        <f>IF(COUNT(I466:AD466)&lt;5,DZ466,SUMPRODUCT(LARGE(I466:AD466,{1,2,3,4,5}))/5)</f>
        <v>0</v>
      </c>
      <c r="EJ466" s="29">
        <f>IF(COUNT(I466:BE466)&lt;5,DZ466,SUMPRODUCT(LARGE(I466:BE466,{1,2,3,4,5}))/5)</f>
        <v>0</v>
      </c>
      <c r="EK466" s="29">
        <f>IF(EG466&lt;0,AVERAGE(I466:DY466),0)</f>
        <v>0</v>
      </c>
      <c r="EL466" s="29">
        <f>(EK466*100)/101.28</f>
        <v>0</v>
      </c>
      <c r="EM466" s="116">
        <f t="shared" si="113"/>
        <v>0</v>
      </c>
      <c r="EQ466"/>
    </row>
    <row r="467" spans="1:147" x14ac:dyDescent="0.25">
      <c r="A467" s="59">
        <f t="shared" si="114"/>
        <v>464</v>
      </c>
      <c r="B467" s="4"/>
      <c r="C467" s="5"/>
      <c r="D467" s="6"/>
      <c r="E467" s="6"/>
      <c r="F467" s="6"/>
      <c r="G467" s="5"/>
      <c r="H467" s="99"/>
      <c r="I467" s="107"/>
      <c r="J467" s="7"/>
      <c r="K467" s="74"/>
      <c r="L467" s="7"/>
      <c r="M467" s="74"/>
      <c r="N467" s="74"/>
      <c r="O467" s="7"/>
      <c r="P467" s="74"/>
      <c r="Q467" s="7"/>
      <c r="R467" s="74"/>
      <c r="S467" s="74"/>
      <c r="T467" s="7"/>
      <c r="U467" s="7"/>
      <c r="V467" s="74"/>
      <c r="W467" s="7"/>
      <c r="X467" s="7"/>
      <c r="Y467" s="229"/>
      <c r="Z467" s="230"/>
      <c r="AA467" s="74"/>
      <c r="AB467" s="74"/>
      <c r="AC467" s="74"/>
      <c r="AD467" s="74"/>
      <c r="AE467" s="7"/>
      <c r="AF467" s="74"/>
      <c r="AG467" s="74"/>
      <c r="AH467" s="7"/>
      <c r="AI467" s="7"/>
      <c r="AJ467" s="7"/>
      <c r="AK467" s="7"/>
      <c r="AL467" s="7"/>
      <c r="AM467" s="7"/>
      <c r="AN467" s="7"/>
      <c r="AO467" s="74"/>
      <c r="AP467" s="7"/>
      <c r="AQ467" s="74"/>
      <c r="AR467" s="101"/>
      <c r="AS467" s="7"/>
      <c r="AT467" s="101"/>
      <c r="AU467" s="7"/>
      <c r="AV467" s="101"/>
      <c r="AW467" s="7"/>
      <c r="AX467" s="8"/>
      <c r="AY467" s="36"/>
      <c r="AZ467" s="74"/>
      <c r="BA467" s="74"/>
      <c r="BB467" s="74"/>
      <c r="BC467" s="74"/>
      <c r="BD467" s="7"/>
      <c r="BE467" s="7"/>
      <c r="BF467" s="74"/>
      <c r="BG467" s="74"/>
      <c r="BH467" s="74"/>
      <c r="BI467" s="74"/>
      <c r="BJ467" s="74"/>
      <c r="BK467" s="7"/>
      <c r="BL467" s="74"/>
      <c r="BM467" s="7"/>
      <c r="BN467" s="74"/>
      <c r="BO467" s="74"/>
      <c r="BP467" s="7"/>
      <c r="BQ467" s="7"/>
      <c r="BR467" s="74"/>
      <c r="BS467" s="7"/>
      <c r="BT467" s="7"/>
      <c r="BU467" s="74"/>
      <c r="BV467" s="74"/>
      <c r="BW467" s="74"/>
      <c r="BX467" s="74"/>
      <c r="BY467" s="74"/>
      <c r="BZ467" s="74"/>
      <c r="CA467" s="7"/>
      <c r="CB467" s="74"/>
      <c r="CC467" s="74"/>
      <c r="CD467" s="74"/>
      <c r="CE467" s="7"/>
      <c r="CF467" s="74"/>
      <c r="CG467" s="74"/>
      <c r="CH467" s="7"/>
      <c r="CI467" s="74"/>
      <c r="CJ467" s="74"/>
      <c r="CK467" s="101"/>
      <c r="CL467" s="74"/>
      <c r="CM467" s="74"/>
      <c r="CN467" s="74"/>
      <c r="CO467" s="101"/>
      <c r="CP467" s="74"/>
      <c r="CQ467" s="74"/>
      <c r="CR467" s="74"/>
      <c r="CS467" s="74"/>
      <c r="CT467" s="74"/>
      <c r="CU467" s="74"/>
      <c r="CV467" s="74"/>
      <c r="CW467" s="74"/>
      <c r="CX467" s="7"/>
      <c r="CY467" s="7"/>
      <c r="CZ467" s="74"/>
      <c r="DA467" s="74"/>
      <c r="DB467" s="74"/>
      <c r="DC467" s="74"/>
      <c r="DD467" s="74"/>
      <c r="DE467" s="74"/>
      <c r="DF467" s="74"/>
      <c r="DG467" s="74"/>
      <c r="DH467" s="74"/>
      <c r="DI467" s="74"/>
      <c r="DJ467" s="7"/>
      <c r="DK467" s="74"/>
      <c r="DL467" s="7"/>
      <c r="DM467" s="74"/>
      <c r="DN467" s="74"/>
      <c r="DO467" s="74"/>
      <c r="DP467" s="74"/>
      <c r="DQ467" s="74"/>
      <c r="DR467" s="74"/>
      <c r="DS467" s="74"/>
      <c r="DT467" s="74"/>
      <c r="DU467" s="74"/>
      <c r="DV467" s="74"/>
      <c r="DW467" s="74"/>
      <c r="DX467" s="74"/>
      <c r="DY467" s="74"/>
      <c r="DZ467" s="8">
        <f t="shared" ref="DZ467" si="116">IF(EB467&gt;0,AVERAGE(I467:DY467),H467)</f>
        <v>0</v>
      </c>
      <c r="EA467" s="3">
        <f t="shared" ref="EA467" si="117">B467</f>
        <v>0</v>
      </c>
      <c r="EB467" s="2">
        <f t="shared" ref="EB467" si="118">IF(G467&gt;0,1,0)</f>
        <v>0</v>
      </c>
      <c r="EC467" s="112">
        <f t="shared" ref="EC467" si="119">H467</f>
        <v>0</v>
      </c>
      <c r="ED467" s="29">
        <f t="shared" ref="ED467" si="120">EL467</f>
        <v>0</v>
      </c>
      <c r="EE467" s="2">
        <f t="shared" ref="EE467" si="121">COUNT(I467:AH467)</f>
        <v>0</v>
      </c>
      <c r="EF467" s="46">
        <f t="shared" ref="EF467" si="122">COUNT(I467:BQ467)</f>
        <v>0</v>
      </c>
      <c r="EG467" s="46">
        <f t="shared" ref="EG467" si="123">COUNT(I467:DY467)</f>
        <v>0</v>
      </c>
      <c r="EH467" s="29">
        <f t="shared" ref="EH467" si="124">D467</f>
        <v>0</v>
      </c>
      <c r="EI467" s="29">
        <f>IF(COUNT(I467:AD467)&lt;5,DZ467,SUMPRODUCT(LARGE(I467:AD467,{1,2,3,4,5}))/5)</f>
        <v>0</v>
      </c>
      <c r="EJ467" s="29">
        <f>IF(COUNT(I467:BE467)&lt;5,DZ467,SUMPRODUCT(LARGE(I467:BE467,{1,2,3,4,5}))/5)</f>
        <v>0</v>
      </c>
      <c r="EK467" s="29">
        <f>IF(EG467&lt;0,AVERAGE(I467:DY467),0)</f>
        <v>0</v>
      </c>
      <c r="EL467" s="29">
        <f>(EK467*100)/101.28</f>
        <v>0</v>
      </c>
      <c r="EM467" s="116">
        <f t="shared" ref="EM467" si="125">B467</f>
        <v>0</v>
      </c>
      <c r="EQ467"/>
    </row>
    <row r="468" spans="1:147" x14ac:dyDescent="0.25">
      <c r="A468" s="59">
        <f t="shared" si="114"/>
        <v>465</v>
      </c>
      <c r="B468" s="4"/>
      <c r="C468" s="5"/>
      <c r="D468" s="6"/>
      <c r="E468" s="6"/>
      <c r="F468" s="6"/>
      <c r="G468" s="5"/>
      <c r="H468" s="99"/>
      <c r="I468" s="107"/>
      <c r="J468" s="7"/>
      <c r="K468" s="74"/>
      <c r="L468" s="7"/>
      <c r="M468" s="74"/>
      <c r="N468" s="74"/>
      <c r="O468" s="7"/>
      <c r="P468" s="74"/>
      <c r="Q468" s="7"/>
      <c r="R468" s="74"/>
      <c r="S468" s="74"/>
      <c r="T468" s="7"/>
      <c r="U468" s="7"/>
      <c r="V468" s="74"/>
      <c r="W468" s="7"/>
      <c r="X468" s="7"/>
      <c r="Y468" s="229"/>
      <c r="Z468" s="230"/>
      <c r="AA468" s="74"/>
      <c r="AB468" s="74"/>
      <c r="AC468" s="74"/>
      <c r="AD468" s="74"/>
      <c r="AE468" s="7"/>
      <c r="AF468" s="74"/>
      <c r="AG468" s="74"/>
      <c r="AH468" s="7"/>
      <c r="AI468" s="7"/>
      <c r="AJ468" s="7"/>
      <c r="AK468" s="7"/>
      <c r="AL468" s="7"/>
      <c r="AM468" s="7"/>
      <c r="AN468" s="7"/>
      <c r="AO468" s="74"/>
      <c r="AP468" s="7"/>
      <c r="AQ468" s="74"/>
      <c r="AR468" s="101"/>
      <c r="AS468" s="7"/>
      <c r="AT468" s="101"/>
      <c r="AU468" s="7"/>
      <c r="AV468" s="101"/>
      <c r="AW468" s="7"/>
      <c r="AX468" s="8"/>
      <c r="AY468" s="36"/>
      <c r="AZ468" s="74"/>
      <c r="BA468" s="74"/>
      <c r="BB468" s="74"/>
      <c r="BC468" s="74"/>
      <c r="BD468" s="7"/>
      <c r="BE468" s="7"/>
      <c r="BF468" s="74"/>
      <c r="BG468" s="74"/>
      <c r="BH468" s="74"/>
      <c r="BI468" s="74"/>
      <c r="BJ468" s="74"/>
      <c r="BK468" s="7"/>
      <c r="BL468" s="74"/>
      <c r="BM468" s="7"/>
      <c r="BN468" s="74"/>
      <c r="BO468" s="74"/>
      <c r="BP468" s="7"/>
      <c r="BQ468" s="7"/>
      <c r="BR468" s="74"/>
      <c r="BS468" s="7"/>
      <c r="BT468" s="7"/>
      <c r="BU468" s="74"/>
      <c r="BV468" s="74"/>
      <c r="BW468" s="74"/>
      <c r="BX468" s="74"/>
      <c r="BY468" s="74"/>
      <c r="BZ468" s="74"/>
      <c r="CA468" s="7"/>
      <c r="CB468" s="74"/>
      <c r="CC468" s="74"/>
      <c r="CD468" s="74"/>
      <c r="CE468" s="7"/>
      <c r="CF468" s="74"/>
      <c r="CG468" s="74"/>
      <c r="CH468" s="7"/>
      <c r="CI468" s="74"/>
      <c r="CJ468" s="74"/>
      <c r="CK468" s="101"/>
      <c r="CL468" s="74"/>
      <c r="CM468" s="74"/>
      <c r="CN468" s="74"/>
      <c r="CO468" s="101"/>
      <c r="CP468" s="74"/>
      <c r="CQ468" s="74"/>
      <c r="CR468" s="74"/>
      <c r="CS468" s="74"/>
      <c r="CT468" s="74"/>
      <c r="CU468" s="74"/>
      <c r="CV468" s="74"/>
      <c r="CW468" s="74"/>
      <c r="CX468" s="7"/>
      <c r="CY468" s="7"/>
      <c r="CZ468" s="74"/>
      <c r="DA468" s="74"/>
      <c r="DB468" s="74"/>
      <c r="DC468" s="74"/>
      <c r="DD468" s="74"/>
      <c r="DE468" s="74"/>
      <c r="DF468" s="74"/>
      <c r="DG468" s="74"/>
      <c r="DH468" s="74"/>
      <c r="DI468" s="74"/>
      <c r="DJ468" s="7"/>
      <c r="DK468" s="74"/>
      <c r="DL468" s="7"/>
      <c r="DM468" s="74"/>
      <c r="DN468" s="74"/>
      <c r="DO468" s="74"/>
      <c r="DP468" s="74"/>
      <c r="DQ468" s="74"/>
      <c r="DR468" s="74"/>
      <c r="DS468" s="74"/>
      <c r="DT468" s="74"/>
      <c r="DU468" s="74"/>
      <c r="DV468" s="74"/>
      <c r="DW468" s="74"/>
      <c r="DX468" s="74"/>
      <c r="DY468" s="74"/>
      <c r="DZ468" s="8">
        <f t="shared" ref="DZ468" si="126">IF(EB468&gt;0,AVERAGE(I468:DY468),H468)</f>
        <v>0</v>
      </c>
      <c r="EA468" s="3">
        <f t="shared" ref="EA468" si="127">B468</f>
        <v>0</v>
      </c>
      <c r="EB468" s="2">
        <f t="shared" ref="EB468" si="128">IF(G468&gt;0,1,0)</f>
        <v>0</v>
      </c>
      <c r="EC468" s="112">
        <f t="shared" ref="EC468" si="129">H468</f>
        <v>0</v>
      </c>
      <c r="ED468" s="29">
        <f t="shared" ref="ED468" si="130">EL468</f>
        <v>0</v>
      </c>
      <c r="EE468" s="2">
        <f t="shared" ref="EE468" si="131">COUNT(I468:AH468)</f>
        <v>0</v>
      </c>
      <c r="EF468" s="46">
        <f t="shared" ref="EF468" si="132">COUNT(I468:BQ468)</f>
        <v>0</v>
      </c>
      <c r="EG468" s="46">
        <f t="shared" ref="EG468" si="133">COUNT(I468:DY468)</f>
        <v>0</v>
      </c>
      <c r="EH468" s="29">
        <f t="shared" ref="EH468" si="134">D468</f>
        <v>0</v>
      </c>
      <c r="EI468" s="29">
        <f>IF(COUNT(I468:AD468)&lt;5,DZ468,SUMPRODUCT(LARGE(I468:AD468,{1,2,3,4,5}))/5)</f>
        <v>0</v>
      </c>
      <c r="EJ468" s="29">
        <f>IF(COUNT(I468:BE468)&lt;5,DZ468,SUMPRODUCT(LARGE(I468:BE468,{1,2,3,4,5}))/5)</f>
        <v>0</v>
      </c>
      <c r="EK468" s="29">
        <f>IF(EG468&lt;0,AVERAGE(I468:DY468),0)</f>
        <v>0</v>
      </c>
      <c r="EL468" s="29">
        <f>(EK468*100)/101.28</f>
        <v>0</v>
      </c>
      <c r="EM468" s="116">
        <f t="shared" ref="EM468" si="135">B468</f>
        <v>0</v>
      </c>
      <c r="EQ468"/>
    </row>
    <row r="469" spans="1:147" x14ac:dyDescent="0.25">
      <c r="A469" s="59">
        <f t="shared" si="114"/>
        <v>466</v>
      </c>
      <c r="B469" s="32"/>
      <c r="C469" s="5"/>
      <c r="D469" s="6"/>
      <c r="E469" s="6"/>
      <c r="F469" s="6"/>
      <c r="G469" s="5"/>
      <c r="H469" s="37"/>
      <c r="I469" s="36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227"/>
      <c r="Z469" s="228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4"/>
      <c r="AP469" s="7"/>
      <c r="AQ469" s="74"/>
      <c r="AR469" s="70"/>
      <c r="AS469" s="7"/>
      <c r="AT469" s="70"/>
      <c r="AU469" s="7"/>
      <c r="AV469" s="70"/>
      <c r="AW469" s="7"/>
      <c r="AX469" s="8"/>
      <c r="AY469" s="36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4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4"/>
      <c r="CF469" s="74"/>
      <c r="CG469" s="7"/>
      <c r="CH469" s="7"/>
      <c r="CI469" s="7"/>
      <c r="CJ469" s="7"/>
      <c r="CK469" s="101"/>
      <c r="CL469" s="74"/>
      <c r="CM469" s="74"/>
      <c r="CN469" s="74"/>
      <c r="CO469" s="70"/>
      <c r="CP469" s="74"/>
      <c r="CQ469" s="7"/>
      <c r="CR469" s="74"/>
      <c r="CS469" s="74"/>
      <c r="CT469" s="74"/>
      <c r="CU469" s="74"/>
      <c r="CV469" s="7"/>
      <c r="CW469" s="7"/>
      <c r="CX469" s="7"/>
      <c r="CY469" s="7"/>
      <c r="CZ469" s="7"/>
      <c r="DA469" s="7"/>
      <c r="DB469" s="7"/>
      <c r="DC469" s="7"/>
      <c r="DD469" s="7"/>
      <c r="DE469" s="74"/>
      <c r="DF469" s="74"/>
      <c r="DG469" s="74"/>
      <c r="DH469" s="7"/>
      <c r="DI469" s="7"/>
      <c r="DJ469" s="7"/>
      <c r="DK469" s="7"/>
      <c r="DL469" s="7"/>
      <c r="DM469" s="7"/>
      <c r="DN469" s="7"/>
      <c r="DO469" s="7"/>
      <c r="DP469" s="7"/>
      <c r="DQ469" s="74"/>
      <c r="DR469" s="74"/>
      <c r="DS469" s="7"/>
      <c r="DT469" s="7"/>
      <c r="DU469" s="7"/>
      <c r="DV469" s="7"/>
      <c r="DW469" s="7"/>
      <c r="DX469" s="7"/>
      <c r="DY469" s="7"/>
      <c r="DZ469" s="8"/>
      <c r="EA469" s="3"/>
      <c r="EB469" s="2"/>
      <c r="EC469" s="112"/>
      <c r="ED469" s="29"/>
      <c r="EE469" s="2"/>
      <c r="EF469" s="46"/>
      <c r="EG469" s="46"/>
      <c r="EH469" s="2"/>
      <c r="EI469" s="29"/>
      <c r="EJ469" s="29"/>
      <c r="EK469" s="112"/>
      <c r="EL469" s="29"/>
      <c r="EM469" s="116"/>
      <c r="EQ469"/>
    </row>
    <row r="470" spans="1:147" x14ac:dyDescent="0.25">
      <c r="A470" s="59">
        <f t="shared" si="114"/>
        <v>467</v>
      </c>
      <c r="B470" s="4"/>
      <c r="C470" s="5"/>
      <c r="D470" s="6"/>
      <c r="E470" s="6"/>
      <c r="F470" s="6"/>
      <c r="G470" s="5"/>
      <c r="H470" s="99"/>
      <c r="I470" s="107"/>
      <c r="J470" s="7"/>
      <c r="K470" s="74"/>
      <c r="L470" s="7"/>
      <c r="M470" s="74"/>
      <c r="N470" s="74"/>
      <c r="O470" s="7"/>
      <c r="P470" s="74"/>
      <c r="Q470" s="7"/>
      <c r="R470" s="74"/>
      <c r="S470" s="74"/>
      <c r="T470" s="7"/>
      <c r="U470" s="7"/>
      <c r="V470" s="74"/>
      <c r="W470" s="7"/>
      <c r="X470" s="7"/>
      <c r="Y470" s="229"/>
      <c r="Z470" s="230"/>
      <c r="AA470" s="74"/>
      <c r="AB470" s="74"/>
      <c r="AC470" s="74"/>
      <c r="AD470" s="74"/>
      <c r="AE470" s="7"/>
      <c r="AF470" s="74"/>
      <c r="AG470" s="74"/>
      <c r="AH470" s="7"/>
      <c r="AI470" s="7"/>
      <c r="AJ470" s="7"/>
      <c r="AK470" s="7"/>
      <c r="AL470" s="7"/>
      <c r="AM470" s="7"/>
      <c r="AN470" s="7"/>
      <c r="AO470" s="74"/>
      <c r="AP470" s="7"/>
      <c r="AQ470" s="74"/>
      <c r="AR470" s="101"/>
      <c r="AS470" s="7"/>
      <c r="AT470" s="101"/>
      <c r="AU470" s="7"/>
      <c r="AV470" s="101"/>
      <c r="AW470" s="7"/>
      <c r="AX470" s="8"/>
      <c r="AY470" s="36"/>
      <c r="AZ470" s="74"/>
      <c r="BA470" s="74"/>
      <c r="BB470" s="74"/>
      <c r="BC470" s="74"/>
      <c r="BD470" s="7"/>
      <c r="BE470" s="7"/>
      <c r="BF470" s="74"/>
      <c r="BG470" s="74"/>
      <c r="BH470" s="74"/>
      <c r="BI470" s="74"/>
      <c r="BJ470" s="74"/>
      <c r="BK470" s="7"/>
      <c r="BL470" s="74"/>
      <c r="BM470" s="7"/>
      <c r="BN470" s="74"/>
      <c r="BO470" s="74"/>
      <c r="BP470" s="7"/>
      <c r="BQ470" s="7"/>
      <c r="BR470" s="74"/>
      <c r="BS470" s="7"/>
      <c r="BT470" s="7"/>
      <c r="BU470" s="74"/>
      <c r="BV470" s="74"/>
      <c r="BW470" s="74"/>
      <c r="BX470" s="74"/>
      <c r="BY470" s="74"/>
      <c r="BZ470" s="74"/>
      <c r="CA470" s="7"/>
      <c r="CB470" s="74"/>
      <c r="CC470" s="74"/>
      <c r="CD470" s="74"/>
      <c r="CE470" s="7"/>
      <c r="CF470" s="74"/>
      <c r="CG470" s="74"/>
      <c r="CH470" s="7"/>
      <c r="CI470" s="74"/>
      <c r="CJ470" s="74"/>
      <c r="CK470" s="101"/>
      <c r="CL470" s="74"/>
      <c r="CM470" s="74"/>
      <c r="CN470" s="74"/>
      <c r="CO470" s="101"/>
      <c r="CP470" s="74"/>
      <c r="CQ470" s="74"/>
      <c r="CR470" s="74"/>
      <c r="CS470" s="74"/>
      <c r="CT470" s="74"/>
      <c r="CU470" s="74"/>
      <c r="CV470" s="74"/>
      <c r="CW470" s="74"/>
      <c r="CX470" s="7"/>
      <c r="CY470" s="7"/>
      <c r="CZ470" s="74"/>
      <c r="DA470" s="74"/>
      <c r="DB470" s="74"/>
      <c r="DC470" s="74"/>
      <c r="DD470" s="74"/>
      <c r="DE470" s="74"/>
      <c r="DF470" s="74"/>
      <c r="DG470" s="74"/>
      <c r="DH470" s="74"/>
      <c r="DI470" s="74"/>
      <c r="DJ470" s="7"/>
      <c r="DK470" s="74"/>
      <c r="DL470" s="7"/>
      <c r="DM470" s="74"/>
      <c r="DN470" s="74"/>
      <c r="DO470" s="74"/>
      <c r="DP470" s="74"/>
      <c r="DQ470" s="74"/>
      <c r="DR470" s="74"/>
      <c r="DS470" s="74"/>
      <c r="DT470" s="74"/>
      <c r="DU470" s="74"/>
      <c r="DV470" s="74"/>
      <c r="DW470" s="74"/>
      <c r="DX470" s="74"/>
      <c r="DY470" s="74"/>
      <c r="DZ470" s="8">
        <f>IF(EB470&gt;0,AVERAGE(I470:DY470),H470)</f>
        <v>0</v>
      </c>
      <c r="EA470" s="3">
        <f>B470</f>
        <v>0</v>
      </c>
      <c r="EB470" s="2">
        <f>IF(G470&gt;0,1,0)</f>
        <v>0</v>
      </c>
      <c r="EC470" s="112">
        <f>H470</f>
        <v>0</v>
      </c>
      <c r="ED470" s="29">
        <f>EL470</f>
        <v>0</v>
      </c>
      <c r="EE470" s="2">
        <f>COUNT(I470:AH470)</f>
        <v>0</v>
      </c>
      <c r="EF470" s="46">
        <f>COUNT(I470:BQ470)</f>
        <v>0</v>
      </c>
      <c r="EG470" s="46">
        <f>COUNT(I470:DY470)</f>
        <v>0</v>
      </c>
      <c r="EH470" s="29">
        <f>D470</f>
        <v>0</v>
      </c>
      <c r="EI470" s="29">
        <f>IF(COUNT(I470:AD470)&lt;5,DZ470,SUMPRODUCT(LARGE(I470:AD470,{1,2,3,4,5}))/5)</f>
        <v>0</v>
      </c>
      <c r="EJ470" s="29">
        <f>IF(COUNT(I470:BE470)&lt;5,DZ470,SUMPRODUCT(LARGE(I470:BE470,{1,2,3,4,5}))/5)</f>
        <v>0</v>
      </c>
      <c r="EK470" s="29">
        <f>IF(EG470&lt;0,AVERAGE(I470:DY470),0)</f>
        <v>0</v>
      </c>
      <c r="EL470" s="29">
        <f t="shared" ref="EL470:EL475" si="136">(EK470*100)/101.28</f>
        <v>0</v>
      </c>
      <c r="EM470" s="116">
        <f>B470</f>
        <v>0</v>
      </c>
      <c r="EQ470"/>
    </row>
    <row r="471" spans="1:147" x14ac:dyDescent="0.25">
      <c r="A471" s="59"/>
      <c r="B471" s="4"/>
      <c r="C471" s="5"/>
      <c r="D471" s="6"/>
      <c r="E471" s="6"/>
      <c r="F471" s="6"/>
      <c r="G471" s="5"/>
      <c r="H471" s="99"/>
      <c r="I471" s="107"/>
      <c r="J471" s="7"/>
      <c r="K471" s="74"/>
      <c r="L471" s="7"/>
      <c r="M471" s="74"/>
      <c r="N471" s="74"/>
      <c r="O471" s="7"/>
      <c r="P471" s="74"/>
      <c r="Q471" s="7"/>
      <c r="R471" s="74"/>
      <c r="S471" s="74"/>
      <c r="T471" s="7"/>
      <c r="U471" s="7"/>
      <c r="V471" s="74"/>
      <c r="W471" s="7"/>
      <c r="X471" s="7"/>
      <c r="Y471" s="229"/>
      <c r="Z471" s="230"/>
      <c r="AA471" s="74"/>
      <c r="AB471" s="74"/>
      <c r="AC471" s="74"/>
      <c r="AD471" s="74"/>
      <c r="AE471" s="7"/>
      <c r="AF471" s="74"/>
      <c r="AG471" s="74"/>
      <c r="AH471" s="7"/>
      <c r="AI471" s="7"/>
      <c r="AJ471" s="7"/>
      <c r="AK471" s="7"/>
      <c r="AL471" s="7"/>
      <c r="AM471" s="7"/>
      <c r="AN471" s="7"/>
      <c r="AO471" s="74"/>
      <c r="AP471" s="7"/>
      <c r="AQ471" s="74"/>
      <c r="AR471" s="101"/>
      <c r="AS471" s="7"/>
      <c r="AT471" s="101"/>
      <c r="AU471" s="7"/>
      <c r="AV471" s="101"/>
      <c r="AW471" s="7"/>
      <c r="AX471" s="8"/>
      <c r="AY471" s="36"/>
      <c r="AZ471" s="74"/>
      <c r="BA471" s="74"/>
      <c r="BB471" s="74"/>
      <c r="BC471" s="74"/>
      <c r="BD471" s="7"/>
      <c r="BE471" s="7"/>
      <c r="BF471" s="74"/>
      <c r="BG471" s="74"/>
      <c r="BH471" s="74"/>
      <c r="BI471" s="74"/>
      <c r="BJ471" s="74"/>
      <c r="BK471" s="7"/>
      <c r="BL471" s="74"/>
      <c r="BM471" s="7"/>
      <c r="BN471" s="74"/>
      <c r="BO471" s="74"/>
      <c r="BP471" s="7"/>
      <c r="BQ471" s="7"/>
      <c r="BR471" s="74"/>
      <c r="BS471" s="7"/>
      <c r="BT471" s="7"/>
      <c r="BU471" s="74"/>
      <c r="BV471" s="74"/>
      <c r="BW471" s="74"/>
      <c r="BX471" s="74"/>
      <c r="BY471" s="74"/>
      <c r="BZ471" s="74"/>
      <c r="CA471" s="7"/>
      <c r="CB471" s="74"/>
      <c r="CC471" s="74"/>
      <c r="CD471" s="74"/>
      <c r="CE471" s="7"/>
      <c r="CF471" s="74"/>
      <c r="CG471" s="74"/>
      <c r="CH471" s="7"/>
      <c r="CI471" s="74"/>
      <c r="CJ471" s="74"/>
      <c r="CK471" s="101"/>
      <c r="CL471" s="74"/>
      <c r="CM471" s="74"/>
      <c r="CN471" s="74"/>
      <c r="CO471" s="101"/>
      <c r="CP471" s="74"/>
      <c r="CQ471" s="74"/>
      <c r="CR471" s="74"/>
      <c r="CS471" s="74"/>
      <c r="CT471" s="74"/>
      <c r="CU471" s="74"/>
      <c r="CV471" s="74"/>
      <c r="CW471" s="74"/>
      <c r="CX471" s="7"/>
      <c r="CY471" s="7"/>
      <c r="CZ471" s="74"/>
      <c r="DA471" s="74"/>
      <c r="DB471" s="74"/>
      <c r="DC471" s="74"/>
      <c r="DD471" s="74"/>
      <c r="DE471" s="74"/>
      <c r="DF471" s="74"/>
      <c r="DG471" s="74"/>
      <c r="DH471" s="74"/>
      <c r="DI471" s="74"/>
      <c r="DJ471" s="7"/>
      <c r="DK471" s="74"/>
      <c r="DL471" s="7"/>
      <c r="DM471" s="74"/>
      <c r="DN471" s="74"/>
      <c r="DO471" s="74"/>
      <c r="DP471" s="74"/>
      <c r="DQ471" s="74"/>
      <c r="DR471" s="74"/>
      <c r="DS471" s="74"/>
      <c r="DT471" s="74"/>
      <c r="DU471" s="74"/>
      <c r="DV471" s="74"/>
      <c r="DW471" s="74"/>
      <c r="DX471" s="74"/>
      <c r="DY471" s="74"/>
      <c r="DZ471" s="8">
        <f t="shared" ref="DZ471:DZ516" si="137">IF(EB471&gt;0,AVERAGE(I471:DY471),H471)</f>
        <v>0</v>
      </c>
      <c r="EA471" s="3">
        <f t="shared" ref="EA471:EA516" si="138">B471</f>
        <v>0</v>
      </c>
      <c r="EB471" s="2">
        <f t="shared" ref="EB471:EB516" si="139">IF(G471&gt;0,1,0)</f>
        <v>0</v>
      </c>
      <c r="EC471" s="112">
        <f t="shared" ref="EC471:EC525" si="140">H471</f>
        <v>0</v>
      </c>
      <c r="ED471" s="29">
        <f t="shared" ref="ED471:ED516" si="141">EL471</f>
        <v>0</v>
      </c>
      <c r="EE471" s="2">
        <f t="shared" ref="EE471:EE516" si="142">COUNT(I471:AH471)</f>
        <v>0</v>
      </c>
      <c r="EF471" s="46">
        <f t="shared" ref="EF471:EF516" si="143">COUNT(I471:BQ471)</f>
        <v>0</v>
      </c>
      <c r="EG471" s="46">
        <f t="shared" ref="EG471:EG516" si="144">COUNT(I471:DY471)</f>
        <v>0</v>
      </c>
      <c r="EH471" s="29">
        <f t="shared" ref="EH471:EH516" si="145">D471</f>
        <v>0</v>
      </c>
      <c r="EI471" s="29">
        <f>IF(COUNT(I471:AD471)&lt;5,DZ471,SUMPRODUCT(LARGE(I471:AD471,{1,2,3,4,5}))/5)</f>
        <v>0</v>
      </c>
      <c r="EJ471" s="29">
        <f>IF(COUNT(I471:BE471)&lt;5,DZ471,SUMPRODUCT(LARGE(I471:BE471,{1,2,3,4,5}))/5)</f>
        <v>0</v>
      </c>
      <c r="EK471" s="29">
        <f t="shared" ref="EK471:EK517" si="146">IF(EG471&lt;0,AVERAGE(I471:DY471),0)</f>
        <v>0</v>
      </c>
      <c r="EL471" s="29">
        <f t="shared" si="136"/>
        <v>0</v>
      </c>
      <c r="EM471" s="116">
        <f t="shared" ref="EM471:EM516" si="147">B471</f>
        <v>0</v>
      </c>
      <c r="EQ471"/>
    </row>
    <row r="472" spans="1:147" x14ac:dyDescent="0.25">
      <c r="A472" s="59"/>
      <c r="B472" s="32"/>
      <c r="C472" s="5"/>
      <c r="D472" s="6"/>
      <c r="E472" s="6"/>
      <c r="F472" s="6"/>
      <c r="G472" s="5"/>
      <c r="H472" s="37"/>
      <c r="I472" s="107"/>
      <c r="J472" s="7"/>
      <c r="K472" s="74"/>
      <c r="L472" s="7"/>
      <c r="M472" s="74"/>
      <c r="N472" s="74"/>
      <c r="O472" s="7"/>
      <c r="P472" s="74"/>
      <c r="Q472" s="7"/>
      <c r="R472" s="74"/>
      <c r="S472" s="74"/>
      <c r="T472" s="7"/>
      <c r="U472" s="7"/>
      <c r="V472" s="74"/>
      <c r="W472" s="7"/>
      <c r="X472" s="74"/>
      <c r="Y472" s="227"/>
      <c r="Z472" s="228"/>
      <c r="AA472" s="74"/>
      <c r="AB472" s="74"/>
      <c r="AC472" s="74"/>
      <c r="AD472" s="74"/>
      <c r="AE472" s="7"/>
      <c r="AF472" s="74"/>
      <c r="AG472" s="74"/>
      <c r="AH472" s="7"/>
      <c r="AI472" s="7"/>
      <c r="AJ472" s="7"/>
      <c r="AK472" s="7"/>
      <c r="AL472" s="7"/>
      <c r="AM472" s="7"/>
      <c r="AN472" s="7"/>
      <c r="AO472" s="74"/>
      <c r="AP472" s="7"/>
      <c r="AQ472" s="74"/>
      <c r="AR472" s="101"/>
      <c r="AS472" s="7"/>
      <c r="AT472" s="101"/>
      <c r="AU472" s="7"/>
      <c r="AV472" s="101"/>
      <c r="AW472" s="7"/>
      <c r="AX472" s="8"/>
      <c r="AY472" s="36"/>
      <c r="AZ472" s="74"/>
      <c r="BA472" s="74"/>
      <c r="BB472" s="74"/>
      <c r="BC472" s="74"/>
      <c r="BD472" s="7"/>
      <c r="BE472" s="7"/>
      <c r="BF472" s="74"/>
      <c r="BG472" s="74"/>
      <c r="BH472" s="74"/>
      <c r="BI472" s="74"/>
      <c r="BJ472" s="74"/>
      <c r="BK472" s="7"/>
      <c r="BL472" s="74"/>
      <c r="BM472" s="7"/>
      <c r="BN472" s="74"/>
      <c r="BO472" s="74"/>
      <c r="BP472" s="7"/>
      <c r="BQ472" s="7"/>
      <c r="BR472" s="74"/>
      <c r="BS472" s="7"/>
      <c r="BT472" s="7"/>
      <c r="BU472" s="74"/>
      <c r="BV472" s="74"/>
      <c r="BW472" s="74"/>
      <c r="BX472" s="74"/>
      <c r="BY472" s="74"/>
      <c r="BZ472" s="74"/>
      <c r="CA472" s="7"/>
      <c r="CB472" s="74"/>
      <c r="CC472" s="74"/>
      <c r="CD472" s="74"/>
      <c r="CE472" s="7"/>
      <c r="CF472" s="74"/>
      <c r="CG472" s="74"/>
      <c r="CH472" s="7"/>
      <c r="CI472" s="74"/>
      <c r="CJ472" s="74"/>
      <c r="CK472" s="101"/>
      <c r="CL472" s="74"/>
      <c r="CM472" s="74"/>
      <c r="CN472" s="74"/>
      <c r="CO472" s="101"/>
      <c r="CP472" s="74"/>
      <c r="CQ472" s="74"/>
      <c r="CR472" s="74"/>
      <c r="CS472" s="74"/>
      <c r="CT472" s="74"/>
      <c r="CU472" s="74"/>
      <c r="CV472" s="74"/>
      <c r="CW472" s="74"/>
      <c r="CX472" s="7"/>
      <c r="CY472" s="7"/>
      <c r="CZ472" s="74"/>
      <c r="DA472" s="74"/>
      <c r="DB472" s="74"/>
      <c r="DC472" s="74"/>
      <c r="DD472" s="74"/>
      <c r="DE472" s="74"/>
      <c r="DF472" s="74"/>
      <c r="DG472" s="74"/>
      <c r="DH472" s="74"/>
      <c r="DI472" s="74"/>
      <c r="DJ472" s="74"/>
      <c r="DK472" s="74"/>
      <c r="DL472" s="74"/>
      <c r="DM472" s="74"/>
      <c r="DN472" s="74"/>
      <c r="DO472" s="74"/>
      <c r="DP472" s="74"/>
      <c r="DQ472" s="74"/>
      <c r="DR472" s="74"/>
      <c r="DS472" s="74"/>
      <c r="DT472" s="74"/>
      <c r="DU472" s="74"/>
      <c r="DV472" s="74"/>
      <c r="DW472" s="74"/>
      <c r="DX472" s="74"/>
      <c r="DY472" s="74"/>
      <c r="DZ472" s="8">
        <f t="shared" si="137"/>
        <v>0</v>
      </c>
      <c r="EA472" s="3">
        <f t="shared" si="138"/>
        <v>0</v>
      </c>
      <c r="EB472" s="2">
        <f t="shared" si="139"/>
        <v>0</v>
      </c>
      <c r="EC472" s="112">
        <f t="shared" si="140"/>
        <v>0</v>
      </c>
      <c r="ED472" s="29">
        <f t="shared" si="141"/>
        <v>0</v>
      </c>
      <c r="EE472" s="2">
        <f t="shared" si="142"/>
        <v>0</v>
      </c>
      <c r="EF472" s="46">
        <f t="shared" si="143"/>
        <v>0</v>
      </c>
      <c r="EG472" s="46">
        <f t="shared" si="144"/>
        <v>0</v>
      </c>
      <c r="EH472" s="29">
        <f t="shared" si="145"/>
        <v>0</v>
      </c>
      <c r="EI472" s="29">
        <f>IF(COUNT(I472:AD472)&lt;5,DZ472,SUMPRODUCT(LARGE(I472:AD472,{1,2,3,4,5}))/5)</f>
        <v>0</v>
      </c>
      <c r="EJ472" s="29">
        <f>IF(COUNT(I472:BE472)&lt;5,DZ472,SUMPRODUCT(LARGE(I472:BE472,{1,2,3,4,5}))/5)</f>
        <v>0</v>
      </c>
      <c r="EK472" s="29">
        <f t="shared" si="146"/>
        <v>0</v>
      </c>
      <c r="EL472" s="29">
        <f t="shared" si="136"/>
        <v>0</v>
      </c>
      <c r="EM472" s="116">
        <f t="shared" si="147"/>
        <v>0</v>
      </c>
      <c r="EQ472"/>
    </row>
    <row r="473" spans="1:147" x14ac:dyDescent="0.25">
      <c r="A473" s="59"/>
      <c r="B473" s="4"/>
      <c r="C473" s="55"/>
      <c r="D473" s="6"/>
      <c r="E473" s="6"/>
      <c r="F473" s="6"/>
      <c r="G473" s="5"/>
      <c r="H473" s="99"/>
      <c r="I473" s="59"/>
      <c r="J473" s="7"/>
      <c r="K473" s="74"/>
      <c r="L473" s="74"/>
      <c r="M473" s="74"/>
      <c r="N473" s="74"/>
      <c r="O473" s="74"/>
      <c r="P473" s="74"/>
      <c r="Q473" s="7"/>
      <c r="R473" s="74"/>
      <c r="S473" s="74"/>
      <c r="T473" s="74"/>
      <c r="U473" s="74"/>
      <c r="V473" s="74"/>
      <c r="W473" s="74"/>
      <c r="X473" s="74"/>
      <c r="Y473" s="229"/>
      <c r="Z473" s="230"/>
      <c r="AA473" s="74"/>
      <c r="AB473" s="74"/>
      <c r="AC473" s="74"/>
      <c r="AD473" s="74"/>
      <c r="AE473" s="74"/>
      <c r="AF473" s="74"/>
      <c r="AG473" s="74"/>
      <c r="AH473" s="74"/>
      <c r="AI473" s="74"/>
      <c r="AJ473" s="74"/>
      <c r="AK473" s="74"/>
      <c r="AL473" s="74"/>
      <c r="AM473" s="74"/>
      <c r="AN473" s="74"/>
      <c r="AO473" s="74"/>
      <c r="AP473" s="74"/>
      <c r="AQ473" s="74"/>
      <c r="AR473" s="101"/>
      <c r="AS473" s="7"/>
      <c r="AT473" s="101"/>
      <c r="AU473" s="7"/>
      <c r="AV473" s="101"/>
      <c r="AW473" s="7"/>
      <c r="AX473" s="183"/>
      <c r="AY473" s="107"/>
      <c r="AZ473" s="74"/>
      <c r="BA473" s="74"/>
      <c r="BB473" s="74"/>
      <c r="BC473" s="74"/>
      <c r="BD473" s="7"/>
      <c r="BE473" s="7"/>
      <c r="BF473" s="74"/>
      <c r="BG473" s="74"/>
      <c r="BH473" s="74"/>
      <c r="BI473" s="74"/>
      <c r="BJ473" s="74"/>
      <c r="BK473" s="74"/>
      <c r="BL473" s="74"/>
      <c r="BM473" s="74"/>
      <c r="BN473" s="74"/>
      <c r="BO473" s="74"/>
      <c r="BP473" s="7"/>
      <c r="BQ473" s="7"/>
      <c r="BR473" s="74"/>
      <c r="BS473" s="7"/>
      <c r="BT473" s="7"/>
      <c r="BU473" s="74"/>
      <c r="BV473" s="74"/>
      <c r="BW473" s="74"/>
      <c r="BX473" s="74"/>
      <c r="BY473" s="74"/>
      <c r="BZ473" s="74"/>
      <c r="CA473" s="7"/>
      <c r="CB473" s="74"/>
      <c r="CC473" s="74"/>
      <c r="CD473" s="74"/>
      <c r="CE473" s="74"/>
      <c r="CF473" s="74"/>
      <c r="CG473" s="74"/>
      <c r="CH473" s="74"/>
      <c r="CI473" s="74"/>
      <c r="CJ473" s="74"/>
      <c r="CK473" s="101"/>
      <c r="CL473" s="74"/>
      <c r="CM473" s="74"/>
      <c r="CN473" s="74"/>
      <c r="CO473" s="101"/>
      <c r="CP473" s="74"/>
      <c r="CQ473" s="74"/>
      <c r="CR473" s="74"/>
      <c r="CS473" s="74"/>
      <c r="CT473" s="74"/>
      <c r="CU473" s="74"/>
      <c r="CV473" s="74"/>
      <c r="CW473" s="74"/>
      <c r="CX473" s="7"/>
      <c r="CY473" s="7"/>
      <c r="CZ473" s="74"/>
      <c r="DA473" s="74"/>
      <c r="DB473" s="74"/>
      <c r="DC473" s="74"/>
      <c r="DD473" s="74"/>
      <c r="DE473" s="74"/>
      <c r="DF473" s="74"/>
      <c r="DG473" s="74"/>
      <c r="DH473" s="74"/>
      <c r="DI473" s="74"/>
      <c r="DJ473" s="74"/>
      <c r="DK473" s="74"/>
      <c r="DL473" s="74"/>
      <c r="DM473" s="74"/>
      <c r="DN473" s="74"/>
      <c r="DO473" s="74"/>
      <c r="DP473" s="74"/>
      <c r="DQ473" s="74"/>
      <c r="DR473" s="74"/>
      <c r="DS473" s="74"/>
      <c r="DT473" s="74"/>
      <c r="DU473" s="74"/>
      <c r="DV473" s="74"/>
      <c r="DW473" s="74"/>
      <c r="DX473" s="74"/>
      <c r="DY473" s="74"/>
      <c r="DZ473" s="8">
        <f t="shared" si="137"/>
        <v>0</v>
      </c>
      <c r="EA473" s="3">
        <f t="shared" si="138"/>
        <v>0</v>
      </c>
      <c r="EB473" s="2">
        <f t="shared" si="139"/>
        <v>0</v>
      </c>
      <c r="EC473" s="112">
        <f t="shared" si="140"/>
        <v>0</v>
      </c>
      <c r="ED473" s="29">
        <f t="shared" si="141"/>
        <v>0</v>
      </c>
      <c r="EE473" s="2">
        <f t="shared" si="142"/>
        <v>0</v>
      </c>
      <c r="EF473" s="46">
        <f t="shared" si="143"/>
        <v>0</v>
      </c>
      <c r="EG473" s="46">
        <f t="shared" si="144"/>
        <v>0</v>
      </c>
      <c r="EH473" s="2">
        <f t="shared" si="145"/>
        <v>0</v>
      </c>
      <c r="EI473" s="29">
        <f>IF(COUNT(I473:AD473)&lt;5,DZ473,SUMPRODUCT(LARGE(I473:AD473,{1,2,3,4,5}))/5)</f>
        <v>0</v>
      </c>
      <c r="EJ473" s="29">
        <f>IF(COUNT(I473:BE473)&lt;5,DZ473,SUMPRODUCT(LARGE(I473:BE473,{1,2,3,4,5}))/5)</f>
        <v>0</v>
      </c>
      <c r="EK473" s="29">
        <f t="shared" si="146"/>
        <v>0</v>
      </c>
      <c r="EL473" s="29">
        <f t="shared" si="136"/>
        <v>0</v>
      </c>
      <c r="EM473" s="116">
        <f t="shared" si="147"/>
        <v>0</v>
      </c>
      <c r="EQ473"/>
    </row>
    <row r="474" spans="1:147" x14ac:dyDescent="0.25">
      <c r="A474" s="59"/>
      <c r="B474" s="32"/>
      <c r="C474" s="5"/>
      <c r="D474" s="6"/>
      <c r="E474" s="6"/>
      <c r="F474" s="6"/>
      <c r="G474" s="5"/>
      <c r="H474" s="37"/>
      <c r="I474" s="36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227"/>
      <c r="Z474" s="228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4"/>
      <c r="AP474" s="7"/>
      <c r="AQ474" s="74"/>
      <c r="AR474" s="70"/>
      <c r="AS474" s="7"/>
      <c r="AT474" s="70"/>
      <c r="AU474" s="7"/>
      <c r="AV474" s="70"/>
      <c r="AW474" s="7"/>
      <c r="AX474" s="183"/>
      <c r="AY474" s="107"/>
      <c r="AZ474" s="7"/>
      <c r="BA474" s="7"/>
      <c r="BB474" s="7"/>
      <c r="BC474" s="74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101"/>
      <c r="CL474" s="74"/>
      <c r="CM474" s="74"/>
      <c r="CN474" s="74"/>
      <c r="CO474" s="70"/>
      <c r="CP474" s="74"/>
      <c r="CQ474" s="7"/>
      <c r="CR474" s="74"/>
      <c r="CS474" s="74"/>
      <c r="CT474" s="74"/>
      <c r="CU474" s="74"/>
      <c r="CV474" s="74"/>
      <c r="CW474" s="7"/>
      <c r="CX474" s="7"/>
      <c r="CY474" s="7"/>
      <c r="CZ474" s="7"/>
      <c r="DA474" s="7"/>
      <c r="DB474" s="7"/>
      <c r="DC474" s="7"/>
      <c r="DD474" s="7"/>
      <c r="DE474" s="74"/>
      <c r="DF474" s="74"/>
      <c r="DG474" s="74"/>
      <c r="DH474" s="74"/>
      <c r="DI474" s="74"/>
      <c r="DJ474" s="74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8">
        <f t="shared" si="137"/>
        <v>0</v>
      </c>
      <c r="EA474" s="3">
        <f t="shared" si="138"/>
        <v>0</v>
      </c>
      <c r="EB474" s="2">
        <f t="shared" si="139"/>
        <v>0</v>
      </c>
      <c r="EC474" s="112">
        <f t="shared" si="140"/>
        <v>0</v>
      </c>
      <c r="ED474" s="29">
        <f t="shared" si="141"/>
        <v>0</v>
      </c>
      <c r="EE474" s="2">
        <f t="shared" si="142"/>
        <v>0</v>
      </c>
      <c r="EF474" s="46">
        <f t="shared" si="143"/>
        <v>0</v>
      </c>
      <c r="EG474" s="46">
        <f t="shared" si="144"/>
        <v>0</v>
      </c>
      <c r="EH474" s="2">
        <f t="shared" si="145"/>
        <v>0</v>
      </c>
      <c r="EI474" s="29">
        <f>IF(COUNT(I474:AD474)&lt;5,DZ474,SUMPRODUCT(LARGE(I474:AD474,{1,2,3,4,5}))/5)</f>
        <v>0</v>
      </c>
      <c r="EJ474" s="29">
        <f>IF(COUNT(I474:BE474)&lt;5,DZ474,SUMPRODUCT(LARGE(I474:BE474,{1,2,3,4,5}))/5)</f>
        <v>0</v>
      </c>
      <c r="EK474" s="29">
        <f t="shared" si="146"/>
        <v>0</v>
      </c>
      <c r="EL474" s="29">
        <f t="shared" si="136"/>
        <v>0</v>
      </c>
      <c r="EM474" s="116">
        <f t="shared" si="147"/>
        <v>0</v>
      </c>
      <c r="EQ474"/>
    </row>
    <row r="475" spans="1:147" x14ac:dyDescent="0.25">
      <c r="A475" s="59"/>
      <c r="B475" s="4"/>
      <c r="C475" s="5"/>
      <c r="D475" s="5"/>
      <c r="E475" s="6"/>
      <c r="F475" s="6"/>
      <c r="G475" s="5"/>
      <c r="H475" s="99"/>
      <c r="I475" s="36"/>
      <c r="J475" s="7"/>
      <c r="K475" s="74"/>
      <c r="L475" s="74"/>
      <c r="M475" s="74"/>
      <c r="N475" s="74"/>
      <c r="O475" s="74"/>
      <c r="P475" s="74"/>
      <c r="Q475" s="7"/>
      <c r="R475" s="74"/>
      <c r="S475" s="74"/>
      <c r="T475" s="74"/>
      <c r="U475" s="74"/>
      <c r="V475" s="74"/>
      <c r="W475" s="74"/>
      <c r="X475" s="74"/>
      <c r="Y475" s="229"/>
      <c r="Z475" s="230"/>
      <c r="AA475" s="74"/>
      <c r="AB475" s="74"/>
      <c r="AC475" s="74"/>
      <c r="AD475" s="74"/>
      <c r="AE475" s="74"/>
      <c r="AF475" s="74"/>
      <c r="AG475" s="74"/>
      <c r="AH475" s="74"/>
      <c r="AI475" s="74"/>
      <c r="AJ475" s="74"/>
      <c r="AK475" s="74"/>
      <c r="AL475" s="74"/>
      <c r="AM475" s="74"/>
      <c r="AN475" s="74"/>
      <c r="AO475" s="74"/>
      <c r="AP475" s="74"/>
      <c r="AQ475" s="74"/>
      <c r="AR475" s="101"/>
      <c r="AS475" s="7"/>
      <c r="AT475" s="101"/>
      <c r="AU475" s="7"/>
      <c r="AV475" s="101"/>
      <c r="AW475" s="7"/>
      <c r="AX475" s="183"/>
      <c r="AY475" s="107"/>
      <c r="AZ475" s="74"/>
      <c r="BA475" s="74"/>
      <c r="BB475" s="74"/>
      <c r="BC475" s="74"/>
      <c r="BD475" s="7"/>
      <c r="BE475" s="7"/>
      <c r="BF475" s="74"/>
      <c r="BG475" s="74"/>
      <c r="BH475" s="74"/>
      <c r="BI475" s="74"/>
      <c r="BJ475" s="74"/>
      <c r="BK475" s="74"/>
      <c r="BL475" s="74"/>
      <c r="BM475" s="74"/>
      <c r="BN475" s="74"/>
      <c r="BO475" s="74"/>
      <c r="BP475" s="7"/>
      <c r="BQ475" s="7"/>
      <c r="BR475" s="74"/>
      <c r="BS475" s="7"/>
      <c r="BT475" s="7"/>
      <c r="BU475" s="74"/>
      <c r="BV475" s="74"/>
      <c r="BW475" s="74"/>
      <c r="BX475" s="74"/>
      <c r="BY475" s="74"/>
      <c r="BZ475" s="74"/>
      <c r="CA475" s="7"/>
      <c r="CB475" s="74"/>
      <c r="CC475" s="74"/>
      <c r="CD475" s="74"/>
      <c r="CE475" s="74"/>
      <c r="CF475" s="74"/>
      <c r="CG475" s="74"/>
      <c r="CH475" s="74"/>
      <c r="CI475" s="74"/>
      <c r="CJ475" s="74"/>
      <c r="CK475" s="101"/>
      <c r="CL475" s="74"/>
      <c r="CM475" s="74"/>
      <c r="CN475" s="74"/>
      <c r="CO475" s="101"/>
      <c r="CP475" s="74"/>
      <c r="CQ475" s="74"/>
      <c r="CR475" s="74"/>
      <c r="CS475" s="74"/>
      <c r="CT475" s="74"/>
      <c r="CU475" s="74"/>
      <c r="CV475" s="74"/>
      <c r="CW475" s="74"/>
      <c r="CX475" s="7"/>
      <c r="CY475" s="7"/>
      <c r="CZ475" s="74"/>
      <c r="DA475" s="74"/>
      <c r="DB475" s="74"/>
      <c r="DC475" s="74"/>
      <c r="DD475" s="74"/>
      <c r="DE475" s="74"/>
      <c r="DF475" s="74"/>
      <c r="DG475" s="74"/>
      <c r="DH475" s="74"/>
      <c r="DI475" s="74"/>
      <c r="DJ475" s="74"/>
      <c r="DK475" s="74"/>
      <c r="DL475" s="74"/>
      <c r="DM475" s="74"/>
      <c r="DN475" s="74"/>
      <c r="DO475" s="74"/>
      <c r="DP475" s="74"/>
      <c r="DQ475" s="74"/>
      <c r="DR475" s="74"/>
      <c r="DS475" s="74"/>
      <c r="DT475" s="74"/>
      <c r="DU475" s="74"/>
      <c r="DV475" s="74"/>
      <c r="DW475" s="74"/>
      <c r="DX475" s="74"/>
      <c r="DY475" s="74"/>
      <c r="DZ475" s="8">
        <f t="shared" si="137"/>
        <v>0</v>
      </c>
      <c r="EA475" s="3">
        <f t="shared" si="138"/>
        <v>0</v>
      </c>
      <c r="EB475" s="2">
        <f t="shared" si="139"/>
        <v>0</v>
      </c>
      <c r="EC475" s="112">
        <f t="shared" si="140"/>
        <v>0</v>
      </c>
      <c r="ED475" s="29">
        <f t="shared" si="141"/>
        <v>0</v>
      </c>
      <c r="EE475" s="2">
        <f t="shared" si="142"/>
        <v>0</v>
      </c>
      <c r="EF475" s="46">
        <f t="shared" si="143"/>
        <v>0</v>
      </c>
      <c r="EG475" s="46">
        <f t="shared" si="144"/>
        <v>0</v>
      </c>
      <c r="EH475" s="2">
        <f t="shared" si="145"/>
        <v>0</v>
      </c>
      <c r="EI475" s="29">
        <f>IF(COUNT(I475:AD475)&lt;5,DZ475,SUMPRODUCT(LARGE(I475:AD475,{1,2,3,4,5}))/5)</f>
        <v>0</v>
      </c>
      <c r="EJ475" s="29">
        <f>IF(COUNT(I475:BE475)&lt;5,DZ475,SUMPRODUCT(LARGE(I475:BE475,{1,2,3,4,5}))/5)</f>
        <v>0</v>
      </c>
      <c r="EK475" s="29">
        <f t="shared" si="146"/>
        <v>0</v>
      </c>
      <c r="EL475" s="29">
        <f t="shared" si="136"/>
        <v>0</v>
      </c>
      <c r="EM475" s="116">
        <f t="shared" si="147"/>
        <v>0</v>
      </c>
      <c r="EQ475"/>
    </row>
    <row r="476" spans="1:147" x14ac:dyDescent="0.25">
      <c r="A476" s="59"/>
      <c r="B476" s="32"/>
      <c r="C476" s="5"/>
      <c r="D476" s="6"/>
      <c r="E476" s="6"/>
      <c r="F476" s="6"/>
      <c r="G476" s="5"/>
      <c r="H476" s="37"/>
      <c r="I476" s="36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227"/>
      <c r="Z476" s="228"/>
      <c r="AA476" s="7"/>
      <c r="AB476" s="7"/>
      <c r="AC476" s="7"/>
      <c r="AD476" s="74"/>
      <c r="AE476" s="74"/>
      <c r="AF476" s="7"/>
      <c r="AG476" s="7"/>
      <c r="AH476" s="7"/>
      <c r="AI476" s="74"/>
      <c r="AJ476" s="7"/>
      <c r="AK476" s="74"/>
      <c r="AL476" s="7"/>
      <c r="AM476" s="7"/>
      <c r="AN476" s="7"/>
      <c r="AO476" s="7"/>
      <c r="AP476" s="7"/>
      <c r="AQ476" s="74"/>
      <c r="AR476" s="70"/>
      <c r="AS476" s="7"/>
      <c r="AT476" s="70"/>
      <c r="AU476" s="7"/>
      <c r="AV476" s="70"/>
      <c r="AW476" s="7"/>
      <c r="AX476" s="183"/>
      <c r="AY476" s="10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4"/>
      <c r="CI476" s="74"/>
      <c r="CJ476" s="74"/>
      <c r="CK476" s="101"/>
      <c r="CL476" s="74"/>
      <c r="CM476" s="74"/>
      <c r="CN476" s="74"/>
      <c r="CO476" s="101"/>
      <c r="CP476" s="74"/>
      <c r="CQ476" s="7"/>
      <c r="CR476" s="74"/>
      <c r="CS476" s="74"/>
      <c r="CT476" s="74"/>
      <c r="CU476" s="74"/>
      <c r="CV476" s="74"/>
      <c r="CW476" s="7"/>
      <c r="CX476" s="7"/>
      <c r="CY476" s="7"/>
      <c r="CZ476" s="7"/>
      <c r="DA476" s="7"/>
      <c r="DB476" s="7"/>
      <c r="DC476" s="7"/>
      <c r="DD476" s="7"/>
      <c r="DE476" s="74"/>
      <c r="DF476" s="74"/>
      <c r="DG476" s="74"/>
      <c r="DH476" s="74"/>
      <c r="DI476" s="74"/>
      <c r="DJ476" s="74"/>
      <c r="DK476" s="7"/>
      <c r="DL476" s="7"/>
      <c r="DM476" s="7"/>
      <c r="DN476" s="7"/>
      <c r="DO476" s="7"/>
      <c r="DP476" s="7"/>
      <c r="DQ476" s="7"/>
      <c r="DR476" s="7"/>
      <c r="DS476" s="74"/>
      <c r="DT476" s="74"/>
      <c r="DU476" s="7"/>
      <c r="DV476" s="74"/>
      <c r="DW476" s="7"/>
      <c r="DX476" s="7"/>
      <c r="DY476" s="7"/>
      <c r="DZ476" s="8">
        <f t="shared" si="137"/>
        <v>0</v>
      </c>
      <c r="EA476" s="3">
        <f t="shared" si="138"/>
        <v>0</v>
      </c>
      <c r="EB476" s="2">
        <f t="shared" si="139"/>
        <v>0</v>
      </c>
      <c r="EC476" s="112">
        <f t="shared" si="140"/>
        <v>0</v>
      </c>
      <c r="ED476" s="29">
        <f t="shared" si="141"/>
        <v>0</v>
      </c>
      <c r="EE476" s="2">
        <f t="shared" si="142"/>
        <v>0</v>
      </c>
      <c r="EF476" s="46">
        <f t="shared" si="143"/>
        <v>0</v>
      </c>
      <c r="EG476" s="46">
        <f t="shared" si="144"/>
        <v>0</v>
      </c>
      <c r="EH476" s="2">
        <f t="shared" si="145"/>
        <v>0</v>
      </c>
      <c r="EI476" s="29">
        <f>IF(COUNT(I476:AD476)&lt;5,DZ476,SUMPRODUCT(LARGE(I476:AD476,{1,2,3,4,5}))/5)</f>
        <v>0</v>
      </c>
      <c r="EJ476" s="29">
        <f>IF(COUNT(I476:BE476)&lt;5,DZ476,SUMPRODUCT(LARGE(I476:BE476,{1,2,3,4,5}))/5)</f>
        <v>0</v>
      </c>
      <c r="EK476" s="29">
        <f t="shared" si="146"/>
        <v>0</v>
      </c>
      <c r="EL476" s="29">
        <f>(EK476*100)/101.59</f>
        <v>0</v>
      </c>
      <c r="EM476" s="116">
        <f t="shared" si="147"/>
        <v>0</v>
      </c>
      <c r="EQ476"/>
    </row>
    <row r="477" spans="1:147" x14ac:dyDescent="0.25">
      <c r="A477" s="59"/>
      <c r="B477" s="32"/>
      <c r="C477" s="5"/>
      <c r="D477" s="6"/>
      <c r="E477" s="6"/>
      <c r="F477" s="6"/>
      <c r="G477" s="5"/>
      <c r="H477" s="99"/>
      <c r="I477" s="36"/>
      <c r="J477" s="7"/>
      <c r="K477" s="74"/>
      <c r="L477" s="74"/>
      <c r="M477" s="74"/>
      <c r="N477" s="74"/>
      <c r="O477" s="74"/>
      <c r="P477" s="74"/>
      <c r="Q477" s="7"/>
      <c r="R477" s="74"/>
      <c r="S477" s="74"/>
      <c r="T477" s="74"/>
      <c r="U477" s="74"/>
      <c r="V477" s="74"/>
      <c r="W477" s="74"/>
      <c r="X477" s="74"/>
      <c r="Y477" s="229"/>
      <c r="Z477" s="230"/>
      <c r="AA477" s="74"/>
      <c r="AB477" s="74"/>
      <c r="AC477" s="74"/>
      <c r="AD477" s="74"/>
      <c r="AE477" s="74"/>
      <c r="AF477" s="74"/>
      <c r="AG477" s="74"/>
      <c r="AH477" s="74"/>
      <c r="AI477" s="74"/>
      <c r="AJ477" s="74"/>
      <c r="AK477" s="74"/>
      <c r="AL477" s="74"/>
      <c r="AM477" s="74"/>
      <c r="AN477" s="74"/>
      <c r="AO477" s="74"/>
      <c r="AP477" s="74"/>
      <c r="AQ477" s="74"/>
      <c r="AR477" s="101"/>
      <c r="AS477" s="7"/>
      <c r="AT477" s="101"/>
      <c r="AU477" s="7"/>
      <c r="AV477" s="101"/>
      <c r="AW477" s="7"/>
      <c r="AX477" s="8"/>
      <c r="AY477" s="36"/>
      <c r="AZ477" s="74"/>
      <c r="BA477" s="74"/>
      <c r="BB477" s="74"/>
      <c r="BC477" s="74"/>
      <c r="BD477" s="7"/>
      <c r="BE477" s="7"/>
      <c r="BF477" s="74"/>
      <c r="BG477" s="74"/>
      <c r="BH477" s="74"/>
      <c r="BI477" s="74"/>
      <c r="BJ477" s="74"/>
      <c r="BK477" s="74"/>
      <c r="BL477" s="74"/>
      <c r="BM477" s="74"/>
      <c r="BN477" s="74"/>
      <c r="BO477" s="74"/>
      <c r="BP477" s="7"/>
      <c r="BQ477" s="7"/>
      <c r="BR477" s="74"/>
      <c r="BS477" s="7"/>
      <c r="BT477" s="7"/>
      <c r="BU477" s="74"/>
      <c r="BV477" s="74"/>
      <c r="BW477" s="74"/>
      <c r="BX477" s="74"/>
      <c r="BY477" s="74"/>
      <c r="BZ477" s="74"/>
      <c r="CA477" s="7"/>
      <c r="CB477" s="74"/>
      <c r="CC477" s="74"/>
      <c r="CD477" s="74"/>
      <c r="CE477" s="74"/>
      <c r="CF477" s="74"/>
      <c r="CG477" s="74"/>
      <c r="CH477" s="74"/>
      <c r="CI477" s="74"/>
      <c r="CJ477" s="74"/>
      <c r="CK477" s="101"/>
      <c r="CL477" s="74"/>
      <c r="CM477" s="74"/>
      <c r="CN477" s="74"/>
      <c r="CO477" s="101"/>
      <c r="CP477" s="74"/>
      <c r="CQ477" s="74"/>
      <c r="CR477" s="74"/>
      <c r="CS477" s="74"/>
      <c r="CT477" s="74"/>
      <c r="CU477" s="74"/>
      <c r="CV477" s="74"/>
      <c r="CW477" s="74"/>
      <c r="CX477" s="7"/>
      <c r="CY477" s="7"/>
      <c r="CZ477" s="74"/>
      <c r="DA477" s="74"/>
      <c r="DB477" s="74"/>
      <c r="DC477" s="74"/>
      <c r="DD477" s="74"/>
      <c r="DE477" s="74"/>
      <c r="DF477" s="74"/>
      <c r="DG477" s="74"/>
      <c r="DH477" s="74"/>
      <c r="DI477" s="74"/>
      <c r="DJ477" s="74"/>
      <c r="DK477" s="74"/>
      <c r="DL477" s="74"/>
      <c r="DM477" s="74"/>
      <c r="DN477" s="74"/>
      <c r="DO477" s="74"/>
      <c r="DP477" s="74"/>
      <c r="DQ477" s="74"/>
      <c r="DR477" s="74"/>
      <c r="DS477" s="74"/>
      <c r="DT477" s="74"/>
      <c r="DU477" s="74"/>
      <c r="DV477" s="74"/>
      <c r="DW477" s="74"/>
      <c r="DX477" s="74"/>
      <c r="DY477" s="74"/>
      <c r="DZ477" s="8">
        <f t="shared" si="137"/>
        <v>0</v>
      </c>
      <c r="EA477" s="3">
        <f t="shared" si="138"/>
        <v>0</v>
      </c>
      <c r="EB477" s="2">
        <f t="shared" si="139"/>
        <v>0</v>
      </c>
      <c r="EC477" s="112">
        <f t="shared" si="140"/>
        <v>0</v>
      </c>
      <c r="ED477" s="29">
        <f t="shared" si="141"/>
        <v>0</v>
      </c>
      <c r="EE477" s="2">
        <f t="shared" si="142"/>
        <v>0</v>
      </c>
      <c r="EF477" s="46">
        <f t="shared" si="143"/>
        <v>0</v>
      </c>
      <c r="EG477" s="46">
        <f t="shared" si="144"/>
        <v>0</v>
      </c>
      <c r="EH477" s="2">
        <f t="shared" si="145"/>
        <v>0</v>
      </c>
      <c r="EI477" s="29">
        <f>IF(COUNT(I477:AD477)&lt;5,DZ477,SUMPRODUCT(LARGE(I477:AD477,{1,2,3,4,5}))/5)</f>
        <v>0</v>
      </c>
      <c r="EJ477" s="29">
        <f>IF(COUNT(I477:BE477)&lt;5,DZ477,SUMPRODUCT(LARGE(I477:BE477,{1,2,3,4,5}))/5)</f>
        <v>0</v>
      </c>
      <c r="EK477" s="29">
        <f t="shared" si="146"/>
        <v>0</v>
      </c>
      <c r="EL477" s="29">
        <f>(EK477*100)/101.28</f>
        <v>0</v>
      </c>
      <c r="EM477" s="116">
        <f t="shared" si="147"/>
        <v>0</v>
      </c>
      <c r="EQ477"/>
    </row>
    <row r="478" spans="1:147" x14ac:dyDescent="0.25">
      <c r="A478" s="59"/>
      <c r="B478" s="4"/>
      <c r="C478" s="5"/>
      <c r="D478" s="5"/>
      <c r="E478" s="6"/>
      <c r="F478" s="6"/>
      <c r="G478" s="5"/>
      <c r="H478" s="99"/>
      <c r="I478" s="107"/>
      <c r="J478" s="7"/>
      <c r="K478" s="74"/>
      <c r="L478" s="74"/>
      <c r="M478" s="74"/>
      <c r="N478" s="74"/>
      <c r="O478" s="74"/>
      <c r="P478" s="74"/>
      <c r="Q478" s="7"/>
      <c r="R478" s="74"/>
      <c r="S478" s="74"/>
      <c r="T478" s="74"/>
      <c r="U478" s="74"/>
      <c r="V478" s="74"/>
      <c r="W478" s="74"/>
      <c r="X478" s="74"/>
      <c r="Y478" s="229"/>
      <c r="Z478" s="230"/>
      <c r="AA478" s="74"/>
      <c r="AB478" s="74"/>
      <c r="AC478" s="74"/>
      <c r="AD478" s="74"/>
      <c r="AE478" s="74"/>
      <c r="AF478" s="74"/>
      <c r="AG478" s="74"/>
      <c r="AH478" s="74"/>
      <c r="AI478" s="74"/>
      <c r="AJ478" s="74"/>
      <c r="AK478" s="74"/>
      <c r="AL478" s="74"/>
      <c r="AM478" s="74"/>
      <c r="AN478" s="74"/>
      <c r="AO478" s="74"/>
      <c r="AP478" s="74"/>
      <c r="AQ478" s="74"/>
      <c r="AR478" s="101"/>
      <c r="AS478" s="7"/>
      <c r="AT478" s="101"/>
      <c r="AU478" s="7"/>
      <c r="AV478" s="101"/>
      <c r="AW478" s="7"/>
      <c r="AX478" s="183"/>
      <c r="AY478" s="107"/>
      <c r="AZ478" s="74"/>
      <c r="BA478" s="74"/>
      <c r="BB478" s="74"/>
      <c r="BC478" s="74"/>
      <c r="BD478" s="7"/>
      <c r="BE478" s="7"/>
      <c r="BF478" s="74"/>
      <c r="BG478" s="74"/>
      <c r="BH478" s="74"/>
      <c r="BI478" s="74"/>
      <c r="BJ478" s="74"/>
      <c r="BK478" s="74"/>
      <c r="BL478" s="74"/>
      <c r="BM478" s="74"/>
      <c r="BN478" s="74"/>
      <c r="BO478" s="74"/>
      <c r="BP478" s="7"/>
      <c r="BQ478" s="7"/>
      <c r="BR478" s="74"/>
      <c r="BS478" s="7"/>
      <c r="BT478" s="7"/>
      <c r="BU478" s="74"/>
      <c r="BV478" s="74"/>
      <c r="BW478" s="74"/>
      <c r="BX478" s="74"/>
      <c r="BY478" s="74"/>
      <c r="BZ478" s="74"/>
      <c r="CA478" s="7"/>
      <c r="CB478" s="74"/>
      <c r="CC478" s="74"/>
      <c r="CD478" s="74"/>
      <c r="CE478" s="74"/>
      <c r="CF478" s="74"/>
      <c r="CG478" s="74"/>
      <c r="CH478" s="74"/>
      <c r="CI478" s="74"/>
      <c r="CJ478" s="74"/>
      <c r="CK478" s="101"/>
      <c r="CL478" s="74"/>
      <c r="CM478" s="74"/>
      <c r="CN478" s="74"/>
      <c r="CO478" s="101"/>
      <c r="CP478" s="74"/>
      <c r="CQ478" s="74"/>
      <c r="CR478" s="74"/>
      <c r="CS478" s="74"/>
      <c r="CT478" s="74"/>
      <c r="CU478" s="74"/>
      <c r="CV478" s="74"/>
      <c r="CW478" s="74"/>
      <c r="CX478" s="7"/>
      <c r="CY478" s="7"/>
      <c r="CZ478" s="74"/>
      <c r="DA478" s="74"/>
      <c r="DB478" s="74"/>
      <c r="DC478" s="74"/>
      <c r="DD478" s="74"/>
      <c r="DE478" s="74"/>
      <c r="DF478" s="74"/>
      <c r="DG478" s="74"/>
      <c r="DH478" s="74"/>
      <c r="DI478" s="74"/>
      <c r="DJ478" s="74"/>
      <c r="DK478" s="74"/>
      <c r="DL478" s="74"/>
      <c r="DM478" s="74"/>
      <c r="DN478" s="74"/>
      <c r="DO478" s="74"/>
      <c r="DP478" s="74"/>
      <c r="DQ478" s="74"/>
      <c r="DR478" s="74"/>
      <c r="DS478" s="74"/>
      <c r="DT478" s="74"/>
      <c r="DU478" s="74"/>
      <c r="DV478" s="74"/>
      <c r="DW478" s="74"/>
      <c r="DX478" s="74"/>
      <c r="DY478" s="74"/>
      <c r="DZ478" s="8">
        <f t="shared" si="137"/>
        <v>0</v>
      </c>
      <c r="EA478" s="3">
        <f t="shared" si="138"/>
        <v>0</v>
      </c>
      <c r="EB478" s="2">
        <f t="shared" si="139"/>
        <v>0</v>
      </c>
      <c r="EC478" s="112">
        <f t="shared" si="140"/>
        <v>0</v>
      </c>
      <c r="ED478" s="29">
        <f t="shared" si="141"/>
        <v>0</v>
      </c>
      <c r="EE478" s="2">
        <f t="shared" si="142"/>
        <v>0</v>
      </c>
      <c r="EF478" s="46">
        <f t="shared" si="143"/>
        <v>0</v>
      </c>
      <c r="EG478" s="46">
        <f t="shared" si="144"/>
        <v>0</v>
      </c>
      <c r="EH478" s="29">
        <f t="shared" si="145"/>
        <v>0</v>
      </c>
      <c r="EI478" s="29">
        <f>IF(COUNT(I478:AD478)&lt;5,DZ478,SUMPRODUCT(LARGE(I478:AD478,{1,2,3,4,5}))/5)</f>
        <v>0</v>
      </c>
      <c r="EJ478" s="29">
        <f>IF(COUNT(I478:BE478)&lt;5,DZ478,SUMPRODUCT(LARGE(I478:BE478,{1,2,3,4,5}))/5)</f>
        <v>0</v>
      </c>
      <c r="EK478" s="29">
        <f t="shared" si="146"/>
        <v>0</v>
      </c>
      <c r="EL478" s="29">
        <f>(EK478*100)/101.28</f>
        <v>0</v>
      </c>
      <c r="EM478" s="116">
        <f t="shared" si="147"/>
        <v>0</v>
      </c>
      <c r="EQ478"/>
    </row>
    <row r="479" spans="1:147" x14ac:dyDescent="0.25">
      <c r="A479" s="59"/>
      <c r="B479" s="32"/>
      <c r="C479" s="5"/>
      <c r="D479" s="6"/>
      <c r="E479" s="6"/>
      <c r="F479" s="6"/>
      <c r="G479" s="5"/>
      <c r="H479" s="37"/>
      <c r="I479" s="107"/>
      <c r="J479" s="7"/>
      <c r="K479" s="7"/>
      <c r="L479" s="7"/>
      <c r="M479" s="74"/>
      <c r="N479" s="74"/>
      <c r="O479" s="7"/>
      <c r="P479" s="74"/>
      <c r="Q479" s="7"/>
      <c r="R479" s="74"/>
      <c r="S479" s="74"/>
      <c r="T479" s="7"/>
      <c r="U479" s="7"/>
      <c r="V479" s="74"/>
      <c r="W479" s="7"/>
      <c r="X479" s="74"/>
      <c r="Y479" s="227"/>
      <c r="Z479" s="228"/>
      <c r="AA479" s="74"/>
      <c r="AB479" s="74"/>
      <c r="AC479" s="74"/>
      <c r="AD479" s="74"/>
      <c r="AE479" s="7"/>
      <c r="AF479" s="74"/>
      <c r="AG479" s="74"/>
      <c r="AH479" s="7"/>
      <c r="AI479" s="7"/>
      <c r="AJ479" s="7"/>
      <c r="AK479" s="7"/>
      <c r="AL479" s="7"/>
      <c r="AM479" s="7"/>
      <c r="AN479" s="7"/>
      <c r="AO479" s="74"/>
      <c r="AP479" s="7"/>
      <c r="AQ479" s="74"/>
      <c r="AR479" s="101"/>
      <c r="AS479" s="7"/>
      <c r="AT479" s="101"/>
      <c r="AU479" s="7"/>
      <c r="AV479" s="101"/>
      <c r="AW479" s="7"/>
      <c r="AX479" s="8"/>
      <c r="AY479" s="36"/>
      <c r="AZ479" s="74"/>
      <c r="BA479" s="74"/>
      <c r="BB479" s="74"/>
      <c r="BC479" s="74"/>
      <c r="BD479" s="7"/>
      <c r="BE479" s="7"/>
      <c r="BF479" s="74"/>
      <c r="BG479" s="74"/>
      <c r="BH479" s="74"/>
      <c r="BI479" s="74"/>
      <c r="BJ479" s="74"/>
      <c r="BK479" s="7"/>
      <c r="BL479" s="74"/>
      <c r="BM479" s="7"/>
      <c r="BN479" s="74"/>
      <c r="BO479" s="74"/>
      <c r="BP479" s="7"/>
      <c r="BQ479" s="7"/>
      <c r="BR479" s="74"/>
      <c r="BS479" s="7"/>
      <c r="BT479" s="7"/>
      <c r="BU479" s="74"/>
      <c r="BV479" s="74"/>
      <c r="BW479" s="74"/>
      <c r="BX479" s="74"/>
      <c r="BY479" s="74"/>
      <c r="BZ479" s="74"/>
      <c r="CA479" s="7"/>
      <c r="CB479" s="74"/>
      <c r="CC479" s="74"/>
      <c r="CD479" s="74"/>
      <c r="CE479" s="7"/>
      <c r="CF479" s="74"/>
      <c r="CG479" s="74"/>
      <c r="CH479" s="74"/>
      <c r="CI479" s="74"/>
      <c r="CJ479" s="74"/>
      <c r="CK479" s="101"/>
      <c r="CL479" s="74"/>
      <c r="CM479" s="74"/>
      <c r="CN479" s="74"/>
      <c r="CO479" s="101"/>
      <c r="CP479" s="74"/>
      <c r="CQ479" s="74"/>
      <c r="CR479" s="74"/>
      <c r="CS479" s="74"/>
      <c r="CT479" s="74"/>
      <c r="CU479" s="74"/>
      <c r="CV479" s="74"/>
      <c r="CW479" s="74"/>
      <c r="CX479" s="7"/>
      <c r="CY479" s="7"/>
      <c r="CZ479" s="74"/>
      <c r="DA479" s="74"/>
      <c r="DB479" s="74"/>
      <c r="DC479" s="74"/>
      <c r="DD479" s="74"/>
      <c r="DE479" s="74"/>
      <c r="DF479" s="74"/>
      <c r="DG479" s="74"/>
      <c r="DH479" s="74"/>
      <c r="DI479" s="74"/>
      <c r="DJ479" s="74"/>
      <c r="DK479" s="74"/>
      <c r="DL479" s="74"/>
      <c r="DM479" s="74"/>
      <c r="DN479" s="74"/>
      <c r="DO479" s="74"/>
      <c r="DP479" s="74"/>
      <c r="DQ479" s="74"/>
      <c r="DR479" s="74"/>
      <c r="DS479" s="74"/>
      <c r="DT479" s="74"/>
      <c r="DU479" s="74"/>
      <c r="DV479" s="74"/>
      <c r="DW479" s="74"/>
      <c r="DX479" s="74"/>
      <c r="DY479" s="74"/>
      <c r="DZ479" s="8">
        <f t="shared" si="137"/>
        <v>0</v>
      </c>
      <c r="EA479" s="3">
        <f t="shared" si="138"/>
        <v>0</v>
      </c>
      <c r="EB479" s="2">
        <f t="shared" si="139"/>
        <v>0</v>
      </c>
      <c r="EC479" s="112">
        <f t="shared" si="140"/>
        <v>0</v>
      </c>
      <c r="ED479" s="29">
        <f t="shared" si="141"/>
        <v>0</v>
      </c>
      <c r="EE479" s="2">
        <f t="shared" si="142"/>
        <v>0</v>
      </c>
      <c r="EF479" s="46">
        <f t="shared" si="143"/>
        <v>0</v>
      </c>
      <c r="EG479" s="46">
        <f t="shared" si="144"/>
        <v>0</v>
      </c>
      <c r="EH479" s="29">
        <f t="shared" si="145"/>
        <v>0</v>
      </c>
      <c r="EI479" s="29">
        <f>IF(COUNT(I479:AD479)&lt;5,DZ479,SUMPRODUCT(LARGE(I479:AD479,{1,2,3,4,5}))/5)</f>
        <v>0</v>
      </c>
      <c r="EJ479" s="29">
        <f>IF(COUNT(I479:BE479)&lt;5,DZ479,SUMPRODUCT(LARGE(I479:BE479,{1,2,3,4,5}))/5)</f>
        <v>0</v>
      </c>
      <c r="EK479" s="29">
        <f t="shared" si="146"/>
        <v>0</v>
      </c>
      <c r="EL479" s="29">
        <f>(EK479*100)/101.59</f>
        <v>0</v>
      </c>
      <c r="EM479" s="116">
        <f t="shared" si="147"/>
        <v>0</v>
      </c>
      <c r="EQ479"/>
    </row>
    <row r="480" spans="1:147" x14ac:dyDescent="0.25">
      <c r="A480" s="59"/>
      <c r="B480" s="32"/>
      <c r="C480" s="5"/>
      <c r="D480" s="6"/>
      <c r="E480" s="6"/>
      <c r="F480" s="6"/>
      <c r="G480" s="5"/>
      <c r="H480" s="37"/>
      <c r="I480" s="36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227"/>
      <c r="Z480" s="228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4"/>
      <c r="AP480" s="7"/>
      <c r="AQ480" s="74"/>
      <c r="AR480" s="70"/>
      <c r="AS480" s="7"/>
      <c r="AT480" s="70"/>
      <c r="AU480" s="7"/>
      <c r="AV480" s="70"/>
      <c r="AW480" s="7"/>
      <c r="AX480" s="183"/>
      <c r="AY480" s="10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4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4"/>
      <c r="CE480" s="7"/>
      <c r="CF480" s="7"/>
      <c r="CG480" s="7"/>
      <c r="CH480" s="7"/>
      <c r="CI480" s="7"/>
      <c r="CJ480" s="7"/>
      <c r="CK480" s="101"/>
      <c r="CL480" s="74"/>
      <c r="CM480" s="74"/>
      <c r="CN480" s="74"/>
      <c r="CO480" s="70"/>
      <c r="CP480" s="74"/>
      <c r="CQ480" s="7"/>
      <c r="CR480" s="74"/>
      <c r="CS480" s="74"/>
      <c r="CT480" s="74"/>
      <c r="CU480" s="74"/>
      <c r="CV480" s="7"/>
      <c r="CW480" s="7"/>
      <c r="CX480" s="7"/>
      <c r="CY480" s="7"/>
      <c r="CZ480" s="7"/>
      <c r="DA480" s="7"/>
      <c r="DB480" s="7"/>
      <c r="DC480" s="7"/>
      <c r="DD480" s="7"/>
      <c r="DE480" s="74"/>
      <c r="DF480" s="74"/>
      <c r="DG480" s="74"/>
      <c r="DH480" s="7"/>
      <c r="DI480" s="74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8">
        <f t="shared" si="137"/>
        <v>0</v>
      </c>
      <c r="EA480" s="3">
        <f t="shared" si="138"/>
        <v>0</v>
      </c>
      <c r="EB480" s="2">
        <f t="shared" si="139"/>
        <v>0</v>
      </c>
      <c r="EC480" s="112">
        <f t="shared" si="140"/>
        <v>0</v>
      </c>
      <c r="ED480" s="29">
        <f t="shared" si="141"/>
        <v>0</v>
      </c>
      <c r="EE480" s="2">
        <f t="shared" si="142"/>
        <v>0</v>
      </c>
      <c r="EF480" s="46">
        <f t="shared" si="143"/>
        <v>0</v>
      </c>
      <c r="EG480" s="46">
        <f t="shared" si="144"/>
        <v>0</v>
      </c>
      <c r="EH480" s="2">
        <f t="shared" si="145"/>
        <v>0</v>
      </c>
      <c r="EI480" s="29">
        <f>IF(COUNT(I480:AD480)&lt;5,DZ480,SUMPRODUCT(LARGE(I480:AD480,{1,2,3,4,5}))/5)</f>
        <v>0</v>
      </c>
      <c r="EJ480" s="29">
        <f>IF(COUNT(I480:BE480)&lt;5,DZ480,SUMPRODUCT(LARGE(I480:BE480,{1,2,3,4,5}))/5)</f>
        <v>0</v>
      </c>
      <c r="EK480" s="29">
        <f t="shared" si="146"/>
        <v>0</v>
      </c>
      <c r="EL480" s="29">
        <f>(EK480*100)/101.59</f>
        <v>0</v>
      </c>
      <c r="EM480" s="116">
        <f t="shared" si="147"/>
        <v>0</v>
      </c>
      <c r="EQ480"/>
    </row>
    <row r="481" spans="1:147" x14ac:dyDescent="0.25">
      <c r="A481" s="59"/>
      <c r="B481" s="32"/>
      <c r="C481" s="5"/>
      <c r="D481" s="6"/>
      <c r="E481" s="6"/>
      <c r="F481" s="6"/>
      <c r="G481" s="5"/>
      <c r="H481" s="37"/>
      <c r="I481" s="36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227"/>
      <c r="Z481" s="228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4"/>
      <c r="AP481" s="7"/>
      <c r="AQ481" s="74"/>
      <c r="AR481" s="70"/>
      <c r="AS481" s="7"/>
      <c r="AT481" s="70"/>
      <c r="AU481" s="7"/>
      <c r="AV481" s="70"/>
      <c r="AW481" s="7"/>
      <c r="AX481" s="183"/>
      <c r="AY481" s="10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4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4"/>
      <c r="CE481" s="7"/>
      <c r="CF481" s="7"/>
      <c r="CG481" s="7"/>
      <c r="CH481" s="7"/>
      <c r="CI481" s="7"/>
      <c r="CJ481" s="7"/>
      <c r="CK481" s="101"/>
      <c r="CL481" s="74"/>
      <c r="CM481" s="74"/>
      <c r="CN481" s="74"/>
      <c r="CO481" s="70"/>
      <c r="CP481" s="74"/>
      <c r="CQ481" s="7"/>
      <c r="CR481" s="74"/>
      <c r="CS481" s="74"/>
      <c r="CT481" s="74"/>
      <c r="CU481" s="74"/>
      <c r="CV481" s="7"/>
      <c r="CW481" s="7"/>
      <c r="CX481" s="7"/>
      <c r="CY481" s="7"/>
      <c r="CZ481" s="7"/>
      <c r="DA481" s="7"/>
      <c r="DB481" s="7"/>
      <c r="DC481" s="7"/>
      <c r="DD481" s="7"/>
      <c r="DE481" s="74"/>
      <c r="DF481" s="74"/>
      <c r="DG481" s="74"/>
      <c r="DH481" s="7"/>
      <c r="DI481" s="74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8">
        <f t="shared" si="137"/>
        <v>0</v>
      </c>
      <c r="EA481" s="3">
        <f t="shared" si="138"/>
        <v>0</v>
      </c>
      <c r="EB481" s="2">
        <f t="shared" si="139"/>
        <v>0</v>
      </c>
      <c r="EC481" s="112">
        <f t="shared" si="140"/>
        <v>0</v>
      </c>
      <c r="ED481" s="29">
        <f t="shared" si="141"/>
        <v>0</v>
      </c>
      <c r="EE481" s="2">
        <f t="shared" si="142"/>
        <v>0</v>
      </c>
      <c r="EF481" s="46">
        <f t="shared" si="143"/>
        <v>0</v>
      </c>
      <c r="EG481" s="46">
        <f t="shared" si="144"/>
        <v>0</v>
      </c>
      <c r="EH481" s="2">
        <f t="shared" si="145"/>
        <v>0</v>
      </c>
      <c r="EI481" s="29">
        <f>IF(COUNT(I481:AD481)&lt;5,DZ481,SUMPRODUCT(LARGE(I481:AD481,{1,2,3,4,5}))/5)</f>
        <v>0</v>
      </c>
      <c r="EJ481" s="29">
        <f>IF(COUNT(I481:BE481)&lt;5,DZ481,SUMPRODUCT(LARGE(I481:BE481,{1,2,3,4,5}))/5)</f>
        <v>0</v>
      </c>
      <c r="EK481" s="29">
        <f t="shared" si="146"/>
        <v>0</v>
      </c>
      <c r="EL481" s="29">
        <f>(EK481*100)/101.28</f>
        <v>0</v>
      </c>
      <c r="EM481" s="116">
        <f t="shared" si="147"/>
        <v>0</v>
      </c>
      <c r="EQ481"/>
    </row>
    <row r="482" spans="1:147" x14ac:dyDescent="0.25">
      <c r="A482" s="59"/>
      <c r="B482" s="32"/>
      <c r="C482" s="5"/>
      <c r="D482" s="6"/>
      <c r="E482" s="6"/>
      <c r="F482" s="6"/>
      <c r="G482" s="5"/>
      <c r="H482" s="37"/>
      <c r="I482" s="36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227"/>
      <c r="Z482" s="228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4"/>
      <c r="AP482" s="7"/>
      <c r="AQ482" s="74"/>
      <c r="AR482" s="70"/>
      <c r="AS482" s="7"/>
      <c r="AT482" s="70"/>
      <c r="AU482" s="7"/>
      <c r="AV482" s="70"/>
      <c r="AW482" s="7"/>
      <c r="AX482" s="183"/>
      <c r="AY482" s="10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4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101"/>
      <c r="CL482" s="74"/>
      <c r="CM482" s="74"/>
      <c r="CN482" s="74"/>
      <c r="CO482" s="70"/>
      <c r="CP482" s="74"/>
      <c r="CQ482" s="7"/>
      <c r="CR482" s="74"/>
      <c r="CS482" s="74"/>
      <c r="CT482" s="74"/>
      <c r="CU482" s="74"/>
      <c r="CV482" s="7"/>
      <c r="CW482" s="7"/>
      <c r="CX482" s="7"/>
      <c r="CY482" s="7"/>
      <c r="CZ482" s="7"/>
      <c r="DA482" s="7"/>
      <c r="DB482" s="7"/>
      <c r="DC482" s="7"/>
      <c r="DD482" s="7"/>
      <c r="DE482" s="74"/>
      <c r="DF482" s="74"/>
      <c r="DG482" s="74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8">
        <f t="shared" si="137"/>
        <v>0</v>
      </c>
      <c r="EA482" s="3">
        <f t="shared" si="138"/>
        <v>0</v>
      </c>
      <c r="EB482" s="2">
        <f t="shared" si="139"/>
        <v>0</v>
      </c>
      <c r="EC482" s="112">
        <f t="shared" si="140"/>
        <v>0</v>
      </c>
      <c r="ED482" s="29">
        <f t="shared" si="141"/>
        <v>0</v>
      </c>
      <c r="EE482" s="2">
        <f t="shared" si="142"/>
        <v>0</v>
      </c>
      <c r="EF482" s="46">
        <f t="shared" si="143"/>
        <v>0</v>
      </c>
      <c r="EG482" s="46">
        <f t="shared" si="144"/>
        <v>0</v>
      </c>
      <c r="EH482" s="2">
        <f t="shared" si="145"/>
        <v>0</v>
      </c>
      <c r="EI482" s="29">
        <f>IF(COUNT(I482:AD482)&lt;5,DZ482,SUMPRODUCT(LARGE(I482:AD482,{1,2,3,4,5}))/5)</f>
        <v>0</v>
      </c>
      <c r="EJ482" s="29">
        <f>IF(COUNT(I482:BE482)&lt;5,DZ482,SUMPRODUCT(LARGE(I482:BE482,{1,2,3,4,5}))/5)</f>
        <v>0</v>
      </c>
      <c r="EK482" s="29">
        <f t="shared" si="146"/>
        <v>0</v>
      </c>
      <c r="EL482" s="29">
        <f>(EK482*100)/101.59</f>
        <v>0</v>
      </c>
      <c r="EM482" s="116">
        <f t="shared" si="147"/>
        <v>0</v>
      </c>
      <c r="EQ482"/>
    </row>
    <row r="483" spans="1:147" x14ac:dyDescent="0.25">
      <c r="A483" s="59"/>
      <c r="B483" s="32"/>
      <c r="C483" s="5"/>
      <c r="D483" s="6"/>
      <c r="E483" s="6"/>
      <c r="F483" s="6"/>
      <c r="G483" s="5"/>
      <c r="H483" s="37"/>
      <c r="I483" s="36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227"/>
      <c r="Z483" s="228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4"/>
      <c r="AP483" s="7"/>
      <c r="AQ483" s="74"/>
      <c r="AR483" s="70"/>
      <c r="AS483" s="7"/>
      <c r="AT483" s="70"/>
      <c r="AU483" s="7"/>
      <c r="AV483" s="70"/>
      <c r="AW483" s="7"/>
      <c r="AX483" s="8"/>
      <c r="AY483" s="36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101"/>
      <c r="CL483" s="74"/>
      <c r="CM483" s="74"/>
      <c r="CN483" s="74"/>
      <c r="CO483" s="70"/>
      <c r="CP483" s="74"/>
      <c r="CQ483" s="7"/>
      <c r="CR483" s="74"/>
      <c r="CS483" s="74"/>
      <c r="CT483" s="74"/>
      <c r="CU483" s="74"/>
      <c r="CV483" s="74"/>
      <c r="CW483" s="7"/>
      <c r="CX483" s="7"/>
      <c r="CY483" s="7"/>
      <c r="CZ483" s="74"/>
      <c r="DA483" s="7"/>
      <c r="DB483" s="7"/>
      <c r="DC483" s="7"/>
      <c r="DD483" s="7"/>
      <c r="DE483" s="74"/>
      <c r="DF483" s="74"/>
      <c r="DG483" s="74"/>
      <c r="DH483" s="74"/>
      <c r="DI483" s="74"/>
      <c r="DJ483" s="7"/>
      <c r="DK483" s="7"/>
      <c r="DL483" s="7"/>
      <c r="DM483" s="74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8">
        <f t="shared" si="137"/>
        <v>0</v>
      </c>
      <c r="EA483" s="3">
        <f t="shared" si="138"/>
        <v>0</v>
      </c>
      <c r="EB483" s="2">
        <f t="shared" si="139"/>
        <v>0</v>
      </c>
      <c r="EC483" s="112">
        <f t="shared" si="140"/>
        <v>0</v>
      </c>
      <c r="ED483" s="29">
        <f t="shared" si="141"/>
        <v>0</v>
      </c>
      <c r="EE483" s="2">
        <f t="shared" si="142"/>
        <v>0</v>
      </c>
      <c r="EF483" s="46">
        <f t="shared" si="143"/>
        <v>0</v>
      </c>
      <c r="EG483" s="46">
        <f t="shared" si="144"/>
        <v>0</v>
      </c>
      <c r="EH483" s="2">
        <f t="shared" si="145"/>
        <v>0</v>
      </c>
      <c r="EI483" s="29">
        <f>IF(COUNT(I483:AD483)&lt;5,DZ483,SUMPRODUCT(LARGE(I483:AD483,{1,2,3,4,5}))/5)</f>
        <v>0</v>
      </c>
      <c r="EJ483" s="29">
        <f>IF(COUNT(I483:BE483)&lt;5,DZ483,SUMPRODUCT(LARGE(I483:BE483,{1,2,3,4,5}))/5)</f>
        <v>0</v>
      </c>
      <c r="EK483" s="29">
        <f t="shared" si="146"/>
        <v>0</v>
      </c>
      <c r="EL483" s="29">
        <f t="shared" ref="EL483:EL491" si="148">(EK483*100)/101.28</f>
        <v>0</v>
      </c>
      <c r="EM483" s="116">
        <f t="shared" si="147"/>
        <v>0</v>
      </c>
      <c r="EQ483"/>
    </row>
    <row r="484" spans="1:147" x14ac:dyDescent="0.25">
      <c r="A484" s="59"/>
      <c r="B484" s="4"/>
      <c r="C484" s="5"/>
      <c r="D484" s="5"/>
      <c r="E484" s="6"/>
      <c r="F484" s="6"/>
      <c r="G484" s="5"/>
      <c r="H484" s="37"/>
      <c r="I484" s="107"/>
      <c r="J484" s="7"/>
      <c r="K484" s="74"/>
      <c r="L484" s="7"/>
      <c r="M484" s="74"/>
      <c r="N484" s="74"/>
      <c r="O484" s="7"/>
      <c r="P484" s="74"/>
      <c r="Q484" s="7"/>
      <c r="R484" s="74"/>
      <c r="S484" s="74"/>
      <c r="T484" s="7"/>
      <c r="U484" s="7"/>
      <c r="V484" s="74"/>
      <c r="W484" s="7"/>
      <c r="X484" s="74"/>
      <c r="Y484" s="227"/>
      <c r="Z484" s="228"/>
      <c r="AA484" s="100"/>
      <c r="AB484" s="74"/>
      <c r="AC484" s="74"/>
      <c r="AD484" s="74"/>
      <c r="AE484" s="7"/>
      <c r="AF484" s="74"/>
      <c r="AG484" s="74"/>
      <c r="AH484" s="7"/>
      <c r="AI484" s="7"/>
      <c r="AJ484" s="7"/>
      <c r="AK484" s="7"/>
      <c r="AL484" s="7"/>
      <c r="AM484" s="7"/>
      <c r="AN484" s="7"/>
      <c r="AO484" s="74"/>
      <c r="AP484" s="7"/>
      <c r="AQ484" s="74"/>
      <c r="AR484" s="101"/>
      <c r="AS484" s="7"/>
      <c r="AT484" s="101"/>
      <c r="AU484" s="7"/>
      <c r="AV484" s="101"/>
      <c r="AW484" s="7"/>
      <c r="AX484" s="8"/>
      <c r="AY484" s="36"/>
      <c r="AZ484" s="74"/>
      <c r="BA484" s="74"/>
      <c r="BB484" s="74"/>
      <c r="BC484" s="74"/>
      <c r="BD484" s="7"/>
      <c r="BE484" s="7"/>
      <c r="BF484" s="74"/>
      <c r="BG484" s="74"/>
      <c r="BH484" s="74"/>
      <c r="BI484" s="74"/>
      <c r="BJ484" s="74"/>
      <c r="BK484" s="7"/>
      <c r="BL484" s="74"/>
      <c r="BM484" s="7"/>
      <c r="BN484" s="74"/>
      <c r="BO484" s="74"/>
      <c r="BP484" s="7"/>
      <c r="BQ484" s="7"/>
      <c r="BR484" s="74"/>
      <c r="BS484" s="7"/>
      <c r="BT484" s="7"/>
      <c r="BU484" s="74"/>
      <c r="BV484" s="74"/>
      <c r="BW484" s="74"/>
      <c r="BX484" s="74"/>
      <c r="BY484" s="74"/>
      <c r="BZ484" s="74"/>
      <c r="CA484" s="7"/>
      <c r="CB484" s="74"/>
      <c r="CC484" s="74"/>
      <c r="CD484" s="74"/>
      <c r="CE484" s="7"/>
      <c r="CF484" s="74"/>
      <c r="CG484" s="74"/>
      <c r="CH484" s="7"/>
      <c r="CI484" s="74"/>
      <c r="CJ484" s="74"/>
      <c r="CK484" s="101"/>
      <c r="CL484" s="74"/>
      <c r="CM484" s="74"/>
      <c r="CN484" s="74"/>
      <c r="CO484" s="101"/>
      <c r="CP484" s="74"/>
      <c r="CQ484" s="74"/>
      <c r="CR484" s="74"/>
      <c r="CS484" s="74"/>
      <c r="CT484" s="74"/>
      <c r="CU484" s="74"/>
      <c r="CV484" s="74"/>
      <c r="CW484" s="74"/>
      <c r="CX484" s="7"/>
      <c r="CY484" s="7"/>
      <c r="CZ484" s="74"/>
      <c r="DA484" s="74"/>
      <c r="DB484" s="74"/>
      <c r="DC484" s="74"/>
      <c r="DD484" s="74"/>
      <c r="DE484" s="74"/>
      <c r="DF484" s="74"/>
      <c r="DG484" s="74"/>
      <c r="DH484" s="74"/>
      <c r="DI484" s="74"/>
      <c r="DJ484" s="7"/>
      <c r="DK484" s="74"/>
      <c r="DL484" s="7"/>
      <c r="DM484" s="74"/>
      <c r="DN484" s="74"/>
      <c r="DO484" s="74"/>
      <c r="DP484" s="74"/>
      <c r="DQ484" s="74"/>
      <c r="DR484" s="74"/>
      <c r="DS484" s="74"/>
      <c r="DT484" s="74"/>
      <c r="DU484" s="74"/>
      <c r="DV484" s="74"/>
      <c r="DW484" s="74"/>
      <c r="DX484" s="74"/>
      <c r="DY484" s="74"/>
      <c r="DZ484" s="8">
        <f t="shared" si="137"/>
        <v>0</v>
      </c>
      <c r="EA484" s="3">
        <f t="shared" si="138"/>
        <v>0</v>
      </c>
      <c r="EB484" s="2">
        <f t="shared" si="139"/>
        <v>0</v>
      </c>
      <c r="EC484" s="112">
        <f t="shared" si="140"/>
        <v>0</v>
      </c>
      <c r="ED484" s="29">
        <f t="shared" si="141"/>
        <v>0</v>
      </c>
      <c r="EE484" s="2">
        <f t="shared" si="142"/>
        <v>0</v>
      </c>
      <c r="EF484" s="46">
        <f t="shared" si="143"/>
        <v>0</v>
      </c>
      <c r="EG484" s="46">
        <f t="shared" si="144"/>
        <v>0</v>
      </c>
      <c r="EH484" s="29">
        <f t="shared" si="145"/>
        <v>0</v>
      </c>
      <c r="EI484" s="29">
        <f>IF(COUNT(I484:AD484)&lt;5,DZ484,SUMPRODUCT(LARGE(I484:AD484,{1,2,3,4,5}))/5)</f>
        <v>0</v>
      </c>
      <c r="EJ484" s="29">
        <f>IF(COUNT(I484:BE484)&lt;5,DZ484,SUMPRODUCT(LARGE(I484:BE484,{1,2,3,4,5}))/5)</f>
        <v>0</v>
      </c>
      <c r="EK484" s="29">
        <f t="shared" si="146"/>
        <v>0</v>
      </c>
      <c r="EL484" s="29">
        <f t="shared" si="148"/>
        <v>0</v>
      </c>
      <c r="EM484" s="116">
        <f t="shared" si="147"/>
        <v>0</v>
      </c>
      <c r="EQ484"/>
    </row>
    <row r="485" spans="1:147" x14ac:dyDescent="0.25">
      <c r="A485" s="59"/>
      <c r="B485" s="4"/>
      <c r="C485" s="5"/>
      <c r="D485" s="5"/>
      <c r="E485" s="6"/>
      <c r="F485" s="6"/>
      <c r="G485" s="5"/>
      <c r="H485" s="99"/>
      <c r="I485" s="36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227"/>
      <c r="Z485" s="228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4"/>
      <c r="AP485" s="7"/>
      <c r="AQ485" s="74"/>
      <c r="AR485" s="70"/>
      <c r="AS485" s="7"/>
      <c r="AT485" s="70"/>
      <c r="AU485" s="7"/>
      <c r="AV485" s="70"/>
      <c r="AW485" s="7"/>
      <c r="AX485" s="8"/>
      <c r="AY485" s="36"/>
      <c r="AZ485" s="74"/>
      <c r="BA485" s="7"/>
      <c r="BB485" s="74"/>
      <c r="BC485" s="7"/>
      <c r="BD485" s="7"/>
      <c r="BE485" s="7"/>
      <c r="BF485" s="7"/>
      <c r="BG485" s="7"/>
      <c r="BH485" s="7"/>
      <c r="BI485" s="7"/>
      <c r="BJ485" s="74"/>
      <c r="BK485" s="7"/>
      <c r="BL485" s="74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101"/>
      <c r="CL485" s="74"/>
      <c r="CM485" s="74"/>
      <c r="CN485" s="74"/>
      <c r="CO485" s="70"/>
      <c r="CP485" s="74"/>
      <c r="CQ485" s="7"/>
      <c r="CR485" s="74"/>
      <c r="CS485" s="74"/>
      <c r="CT485" s="74"/>
      <c r="CU485" s="74"/>
      <c r="CV485" s="74"/>
      <c r="CW485" s="74"/>
      <c r="CX485" s="7"/>
      <c r="CY485" s="7"/>
      <c r="CZ485" s="7"/>
      <c r="DA485" s="7"/>
      <c r="DB485" s="7"/>
      <c r="DC485" s="7"/>
      <c r="DD485" s="7"/>
      <c r="DE485" s="74"/>
      <c r="DF485" s="74"/>
      <c r="DG485" s="74"/>
      <c r="DH485" s="74"/>
      <c r="DI485" s="74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8">
        <f t="shared" si="137"/>
        <v>0</v>
      </c>
      <c r="EA485" s="3">
        <f t="shared" si="138"/>
        <v>0</v>
      </c>
      <c r="EB485" s="2">
        <f t="shared" si="139"/>
        <v>0</v>
      </c>
      <c r="EC485" s="112">
        <f t="shared" si="140"/>
        <v>0</v>
      </c>
      <c r="ED485" s="29">
        <f t="shared" si="141"/>
        <v>0</v>
      </c>
      <c r="EE485" s="2">
        <f t="shared" si="142"/>
        <v>0</v>
      </c>
      <c r="EF485" s="46">
        <f t="shared" si="143"/>
        <v>0</v>
      </c>
      <c r="EG485" s="46">
        <f t="shared" si="144"/>
        <v>0</v>
      </c>
      <c r="EH485" s="2">
        <f t="shared" si="145"/>
        <v>0</v>
      </c>
      <c r="EI485" s="29">
        <f>IF(COUNT(I485:AD485)&lt;5,DZ485,SUMPRODUCT(LARGE(I485:AD485,{1,2,3,4,5}))/5)</f>
        <v>0</v>
      </c>
      <c r="EJ485" s="29">
        <f>IF(COUNT(I485:BE485)&lt;5,DZ485,SUMPRODUCT(LARGE(I485:BE485,{1,2,3,4,5}))/5)</f>
        <v>0</v>
      </c>
      <c r="EK485" s="29">
        <f t="shared" si="146"/>
        <v>0</v>
      </c>
      <c r="EL485" s="29">
        <f t="shared" si="148"/>
        <v>0</v>
      </c>
      <c r="EM485" s="116">
        <f t="shared" si="147"/>
        <v>0</v>
      </c>
      <c r="EQ485"/>
    </row>
    <row r="486" spans="1:147" x14ac:dyDescent="0.25">
      <c r="A486" s="59"/>
      <c r="B486" s="33"/>
      <c r="C486" s="5"/>
      <c r="D486" s="6"/>
      <c r="E486" s="6"/>
      <c r="F486" s="6"/>
      <c r="G486" s="5"/>
      <c r="H486" s="37"/>
      <c r="I486" s="36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227"/>
      <c r="Z486" s="228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4"/>
      <c r="AP486" s="7"/>
      <c r="AQ486" s="74"/>
      <c r="AR486" s="70"/>
      <c r="AS486" s="7"/>
      <c r="AT486" s="70"/>
      <c r="AU486" s="7"/>
      <c r="AV486" s="70"/>
      <c r="AW486" s="7"/>
      <c r="AX486" s="8"/>
      <c r="AY486" s="36"/>
      <c r="AZ486" s="7"/>
      <c r="BA486" s="7"/>
      <c r="BB486" s="7"/>
      <c r="BC486" s="74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101"/>
      <c r="CL486" s="74"/>
      <c r="CM486" s="74"/>
      <c r="CN486" s="74"/>
      <c r="CO486" s="70"/>
      <c r="CP486" s="74"/>
      <c r="CQ486" s="7"/>
      <c r="CR486" s="74"/>
      <c r="CS486" s="74"/>
      <c r="CT486" s="74"/>
      <c r="CU486" s="74"/>
      <c r="CV486" s="74"/>
      <c r="CW486" s="7"/>
      <c r="CX486" s="7"/>
      <c r="CY486" s="7"/>
      <c r="CZ486" s="7"/>
      <c r="DA486" s="7"/>
      <c r="DB486" s="7"/>
      <c r="DC486" s="7"/>
      <c r="DD486" s="7"/>
      <c r="DE486" s="74"/>
      <c r="DF486" s="74"/>
      <c r="DG486" s="74"/>
      <c r="DH486" s="74"/>
      <c r="DI486" s="74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8">
        <f t="shared" si="137"/>
        <v>0</v>
      </c>
      <c r="EA486" s="3">
        <f t="shared" si="138"/>
        <v>0</v>
      </c>
      <c r="EB486" s="2">
        <f t="shared" si="139"/>
        <v>0</v>
      </c>
      <c r="EC486" s="112">
        <f t="shared" si="140"/>
        <v>0</v>
      </c>
      <c r="ED486" s="29">
        <f t="shared" si="141"/>
        <v>0</v>
      </c>
      <c r="EE486" s="2">
        <f t="shared" si="142"/>
        <v>0</v>
      </c>
      <c r="EF486" s="46">
        <f t="shared" si="143"/>
        <v>0</v>
      </c>
      <c r="EG486" s="46">
        <f t="shared" si="144"/>
        <v>0</v>
      </c>
      <c r="EH486" s="2">
        <f t="shared" si="145"/>
        <v>0</v>
      </c>
      <c r="EI486" s="29">
        <f>IF(COUNT(I486:AD486)&lt;5,DZ486,SUMPRODUCT(LARGE(I486:AD486,{1,2,3,4,5}))/5)</f>
        <v>0</v>
      </c>
      <c r="EJ486" s="29">
        <f>IF(COUNT(I486:BE486)&lt;5,DZ486,SUMPRODUCT(LARGE(I486:BE486,{1,2,3,4,5}))/5)</f>
        <v>0</v>
      </c>
      <c r="EK486" s="29">
        <f t="shared" si="146"/>
        <v>0</v>
      </c>
      <c r="EL486" s="29">
        <f t="shared" si="148"/>
        <v>0</v>
      </c>
      <c r="EM486" s="116">
        <f t="shared" si="147"/>
        <v>0</v>
      </c>
      <c r="EQ486"/>
    </row>
    <row r="487" spans="1:147" x14ac:dyDescent="0.25">
      <c r="A487" s="59"/>
      <c r="B487" s="32"/>
      <c r="C487" s="5"/>
      <c r="D487" s="6"/>
      <c r="E487" s="6"/>
      <c r="F487" s="6"/>
      <c r="G487" s="5"/>
      <c r="H487" s="37"/>
      <c r="I487" s="107"/>
      <c r="J487" s="7"/>
      <c r="K487" s="74"/>
      <c r="L487" s="7"/>
      <c r="M487" s="74"/>
      <c r="N487" s="74"/>
      <c r="O487" s="7"/>
      <c r="P487" s="74"/>
      <c r="Q487" s="7"/>
      <c r="R487" s="74"/>
      <c r="S487" s="74"/>
      <c r="T487" s="7"/>
      <c r="U487" s="7"/>
      <c r="V487" s="74"/>
      <c r="W487" s="7"/>
      <c r="X487" s="74"/>
      <c r="Y487" s="227"/>
      <c r="Z487" s="228"/>
      <c r="AA487" s="74"/>
      <c r="AB487" s="74"/>
      <c r="AC487" s="74"/>
      <c r="AD487" s="74"/>
      <c r="AE487" s="7"/>
      <c r="AF487" s="74"/>
      <c r="AG487" s="74"/>
      <c r="AH487" s="7"/>
      <c r="AI487" s="7"/>
      <c r="AJ487" s="7"/>
      <c r="AK487" s="7"/>
      <c r="AL487" s="7"/>
      <c r="AM487" s="7"/>
      <c r="AN487" s="7"/>
      <c r="AO487" s="74"/>
      <c r="AP487" s="7"/>
      <c r="AQ487" s="74"/>
      <c r="AR487" s="101"/>
      <c r="AS487" s="7"/>
      <c r="AT487" s="101"/>
      <c r="AU487" s="7"/>
      <c r="AV487" s="101"/>
      <c r="AW487" s="7"/>
      <c r="AX487" s="183"/>
      <c r="AY487" s="107"/>
      <c r="AZ487" s="74"/>
      <c r="BA487" s="74"/>
      <c r="BB487" s="74"/>
      <c r="BC487" s="74"/>
      <c r="BD487" s="7"/>
      <c r="BE487" s="7"/>
      <c r="BF487" s="74"/>
      <c r="BG487" s="74"/>
      <c r="BH487" s="74"/>
      <c r="BI487" s="74"/>
      <c r="BJ487" s="74"/>
      <c r="BK487" s="7"/>
      <c r="BL487" s="74"/>
      <c r="BM487" s="7"/>
      <c r="BN487" s="74"/>
      <c r="BO487" s="74"/>
      <c r="BP487" s="7"/>
      <c r="BQ487" s="7"/>
      <c r="BR487" s="74"/>
      <c r="BS487" s="7"/>
      <c r="BT487" s="7"/>
      <c r="BU487" s="74"/>
      <c r="BV487" s="74"/>
      <c r="BW487" s="74"/>
      <c r="BX487" s="74"/>
      <c r="BY487" s="74"/>
      <c r="BZ487" s="74"/>
      <c r="CA487" s="7"/>
      <c r="CB487" s="74"/>
      <c r="CC487" s="74"/>
      <c r="CD487" s="74"/>
      <c r="CE487" s="7"/>
      <c r="CF487" s="74"/>
      <c r="CG487" s="7"/>
      <c r="CH487" s="7"/>
      <c r="CI487" s="74"/>
      <c r="CJ487" s="74"/>
      <c r="CK487" s="101"/>
      <c r="CL487" s="74"/>
      <c r="CM487" s="74"/>
      <c r="CN487" s="74"/>
      <c r="CO487" s="101"/>
      <c r="CP487" s="74"/>
      <c r="CQ487" s="74"/>
      <c r="CR487" s="74"/>
      <c r="CS487" s="74"/>
      <c r="CT487" s="74"/>
      <c r="CU487" s="74"/>
      <c r="CV487" s="74"/>
      <c r="CW487" s="74"/>
      <c r="CX487" s="7"/>
      <c r="CY487" s="7"/>
      <c r="CZ487" s="74"/>
      <c r="DA487" s="74"/>
      <c r="DB487" s="74"/>
      <c r="DC487" s="74"/>
      <c r="DD487" s="74"/>
      <c r="DE487" s="74"/>
      <c r="DF487" s="74"/>
      <c r="DG487" s="74"/>
      <c r="DH487" s="74"/>
      <c r="DI487" s="74"/>
      <c r="DJ487" s="74"/>
      <c r="DK487" s="74"/>
      <c r="DL487" s="74"/>
      <c r="DM487" s="74"/>
      <c r="DN487" s="74"/>
      <c r="DO487" s="74"/>
      <c r="DP487" s="74"/>
      <c r="DQ487" s="74"/>
      <c r="DR487" s="74"/>
      <c r="DS487" s="74"/>
      <c r="DT487" s="74"/>
      <c r="DU487" s="74"/>
      <c r="DV487" s="74"/>
      <c r="DW487" s="74"/>
      <c r="DX487" s="74"/>
      <c r="DY487" s="74"/>
      <c r="DZ487" s="8">
        <f t="shared" si="137"/>
        <v>0</v>
      </c>
      <c r="EA487" s="3">
        <f t="shared" si="138"/>
        <v>0</v>
      </c>
      <c r="EB487" s="2">
        <f t="shared" si="139"/>
        <v>0</v>
      </c>
      <c r="EC487" s="112">
        <f t="shared" si="140"/>
        <v>0</v>
      </c>
      <c r="ED487" s="29">
        <f t="shared" si="141"/>
        <v>0</v>
      </c>
      <c r="EE487" s="2">
        <f t="shared" si="142"/>
        <v>0</v>
      </c>
      <c r="EF487" s="46">
        <f t="shared" si="143"/>
        <v>0</v>
      </c>
      <c r="EG487" s="46">
        <f t="shared" si="144"/>
        <v>0</v>
      </c>
      <c r="EH487" s="29">
        <f t="shared" si="145"/>
        <v>0</v>
      </c>
      <c r="EI487" s="29">
        <f>IF(COUNT(I487:AD487)&lt;5,DZ487,SUMPRODUCT(LARGE(I487:AD487,{1,2,3,4,5}))/5)</f>
        <v>0</v>
      </c>
      <c r="EJ487" s="29">
        <f>IF(COUNT(I487:BE487)&lt;5,DZ487,SUMPRODUCT(LARGE(I487:BE487,{1,2,3,4,5}))/5)</f>
        <v>0</v>
      </c>
      <c r="EK487" s="29">
        <f t="shared" si="146"/>
        <v>0</v>
      </c>
      <c r="EL487" s="29">
        <f t="shared" si="148"/>
        <v>0</v>
      </c>
      <c r="EM487" s="116">
        <f t="shared" si="147"/>
        <v>0</v>
      </c>
      <c r="EQ487"/>
    </row>
    <row r="488" spans="1:147" x14ac:dyDescent="0.25">
      <c r="A488" s="59"/>
      <c r="B488" s="32"/>
      <c r="C488" s="5"/>
      <c r="D488" s="6"/>
      <c r="E488" s="6"/>
      <c r="F488" s="6"/>
      <c r="G488" s="5"/>
      <c r="H488" s="37"/>
      <c r="I488" s="36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227"/>
      <c r="Z488" s="228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4"/>
      <c r="AP488" s="7"/>
      <c r="AQ488" s="74"/>
      <c r="AR488" s="70"/>
      <c r="AS488" s="7"/>
      <c r="AT488" s="70"/>
      <c r="AU488" s="7"/>
      <c r="AV488" s="70"/>
      <c r="AW488" s="7"/>
      <c r="AX488" s="8"/>
      <c r="AY488" s="36"/>
      <c r="AZ488" s="7"/>
      <c r="BA488" s="7"/>
      <c r="BB488" s="7"/>
      <c r="BC488" s="74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101"/>
      <c r="CL488" s="74"/>
      <c r="CM488" s="74"/>
      <c r="CN488" s="74"/>
      <c r="CO488" s="70"/>
      <c r="CP488" s="74"/>
      <c r="CQ488" s="7"/>
      <c r="CR488" s="74"/>
      <c r="CS488" s="74"/>
      <c r="CT488" s="74"/>
      <c r="CU488" s="74"/>
      <c r="CV488" s="74"/>
      <c r="CW488" s="7"/>
      <c r="CX488" s="7"/>
      <c r="CY488" s="7"/>
      <c r="CZ488" s="7"/>
      <c r="DA488" s="7"/>
      <c r="DB488" s="7"/>
      <c r="DC488" s="7"/>
      <c r="DD488" s="7"/>
      <c r="DE488" s="74"/>
      <c r="DF488" s="74"/>
      <c r="DG488" s="74"/>
      <c r="DH488" s="74"/>
      <c r="DI488" s="74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8">
        <f t="shared" si="137"/>
        <v>0</v>
      </c>
      <c r="EA488" s="3">
        <f t="shared" si="138"/>
        <v>0</v>
      </c>
      <c r="EB488" s="2">
        <f t="shared" si="139"/>
        <v>0</v>
      </c>
      <c r="EC488" s="112">
        <f t="shared" si="140"/>
        <v>0</v>
      </c>
      <c r="ED488" s="29">
        <f t="shared" si="141"/>
        <v>0</v>
      </c>
      <c r="EE488" s="2">
        <f t="shared" si="142"/>
        <v>0</v>
      </c>
      <c r="EF488" s="46">
        <f t="shared" si="143"/>
        <v>0</v>
      </c>
      <c r="EG488" s="46">
        <f t="shared" si="144"/>
        <v>0</v>
      </c>
      <c r="EH488" s="2">
        <f t="shared" si="145"/>
        <v>0</v>
      </c>
      <c r="EI488" s="29">
        <f>IF(COUNT(I488:AD488)&lt;5,DZ488,SUMPRODUCT(LARGE(I488:AD488,{1,2,3,4,5}))/5)</f>
        <v>0</v>
      </c>
      <c r="EJ488" s="29">
        <f>IF(COUNT(I488:BE488)&lt;5,DZ488,SUMPRODUCT(LARGE(I488:BE488,{1,2,3,4,5}))/5)</f>
        <v>0</v>
      </c>
      <c r="EK488" s="29">
        <f t="shared" si="146"/>
        <v>0</v>
      </c>
      <c r="EL488" s="29">
        <f t="shared" si="148"/>
        <v>0</v>
      </c>
      <c r="EM488" s="116">
        <f t="shared" si="147"/>
        <v>0</v>
      </c>
      <c r="EQ488"/>
    </row>
    <row r="489" spans="1:147" x14ac:dyDescent="0.25">
      <c r="A489" s="59"/>
      <c r="B489" s="32"/>
      <c r="C489" s="5"/>
      <c r="D489" s="6"/>
      <c r="E489" s="6"/>
      <c r="F489" s="6"/>
      <c r="G489" s="5"/>
      <c r="H489" s="37"/>
      <c r="I489" s="107"/>
      <c r="J489" s="7"/>
      <c r="K489" s="74"/>
      <c r="L489" s="7"/>
      <c r="M489" s="74"/>
      <c r="N489" s="74"/>
      <c r="O489" s="7"/>
      <c r="P489" s="74"/>
      <c r="Q489" s="7"/>
      <c r="R489" s="74"/>
      <c r="S489" s="74"/>
      <c r="T489" s="7"/>
      <c r="U489" s="7"/>
      <c r="V489" s="74"/>
      <c r="W489" s="7"/>
      <c r="X489" s="74"/>
      <c r="Y489" s="227"/>
      <c r="Z489" s="228"/>
      <c r="AA489" s="74"/>
      <c r="AB489" s="74"/>
      <c r="AC489" s="74"/>
      <c r="AD489" s="74"/>
      <c r="AE489" s="7"/>
      <c r="AF489" s="74"/>
      <c r="AG489" s="74"/>
      <c r="AH489" s="7"/>
      <c r="AI489" s="7"/>
      <c r="AJ489" s="7"/>
      <c r="AK489" s="7"/>
      <c r="AL489" s="7"/>
      <c r="AM489" s="7"/>
      <c r="AN489" s="7"/>
      <c r="AO489" s="74"/>
      <c r="AP489" s="7"/>
      <c r="AQ489" s="74"/>
      <c r="AR489" s="101"/>
      <c r="AS489" s="7"/>
      <c r="AT489" s="101"/>
      <c r="AU489" s="7"/>
      <c r="AV489" s="101"/>
      <c r="AW489" s="7"/>
      <c r="AX489" s="8"/>
      <c r="AY489" s="36"/>
      <c r="AZ489" s="74"/>
      <c r="BA489" s="74"/>
      <c r="BB489" s="74"/>
      <c r="BC489" s="74"/>
      <c r="BD489" s="7"/>
      <c r="BE489" s="7"/>
      <c r="BF489" s="74"/>
      <c r="BG489" s="74"/>
      <c r="BH489" s="74"/>
      <c r="BI489" s="74"/>
      <c r="BJ489" s="74"/>
      <c r="BK489" s="7"/>
      <c r="BL489" s="74"/>
      <c r="BM489" s="7"/>
      <c r="BN489" s="74"/>
      <c r="BO489" s="74"/>
      <c r="BP489" s="7"/>
      <c r="BQ489" s="7"/>
      <c r="BR489" s="74"/>
      <c r="BS489" s="7"/>
      <c r="BT489" s="7"/>
      <c r="BU489" s="74"/>
      <c r="BV489" s="74"/>
      <c r="BW489" s="74"/>
      <c r="BX489" s="74"/>
      <c r="BY489" s="74"/>
      <c r="BZ489" s="74"/>
      <c r="CA489" s="7"/>
      <c r="CB489" s="74"/>
      <c r="CC489" s="74"/>
      <c r="CD489" s="74"/>
      <c r="CE489" s="7"/>
      <c r="CF489" s="74"/>
      <c r="CG489" s="74"/>
      <c r="CH489" s="7"/>
      <c r="CI489" s="74"/>
      <c r="CJ489" s="74"/>
      <c r="CK489" s="101"/>
      <c r="CL489" s="74"/>
      <c r="CM489" s="74"/>
      <c r="CN489" s="74"/>
      <c r="CO489" s="101"/>
      <c r="CP489" s="74"/>
      <c r="CQ489" s="74"/>
      <c r="CR489" s="74"/>
      <c r="CS489" s="74"/>
      <c r="CT489" s="74"/>
      <c r="CU489" s="74"/>
      <c r="CV489" s="74"/>
      <c r="CW489" s="74"/>
      <c r="CX489" s="7"/>
      <c r="CY489" s="7"/>
      <c r="CZ489" s="74"/>
      <c r="DA489" s="74"/>
      <c r="DB489" s="74"/>
      <c r="DC489" s="74"/>
      <c r="DD489" s="74"/>
      <c r="DE489" s="74"/>
      <c r="DF489" s="74"/>
      <c r="DG489" s="74"/>
      <c r="DH489" s="74"/>
      <c r="DI489" s="74"/>
      <c r="DJ489" s="7"/>
      <c r="DK489" s="74"/>
      <c r="DL489" s="7"/>
      <c r="DM489" s="74"/>
      <c r="DN489" s="74"/>
      <c r="DO489" s="74"/>
      <c r="DP489" s="74"/>
      <c r="DQ489" s="74"/>
      <c r="DR489" s="74"/>
      <c r="DS489" s="74"/>
      <c r="DT489" s="74"/>
      <c r="DU489" s="74"/>
      <c r="DV489" s="74"/>
      <c r="DW489" s="74"/>
      <c r="DX489" s="74"/>
      <c r="DY489" s="74"/>
      <c r="DZ489" s="8">
        <f t="shared" si="137"/>
        <v>0</v>
      </c>
      <c r="EA489" s="3">
        <f t="shared" si="138"/>
        <v>0</v>
      </c>
      <c r="EB489" s="2">
        <f t="shared" si="139"/>
        <v>0</v>
      </c>
      <c r="EC489" s="112">
        <f t="shared" si="140"/>
        <v>0</v>
      </c>
      <c r="ED489" s="29">
        <f t="shared" si="141"/>
        <v>0</v>
      </c>
      <c r="EE489" s="2">
        <f t="shared" si="142"/>
        <v>0</v>
      </c>
      <c r="EF489" s="46">
        <f t="shared" si="143"/>
        <v>0</v>
      </c>
      <c r="EG489" s="46">
        <f t="shared" si="144"/>
        <v>0</v>
      </c>
      <c r="EH489" s="29">
        <f t="shared" si="145"/>
        <v>0</v>
      </c>
      <c r="EI489" s="29">
        <f>IF(COUNT(I489:AD489)&lt;5,DZ489,SUMPRODUCT(LARGE(I489:AD489,{1,2,3,4,5}))/5)</f>
        <v>0</v>
      </c>
      <c r="EJ489" s="29">
        <f>IF(COUNT(I489:BE489)&lt;5,DZ489,SUMPRODUCT(LARGE(I489:BE489,{1,2,3,4,5}))/5)</f>
        <v>0</v>
      </c>
      <c r="EK489" s="29">
        <f t="shared" si="146"/>
        <v>0</v>
      </c>
      <c r="EL489" s="29">
        <f t="shared" si="148"/>
        <v>0</v>
      </c>
      <c r="EM489" s="116">
        <f t="shared" si="147"/>
        <v>0</v>
      </c>
      <c r="EQ489"/>
    </row>
    <row r="490" spans="1:147" x14ac:dyDescent="0.25">
      <c r="A490" s="59"/>
      <c r="B490" s="4"/>
      <c r="C490" s="5"/>
      <c r="D490" s="5"/>
      <c r="E490" s="6"/>
      <c r="F490" s="6"/>
      <c r="G490" s="5"/>
      <c r="H490" s="99"/>
      <c r="I490" s="36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227"/>
      <c r="Z490" s="228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4"/>
      <c r="AP490" s="7"/>
      <c r="AQ490" s="74"/>
      <c r="AR490" s="70"/>
      <c r="AS490" s="7"/>
      <c r="AT490" s="70"/>
      <c r="AU490" s="7"/>
      <c r="AV490" s="70"/>
      <c r="AW490" s="7"/>
      <c r="AX490" s="183"/>
      <c r="AY490" s="10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101"/>
      <c r="CL490" s="74"/>
      <c r="CM490" s="74"/>
      <c r="CN490" s="74"/>
      <c r="CO490" s="70"/>
      <c r="CP490" s="74"/>
      <c r="CQ490" s="7"/>
      <c r="CR490" s="74"/>
      <c r="CS490" s="74"/>
      <c r="CT490" s="74"/>
      <c r="CU490" s="74"/>
      <c r="CV490" s="74"/>
      <c r="CW490" s="7"/>
      <c r="CX490" s="7"/>
      <c r="CY490" s="7"/>
      <c r="CZ490" s="74"/>
      <c r="DA490" s="7"/>
      <c r="DB490" s="7"/>
      <c r="DC490" s="7"/>
      <c r="DD490" s="7"/>
      <c r="DE490" s="74"/>
      <c r="DF490" s="74"/>
      <c r="DG490" s="74"/>
      <c r="DH490" s="74"/>
      <c r="DI490" s="74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4"/>
      <c r="DU490" s="7"/>
      <c r="DV490" s="7"/>
      <c r="DW490" s="7"/>
      <c r="DX490" s="7"/>
      <c r="DY490" s="7"/>
      <c r="DZ490" s="8">
        <f t="shared" si="137"/>
        <v>0</v>
      </c>
      <c r="EA490" s="3">
        <f t="shared" si="138"/>
        <v>0</v>
      </c>
      <c r="EB490" s="2">
        <f t="shared" si="139"/>
        <v>0</v>
      </c>
      <c r="EC490" s="112">
        <f t="shared" si="140"/>
        <v>0</v>
      </c>
      <c r="ED490" s="29">
        <f t="shared" si="141"/>
        <v>0</v>
      </c>
      <c r="EE490" s="2">
        <f t="shared" si="142"/>
        <v>0</v>
      </c>
      <c r="EF490" s="46">
        <f t="shared" si="143"/>
        <v>0</v>
      </c>
      <c r="EG490" s="46">
        <f t="shared" si="144"/>
        <v>0</v>
      </c>
      <c r="EH490" s="2">
        <f t="shared" si="145"/>
        <v>0</v>
      </c>
      <c r="EI490" s="29">
        <f>IF(COUNT(I490:AD490)&lt;5,DZ490,SUMPRODUCT(LARGE(I490:AD490,{1,2,3,4,5}))/5)</f>
        <v>0</v>
      </c>
      <c r="EJ490" s="29">
        <f>IF(COUNT(I490:BE490)&lt;5,DZ490,SUMPRODUCT(LARGE(I490:BE490,{1,2,3,4,5}))/5)</f>
        <v>0</v>
      </c>
      <c r="EK490" s="29">
        <f t="shared" si="146"/>
        <v>0</v>
      </c>
      <c r="EL490" s="29">
        <f t="shared" si="148"/>
        <v>0</v>
      </c>
      <c r="EM490" s="116">
        <f t="shared" si="147"/>
        <v>0</v>
      </c>
      <c r="EQ490"/>
    </row>
    <row r="491" spans="1:147" x14ac:dyDescent="0.25">
      <c r="A491" s="59"/>
      <c r="B491" s="32"/>
      <c r="C491" s="5"/>
      <c r="D491" s="6"/>
      <c r="E491" s="6"/>
      <c r="F491" s="6"/>
      <c r="G491" s="5"/>
      <c r="H491" s="37"/>
      <c r="I491" s="36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227"/>
      <c r="Z491" s="228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4"/>
      <c r="AP491" s="7"/>
      <c r="AQ491" s="74"/>
      <c r="AR491" s="70"/>
      <c r="AS491" s="7"/>
      <c r="AT491" s="70"/>
      <c r="AU491" s="7"/>
      <c r="AV491" s="70"/>
      <c r="AW491" s="7"/>
      <c r="AX491" s="8"/>
      <c r="AY491" s="36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4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101"/>
      <c r="CL491" s="74"/>
      <c r="CM491" s="74"/>
      <c r="CN491" s="74"/>
      <c r="CO491" s="70"/>
      <c r="CP491" s="74"/>
      <c r="CQ491" s="7"/>
      <c r="CR491" s="74"/>
      <c r="CS491" s="74"/>
      <c r="CT491" s="74"/>
      <c r="CU491" s="74"/>
      <c r="CV491" s="7"/>
      <c r="CW491" s="7"/>
      <c r="CX491" s="7"/>
      <c r="CY491" s="7"/>
      <c r="CZ491" s="7"/>
      <c r="DA491" s="7"/>
      <c r="DB491" s="7"/>
      <c r="DC491" s="7"/>
      <c r="DD491" s="7"/>
      <c r="DE491" s="74"/>
      <c r="DF491" s="74"/>
      <c r="DG491" s="74"/>
      <c r="DH491" s="7"/>
      <c r="DI491" s="74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8">
        <f t="shared" si="137"/>
        <v>0</v>
      </c>
      <c r="EA491" s="3">
        <f t="shared" si="138"/>
        <v>0</v>
      </c>
      <c r="EB491" s="2">
        <f t="shared" si="139"/>
        <v>0</v>
      </c>
      <c r="EC491" s="112">
        <f t="shared" si="140"/>
        <v>0</v>
      </c>
      <c r="ED491" s="29">
        <f t="shared" si="141"/>
        <v>0</v>
      </c>
      <c r="EE491" s="2">
        <f t="shared" si="142"/>
        <v>0</v>
      </c>
      <c r="EF491" s="46">
        <f t="shared" si="143"/>
        <v>0</v>
      </c>
      <c r="EG491" s="46">
        <f t="shared" si="144"/>
        <v>0</v>
      </c>
      <c r="EH491" s="2">
        <f t="shared" si="145"/>
        <v>0</v>
      </c>
      <c r="EI491" s="29">
        <f>IF(COUNT(I491:AD491)&lt;5,DZ491,SUMPRODUCT(LARGE(I491:AD491,{1,2,3,4,5}))/5)</f>
        <v>0</v>
      </c>
      <c r="EJ491" s="29">
        <f>IF(COUNT(I491:BE491)&lt;5,DZ491,SUMPRODUCT(LARGE(I491:BE491,{1,2,3,4,5}))/5)</f>
        <v>0</v>
      </c>
      <c r="EK491" s="29">
        <f t="shared" si="146"/>
        <v>0</v>
      </c>
      <c r="EL491" s="29">
        <f t="shared" si="148"/>
        <v>0</v>
      </c>
      <c r="EM491" s="116">
        <f t="shared" si="147"/>
        <v>0</v>
      </c>
      <c r="EQ491"/>
    </row>
    <row r="492" spans="1:147" x14ac:dyDescent="0.25">
      <c r="A492" s="59"/>
      <c r="B492" s="32"/>
      <c r="C492" s="5"/>
      <c r="D492" s="6"/>
      <c r="E492" s="6"/>
      <c r="F492" s="6"/>
      <c r="G492" s="5"/>
      <c r="H492" s="37"/>
      <c r="I492" s="36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227"/>
      <c r="Z492" s="228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4"/>
      <c r="AP492" s="7"/>
      <c r="AQ492" s="74"/>
      <c r="AR492" s="70"/>
      <c r="AS492" s="7"/>
      <c r="AT492" s="70"/>
      <c r="AU492" s="7"/>
      <c r="AV492" s="70"/>
      <c r="AW492" s="7"/>
      <c r="AX492" s="183"/>
      <c r="AY492" s="10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4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101"/>
      <c r="CL492" s="74"/>
      <c r="CM492" s="74"/>
      <c r="CN492" s="74"/>
      <c r="CO492" s="70"/>
      <c r="CP492" s="74"/>
      <c r="CQ492" s="7"/>
      <c r="CR492" s="74"/>
      <c r="CS492" s="74"/>
      <c r="CT492" s="74"/>
      <c r="CU492" s="74"/>
      <c r="CV492" s="7"/>
      <c r="CW492" s="7"/>
      <c r="CX492" s="7"/>
      <c r="CY492" s="7"/>
      <c r="CZ492" s="7"/>
      <c r="DA492" s="7"/>
      <c r="DB492" s="7"/>
      <c r="DC492" s="7"/>
      <c r="DD492" s="7"/>
      <c r="DE492" s="74"/>
      <c r="DF492" s="74"/>
      <c r="DG492" s="74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8">
        <f t="shared" si="137"/>
        <v>0</v>
      </c>
      <c r="EA492" s="3">
        <f t="shared" si="138"/>
        <v>0</v>
      </c>
      <c r="EB492" s="2">
        <f t="shared" si="139"/>
        <v>0</v>
      </c>
      <c r="EC492" s="112">
        <f t="shared" si="140"/>
        <v>0</v>
      </c>
      <c r="ED492" s="29">
        <f t="shared" si="141"/>
        <v>0</v>
      </c>
      <c r="EE492" s="2">
        <f t="shared" si="142"/>
        <v>0</v>
      </c>
      <c r="EF492" s="46">
        <f t="shared" si="143"/>
        <v>0</v>
      </c>
      <c r="EG492" s="46">
        <f t="shared" si="144"/>
        <v>0</v>
      </c>
      <c r="EH492" s="2">
        <f t="shared" si="145"/>
        <v>0</v>
      </c>
      <c r="EI492" s="29">
        <f>IF(COUNT(I492:AD492)&lt;5,DZ492,SUMPRODUCT(LARGE(I492:AD492,{1,2,3,4,5}))/5)</f>
        <v>0</v>
      </c>
      <c r="EJ492" s="29">
        <f>IF(COUNT(I492:BE492)&lt;5,DZ492,SUMPRODUCT(LARGE(I492:BE492,{1,2,3,4,5}))/5)</f>
        <v>0</v>
      </c>
      <c r="EK492" s="29">
        <f t="shared" si="146"/>
        <v>0</v>
      </c>
      <c r="EL492" s="29">
        <f>(EK492*100)/101.59</f>
        <v>0</v>
      </c>
      <c r="EM492" s="116">
        <f t="shared" si="147"/>
        <v>0</v>
      </c>
      <c r="EQ492"/>
    </row>
    <row r="493" spans="1:147" x14ac:dyDescent="0.25">
      <c r="A493" s="59"/>
      <c r="B493" s="4"/>
      <c r="C493" s="5"/>
      <c r="D493" s="5"/>
      <c r="E493" s="6"/>
      <c r="F493" s="6"/>
      <c r="G493" s="5"/>
      <c r="H493" s="99"/>
      <c r="I493" s="36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227"/>
      <c r="Z493" s="228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4"/>
      <c r="AP493" s="7"/>
      <c r="AQ493" s="74"/>
      <c r="AR493" s="70"/>
      <c r="AS493" s="7"/>
      <c r="AT493" s="70"/>
      <c r="AU493" s="7"/>
      <c r="AV493" s="70"/>
      <c r="AW493" s="7"/>
      <c r="AX493" s="8"/>
      <c r="AY493" s="36"/>
      <c r="AZ493" s="74"/>
      <c r="BA493" s="7"/>
      <c r="BB493" s="74"/>
      <c r="BC493" s="7"/>
      <c r="BD493" s="7"/>
      <c r="BE493" s="7"/>
      <c r="BF493" s="7"/>
      <c r="BG493" s="7"/>
      <c r="BH493" s="7"/>
      <c r="BI493" s="7"/>
      <c r="BJ493" s="74"/>
      <c r="BK493" s="7"/>
      <c r="BL493" s="74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0"/>
      <c r="CJ493" s="7"/>
      <c r="CK493" s="101"/>
      <c r="CL493" s="74"/>
      <c r="CM493" s="74"/>
      <c r="CN493" s="74"/>
      <c r="CO493" s="70"/>
      <c r="CP493" s="74"/>
      <c r="CQ493" s="7"/>
      <c r="CR493" s="74"/>
      <c r="CS493" s="74"/>
      <c r="CT493" s="74"/>
      <c r="CU493" s="74"/>
      <c r="CV493" s="74"/>
      <c r="CW493" s="74"/>
      <c r="CX493" s="7"/>
      <c r="CY493" s="7"/>
      <c r="CZ493" s="7"/>
      <c r="DA493" s="7"/>
      <c r="DB493" s="7"/>
      <c r="DC493" s="7"/>
      <c r="DD493" s="7"/>
      <c r="DE493" s="74"/>
      <c r="DF493" s="74"/>
      <c r="DG493" s="74"/>
      <c r="DH493" s="74"/>
      <c r="DI493" s="74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8">
        <f t="shared" si="137"/>
        <v>0</v>
      </c>
      <c r="EA493" s="3">
        <f t="shared" si="138"/>
        <v>0</v>
      </c>
      <c r="EB493" s="2">
        <f t="shared" si="139"/>
        <v>0</v>
      </c>
      <c r="EC493" s="112">
        <f t="shared" si="140"/>
        <v>0</v>
      </c>
      <c r="ED493" s="29">
        <f t="shared" si="141"/>
        <v>0</v>
      </c>
      <c r="EE493" s="2">
        <f t="shared" si="142"/>
        <v>0</v>
      </c>
      <c r="EF493" s="46">
        <f t="shared" si="143"/>
        <v>0</v>
      </c>
      <c r="EG493" s="46">
        <f t="shared" si="144"/>
        <v>0</v>
      </c>
      <c r="EH493" s="2">
        <f t="shared" si="145"/>
        <v>0</v>
      </c>
      <c r="EI493" s="29">
        <f>IF(COUNT(I493:AD493)&lt;5,DZ493,SUMPRODUCT(LARGE(I493:AD493,{1,2,3,4,5}))/5)</f>
        <v>0</v>
      </c>
      <c r="EJ493" s="29">
        <f>IF(COUNT(I493:BE493)&lt;5,DZ493,SUMPRODUCT(LARGE(I493:BE493,{1,2,3,4,5}))/5)</f>
        <v>0</v>
      </c>
      <c r="EK493" s="29">
        <f t="shared" si="146"/>
        <v>0</v>
      </c>
      <c r="EL493" s="29">
        <f t="shared" ref="EL493:EL499" si="149">(EK493*100)/101.28</f>
        <v>0</v>
      </c>
      <c r="EM493" s="116">
        <f t="shared" si="147"/>
        <v>0</v>
      </c>
      <c r="EQ493"/>
    </row>
    <row r="494" spans="1:147" x14ac:dyDescent="0.25">
      <c r="A494" s="59"/>
      <c r="B494" s="54"/>
      <c r="C494" s="5"/>
      <c r="D494" s="6"/>
      <c r="E494" s="6"/>
      <c r="F494" s="6"/>
      <c r="G494" s="5"/>
      <c r="H494" s="37"/>
      <c r="I494" s="107"/>
      <c r="J494" s="7"/>
      <c r="K494" s="74"/>
      <c r="L494" s="7"/>
      <c r="M494" s="74"/>
      <c r="N494" s="74"/>
      <c r="O494" s="7"/>
      <c r="P494" s="74"/>
      <c r="Q494" s="7"/>
      <c r="R494" s="74"/>
      <c r="S494" s="74"/>
      <c r="T494" s="7"/>
      <c r="U494" s="7"/>
      <c r="V494" s="74"/>
      <c r="W494" s="7"/>
      <c r="X494" s="74"/>
      <c r="Y494" s="227"/>
      <c r="Z494" s="228"/>
      <c r="AA494" s="74"/>
      <c r="AB494" s="74"/>
      <c r="AC494" s="74"/>
      <c r="AD494" s="74"/>
      <c r="AE494" s="7"/>
      <c r="AF494" s="74"/>
      <c r="AG494" s="74"/>
      <c r="AH494" s="7"/>
      <c r="AI494" s="7"/>
      <c r="AJ494" s="7"/>
      <c r="AK494" s="7"/>
      <c r="AL494" s="7"/>
      <c r="AM494" s="7"/>
      <c r="AN494" s="7"/>
      <c r="AO494" s="74"/>
      <c r="AP494" s="7"/>
      <c r="AQ494" s="74"/>
      <c r="AR494" s="101"/>
      <c r="AS494" s="7"/>
      <c r="AT494" s="101"/>
      <c r="AU494" s="7"/>
      <c r="AV494" s="101"/>
      <c r="AW494" s="7"/>
      <c r="AX494" s="8"/>
      <c r="AY494" s="36"/>
      <c r="AZ494" s="74"/>
      <c r="BA494" s="74"/>
      <c r="BB494" s="74"/>
      <c r="BC494" s="74"/>
      <c r="BD494" s="7"/>
      <c r="BE494" s="7"/>
      <c r="BF494" s="74"/>
      <c r="BG494" s="74"/>
      <c r="BH494" s="74"/>
      <c r="BI494" s="74"/>
      <c r="BJ494" s="74"/>
      <c r="BK494" s="7"/>
      <c r="BL494" s="74"/>
      <c r="BM494" s="7"/>
      <c r="BN494" s="74"/>
      <c r="BO494" s="74"/>
      <c r="BP494" s="7"/>
      <c r="BQ494" s="7"/>
      <c r="BR494" s="74"/>
      <c r="BS494" s="7"/>
      <c r="BT494" s="7"/>
      <c r="BU494" s="74"/>
      <c r="BV494" s="74"/>
      <c r="BW494" s="74"/>
      <c r="BX494" s="74"/>
      <c r="BY494" s="74"/>
      <c r="BZ494" s="74"/>
      <c r="CA494" s="74"/>
      <c r="CB494" s="74"/>
      <c r="CC494" s="74"/>
      <c r="CD494" s="74"/>
      <c r="CE494" s="7"/>
      <c r="CF494" s="74"/>
      <c r="CG494" s="74"/>
      <c r="CH494" s="7"/>
      <c r="CI494" s="74"/>
      <c r="CJ494" s="74"/>
      <c r="CK494" s="101"/>
      <c r="CL494" s="74"/>
      <c r="CM494" s="74"/>
      <c r="CN494" s="74"/>
      <c r="CO494" s="101"/>
      <c r="CP494" s="74"/>
      <c r="CQ494" s="74"/>
      <c r="CR494" s="74"/>
      <c r="CS494" s="74"/>
      <c r="CT494" s="74"/>
      <c r="CU494" s="74"/>
      <c r="CV494" s="74"/>
      <c r="CW494" s="74"/>
      <c r="CX494" s="7"/>
      <c r="CY494" s="7"/>
      <c r="CZ494" s="74"/>
      <c r="DA494" s="74"/>
      <c r="DB494" s="74"/>
      <c r="DC494" s="74"/>
      <c r="DD494" s="74"/>
      <c r="DE494" s="74"/>
      <c r="DF494" s="74"/>
      <c r="DG494" s="74"/>
      <c r="DH494" s="74"/>
      <c r="DI494" s="74"/>
      <c r="DJ494" s="74"/>
      <c r="DK494" s="74"/>
      <c r="DL494" s="74"/>
      <c r="DM494" s="74"/>
      <c r="DN494" s="74"/>
      <c r="DO494" s="74"/>
      <c r="DP494" s="74"/>
      <c r="DQ494" s="74"/>
      <c r="DR494" s="74"/>
      <c r="DS494" s="74"/>
      <c r="DT494" s="74"/>
      <c r="DU494" s="74"/>
      <c r="DV494" s="74"/>
      <c r="DW494" s="74"/>
      <c r="DX494" s="74"/>
      <c r="DY494" s="74"/>
      <c r="DZ494" s="8">
        <f t="shared" si="137"/>
        <v>0</v>
      </c>
      <c r="EA494" s="3">
        <f t="shared" si="138"/>
        <v>0</v>
      </c>
      <c r="EB494" s="2">
        <f t="shared" si="139"/>
        <v>0</v>
      </c>
      <c r="EC494" s="112">
        <f t="shared" si="140"/>
        <v>0</v>
      </c>
      <c r="ED494" s="29">
        <f t="shared" si="141"/>
        <v>0</v>
      </c>
      <c r="EE494" s="2">
        <f t="shared" si="142"/>
        <v>0</v>
      </c>
      <c r="EF494" s="46">
        <f t="shared" si="143"/>
        <v>0</v>
      </c>
      <c r="EG494" s="46">
        <f t="shared" si="144"/>
        <v>0</v>
      </c>
      <c r="EH494" s="29">
        <f t="shared" si="145"/>
        <v>0</v>
      </c>
      <c r="EI494" s="29">
        <f>IF(COUNT(I494:AD494)&lt;5,DZ494,SUMPRODUCT(LARGE(I494:AD494,{1,2,3,4,5}))/5)</f>
        <v>0</v>
      </c>
      <c r="EJ494" s="112">
        <f>IF(COUNT(I494:BE494)&lt;5,DZ494,SUMPRODUCT(LARGE(I494:BE494,{1,2,3,4,5}))/5)</f>
        <v>0</v>
      </c>
      <c r="EK494" s="29">
        <f t="shared" si="146"/>
        <v>0</v>
      </c>
      <c r="EL494" s="29">
        <f t="shared" si="149"/>
        <v>0</v>
      </c>
      <c r="EM494" s="116">
        <f t="shared" si="147"/>
        <v>0</v>
      </c>
      <c r="EQ494"/>
    </row>
    <row r="495" spans="1:147" x14ac:dyDescent="0.25">
      <c r="A495" s="59"/>
      <c r="B495" s="32"/>
      <c r="C495" s="5"/>
      <c r="D495" s="6"/>
      <c r="E495" s="6"/>
      <c r="F495" s="6"/>
      <c r="G495" s="5"/>
      <c r="H495" s="37"/>
      <c r="I495" s="107"/>
      <c r="J495" s="7"/>
      <c r="K495" s="74"/>
      <c r="L495" s="7"/>
      <c r="M495" s="74"/>
      <c r="N495" s="74"/>
      <c r="O495" s="7"/>
      <c r="P495" s="74"/>
      <c r="Q495" s="7"/>
      <c r="R495" s="74"/>
      <c r="S495" s="74"/>
      <c r="T495" s="7"/>
      <c r="U495" s="7"/>
      <c r="V495" s="74"/>
      <c r="W495" s="7"/>
      <c r="X495" s="74"/>
      <c r="Y495" s="227"/>
      <c r="Z495" s="228"/>
      <c r="AA495" s="74"/>
      <c r="AB495" s="74"/>
      <c r="AC495" s="74"/>
      <c r="AD495" s="74"/>
      <c r="AE495" s="7"/>
      <c r="AF495" s="74"/>
      <c r="AG495" s="74"/>
      <c r="AH495" s="7"/>
      <c r="AI495" s="7"/>
      <c r="AJ495" s="7"/>
      <c r="AK495" s="7"/>
      <c r="AL495" s="7"/>
      <c r="AM495" s="7"/>
      <c r="AN495" s="7"/>
      <c r="AO495" s="74"/>
      <c r="AP495" s="7"/>
      <c r="AQ495" s="74"/>
      <c r="AR495" s="101"/>
      <c r="AS495" s="7"/>
      <c r="AT495" s="101"/>
      <c r="AU495" s="7"/>
      <c r="AV495" s="101"/>
      <c r="AW495" s="7"/>
      <c r="AX495" s="8"/>
      <c r="AY495" s="36"/>
      <c r="AZ495" s="74"/>
      <c r="BA495" s="74"/>
      <c r="BB495" s="74"/>
      <c r="BC495" s="74"/>
      <c r="BD495" s="7"/>
      <c r="BE495" s="7"/>
      <c r="BF495" s="74"/>
      <c r="BG495" s="74"/>
      <c r="BH495" s="74"/>
      <c r="BI495" s="74"/>
      <c r="BJ495" s="74"/>
      <c r="BK495" s="7"/>
      <c r="BL495" s="74"/>
      <c r="BM495" s="7"/>
      <c r="BN495" s="74"/>
      <c r="BO495" s="74"/>
      <c r="BP495" s="7"/>
      <c r="BQ495" s="7"/>
      <c r="BR495" s="74"/>
      <c r="BS495" s="7"/>
      <c r="BT495" s="7"/>
      <c r="BU495" s="74"/>
      <c r="BV495" s="74"/>
      <c r="BW495" s="74"/>
      <c r="BX495" s="74"/>
      <c r="BY495" s="74"/>
      <c r="BZ495" s="74"/>
      <c r="CA495" s="74"/>
      <c r="CB495" s="74"/>
      <c r="CC495" s="74"/>
      <c r="CD495" s="74"/>
      <c r="CE495" s="7"/>
      <c r="CF495" s="74"/>
      <c r="CG495" s="74"/>
      <c r="CH495" s="7"/>
      <c r="CI495" s="74"/>
      <c r="CJ495" s="74"/>
      <c r="CK495" s="101"/>
      <c r="CL495" s="74"/>
      <c r="CM495" s="74"/>
      <c r="CN495" s="74"/>
      <c r="CO495" s="101"/>
      <c r="CP495" s="74"/>
      <c r="CQ495" s="74"/>
      <c r="CR495" s="74"/>
      <c r="CS495" s="74"/>
      <c r="CT495" s="74"/>
      <c r="CU495" s="74"/>
      <c r="CV495" s="74"/>
      <c r="CW495" s="74"/>
      <c r="CX495" s="7"/>
      <c r="CY495" s="7"/>
      <c r="CZ495" s="74"/>
      <c r="DA495" s="74"/>
      <c r="DB495" s="74"/>
      <c r="DC495" s="74"/>
      <c r="DD495" s="74"/>
      <c r="DE495" s="74"/>
      <c r="DF495" s="74"/>
      <c r="DG495" s="74"/>
      <c r="DH495" s="74"/>
      <c r="DI495" s="74"/>
      <c r="DJ495" s="74"/>
      <c r="DK495" s="74"/>
      <c r="DL495" s="74"/>
      <c r="DM495" s="74"/>
      <c r="DN495" s="74"/>
      <c r="DO495" s="74"/>
      <c r="DP495" s="74"/>
      <c r="DQ495" s="74"/>
      <c r="DR495" s="74"/>
      <c r="DS495" s="74"/>
      <c r="DT495" s="74"/>
      <c r="DU495" s="74"/>
      <c r="DV495" s="74"/>
      <c r="DW495" s="74"/>
      <c r="DX495" s="74"/>
      <c r="DY495" s="74"/>
      <c r="DZ495" s="8">
        <f t="shared" si="137"/>
        <v>0</v>
      </c>
      <c r="EA495" s="3">
        <f t="shared" si="138"/>
        <v>0</v>
      </c>
      <c r="EB495" s="2">
        <f t="shared" si="139"/>
        <v>0</v>
      </c>
      <c r="EC495" s="112">
        <f t="shared" si="140"/>
        <v>0</v>
      </c>
      <c r="ED495" s="29">
        <f t="shared" si="141"/>
        <v>0</v>
      </c>
      <c r="EE495" s="2">
        <f t="shared" si="142"/>
        <v>0</v>
      </c>
      <c r="EF495" s="46">
        <f t="shared" si="143"/>
        <v>0</v>
      </c>
      <c r="EG495" s="46">
        <f t="shared" si="144"/>
        <v>0</v>
      </c>
      <c r="EH495" s="29">
        <f t="shared" si="145"/>
        <v>0</v>
      </c>
      <c r="EI495" s="29">
        <f>IF(COUNT(I495:AD495)&lt;5,DZ495,SUMPRODUCT(LARGE(I495:AD495,{1,2,3,4,5}))/5)</f>
        <v>0</v>
      </c>
      <c r="EJ495" s="29">
        <f>IF(COUNT(I495:BE495)&lt;5,DZ495,SUMPRODUCT(LARGE(I495:BE495,{1,2,3,4,5}))/5)</f>
        <v>0</v>
      </c>
      <c r="EK495" s="29">
        <f t="shared" si="146"/>
        <v>0</v>
      </c>
      <c r="EL495" s="29">
        <f t="shared" si="149"/>
        <v>0</v>
      </c>
      <c r="EM495" s="116">
        <f t="shared" si="147"/>
        <v>0</v>
      </c>
      <c r="EQ495"/>
    </row>
    <row r="496" spans="1:147" x14ac:dyDescent="0.25">
      <c r="A496" s="59"/>
      <c r="B496" s="32"/>
      <c r="C496" s="5"/>
      <c r="D496" s="6"/>
      <c r="E496" s="6"/>
      <c r="F496" s="6"/>
      <c r="G496" s="5"/>
      <c r="H496" s="37"/>
      <c r="I496" s="107"/>
      <c r="J496" s="7"/>
      <c r="K496" s="74"/>
      <c r="L496" s="7"/>
      <c r="M496" s="74"/>
      <c r="N496" s="74"/>
      <c r="O496" s="7"/>
      <c r="P496" s="74"/>
      <c r="Q496" s="7"/>
      <c r="R496" s="74"/>
      <c r="S496" s="74"/>
      <c r="T496" s="7"/>
      <c r="U496" s="7"/>
      <c r="V496" s="74"/>
      <c r="W496" s="7"/>
      <c r="X496" s="74"/>
      <c r="Y496" s="227"/>
      <c r="Z496" s="228"/>
      <c r="AA496" s="74"/>
      <c r="AB496" s="74"/>
      <c r="AC496" s="74"/>
      <c r="AD496" s="74"/>
      <c r="AE496" s="7"/>
      <c r="AF496" s="74"/>
      <c r="AG496" s="74"/>
      <c r="AH496" s="7"/>
      <c r="AI496" s="7"/>
      <c r="AJ496" s="7"/>
      <c r="AK496" s="7"/>
      <c r="AL496" s="7"/>
      <c r="AM496" s="7"/>
      <c r="AN496" s="7"/>
      <c r="AO496" s="74"/>
      <c r="AP496" s="7"/>
      <c r="AQ496" s="74"/>
      <c r="AR496" s="101"/>
      <c r="AS496" s="7"/>
      <c r="AT496" s="101"/>
      <c r="AU496" s="7"/>
      <c r="AV496" s="101"/>
      <c r="AW496" s="7"/>
      <c r="AX496" s="8"/>
      <c r="AY496" s="36"/>
      <c r="AZ496" s="74"/>
      <c r="BA496" s="74"/>
      <c r="BB496" s="74"/>
      <c r="BC496" s="74"/>
      <c r="BD496" s="7"/>
      <c r="BE496" s="7"/>
      <c r="BF496" s="74"/>
      <c r="BG496" s="74"/>
      <c r="BH496" s="74"/>
      <c r="BI496" s="74"/>
      <c r="BJ496" s="74"/>
      <c r="BK496" s="7"/>
      <c r="BL496" s="74"/>
      <c r="BM496" s="7"/>
      <c r="BN496" s="74"/>
      <c r="BO496" s="74"/>
      <c r="BP496" s="7"/>
      <c r="BQ496" s="7"/>
      <c r="BR496" s="74"/>
      <c r="BS496" s="7"/>
      <c r="BT496" s="7"/>
      <c r="BU496" s="74"/>
      <c r="BV496" s="74"/>
      <c r="BW496" s="74"/>
      <c r="BX496" s="74"/>
      <c r="BY496" s="74"/>
      <c r="BZ496" s="74"/>
      <c r="CA496" s="74"/>
      <c r="CB496" s="74"/>
      <c r="CC496" s="74"/>
      <c r="CD496" s="74"/>
      <c r="CE496" s="7"/>
      <c r="CF496" s="74"/>
      <c r="CG496" s="74"/>
      <c r="CH496" s="7"/>
      <c r="CI496" s="74"/>
      <c r="CJ496" s="74"/>
      <c r="CK496" s="101"/>
      <c r="CL496" s="74"/>
      <c r="CM496" s="74"/>
      <c r="CN496" s="74"/>
      <c r="CO496" s="101"/>
      <c r="CP496" s="74"/>
      <c r="CQ496" s="74"/>
      <c r="CR496" s="74"/>
      <c r="CS496" s="74"/>
      <c r="CT496" s="74"/>
      <c r="CU496" s="74"/>
      <c r="CV496" s="74"/>
      <c r="CW496" s="74"/>
      <c r="CX496" s="7"/>
      <c r="CY496" s="7"/>
      <c r="CZ496" s="74"/>
      <c r="DA496" s="74"/>
      <c r="DB496" s="74"/>
      <c r="DC496" s="74"/>
      <c r="DD496" s="74"/>
      <c r="DE496" s="74"/>
      <c r="DF496" s="74"/>
      <c r="DG496" s="74"/>
      <c r="DH496" s="74"/>
      <c r="DI496" s="74"/>
      <c r="DJ496" s="74"/>
      <c r="DK496" s="74"/>
      <c r="DL496" s="74"/>
      <c r="DM496" s="74"/>
      <c r="DN496" s="74"/>
      <c r="DO496" s="74"/>
      <c r="DP496" s="74"/>
      <c r="DQ496" s="74"/>
      <c r="DR496" s="74"/>
      <c r="DS496" s="74"/>
      <c r="DT496" s="100"/>
      <c r="DU496" s="74"/>
      <c r="DV496" s="74"/>
      <c r="DW496" s="74"/>
      <c r="DX496" s="74"/>
      <c r="DY496" s="74"/>
      <c r="DZ496" s="8">
        <f t="shared" si="137"/>
        <v>0</v>
      </c>
      <c r="EA496" s="22">
        <f t="shared" si="138"/>
        <v>0</v>
      </c>
      <c r="EB496" s="56">
        <f t="shared" si="139"/>
        <v>0</v>
      </c>
      <c r="EC496" s="112">
        <f t="shared" si="140"/>
        <v>0</v>
      </c>
      <c r="ED496" s="112">
        <f t="shared" si="141"/>
        <v>0</v>
      </c>
      <c r="EE496" s="56">
        <f t="shared" si="142"/>
        <v>0</v>
      </c>
      <c r="EF496" s="111">
        <f t="shared" si="143"/>
        <v>0</v>
      </c>
      <c r="EG496" s="111">
        <f t="shared" si="144"/>
        <v>0</v>
      </c>
      <c r="EH496" s="112">
        <f t="shared" si="145"/>
        <v>0</v>
      </c>
      <c r="EI496" s="112">
        <f>IF(COUNT(I496:AD496)&lt;5,DZ496,SUMPRODUCT(LARGE(I496:AD496,{1,2,3,4,5}))/5)</f>
        <v>0</v>
      </c>
      <c r="EJ496" s="29">
        <f>IF(COUNT(I496:BE496)&lt;5,DZ496,SUMPRODUCT(LARGE(I496:BE496,{1,2,3,4,5}))/5)</f>
        <v>0</v>
      </c>
      <c r="EK496" s="112">
        <f t="shared" si="146"/>
        <v>0</v>
      </c>
      <c r="EL496" s="112">
        <f t="shared" si="149"/>
        <v>0</v>
      </c>
      <c r="EM496" s="116">
        <f t="shared" si="147"/>
        <v>0</v>
      </c>
      <c r="EQ496"/>
    </row>
    <row r="497" spans="1:147" x14ac:dyDescent="0.25">
      <c r="A497" s="59"/>
      <c r="B497" s="4"/>
      <c r="C497" s="5"/>
      <c r="D497" s="5"/>
      <c r="E497" s="6"/>
      <c r="F497" s="6"/>
      <c r="G497" s="5"/>
      <c r="H497" s="99"/>
      <c r="I497" s="36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227"/>
      <c r="Z497" s="228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4"/>
      <c r="AP497" s="7"/>
      <c r="AQ497" s="74"/>
      <c r="AR497" s="70"/>
      <c r="AS497" s="7"/>
      <c r="AT497" s="70"/>
      <c r="AU497" s="7"/>
      <c r="AV497" s="70"/>
      <c r="AW497" s="7"/>
      <c r="AX497" s="183"/>
      <c r="AY497" s="10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101"/>
      <c r="CL497" s="74"/>
      <c r="CM497" s="74"/>
      <c r="CN497" s="74"/>
      <c r="CO497" s="70"/>
      <c r="CP497" s="74"/>
      <c r="CQ497" s="7"/>
      <c r="CR497" s="74"/>
      <c r="CS497" s="74"/>
      <c r="CT497" s="74"/>
      <c r="CU497" s="74"/>
      <c r="CV497" s="74"/>
      <c r="CW497" s="7"/>
      <c r="CX497" s="7"/>
      <c r="CY497" s="7"/>
      <c r="CZ497" s="7"/>
      <c r="DA497" s="7"/>
      <c r="DB497" s="7"/>
      <c r="DC497" s="7"/>
      <c r="DD497" s="7"/>
      <c r="DE497" s="74"/>
      <c r="DF497" s="74"/>
      <c r="DG497" s="74"/>
      <c r="DH497" s="74"/>
      <c r="DI497" s="74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8">
        <f t="shared" si="137"/>
        <v>0</v>
      </c>
      <c r="EA497" s="3">
        <f t="shared" si="138"/>
        <v>0</v>
      </c>
      <c r="EB497" s="2">
        <f t="shared" si="139"/>
        <v>0</v>
      </c>
      <c r="EC497" s="112">
        <f t="shared" si="140"/>
        <v>0</v>
      </c>
      <c r="ED497" s="29">
        <f t="shared" si="141"/>
        <v>0</v>
      </c>
      <c r="EE497" s="2">
        <f t="shared" si="142"/>
        <v>0</v>
      </c>
      <c r="EF497" s="46">
        <f t="shared" si="143"/>
        <v>0</v>
      </c>
      <c r="EG497" s="46">
        <f t="shared" si="144"/>
        <v>0</v>
      </c>
      <c r="EH497" s="2">
        <f t="shared" si="145"/>
        <v>0</v>
      </c>
      <c r="EI497" s="29">
        <f>IF(COUNT(I497:AD497)&lt;5,DZ497,SUMPRODUCT(LARGE(I497:AD497,{1,2,3,4,5}))/5)</f>
        <v>0</v>
      </c>
      <c r="EJ497" s="29">
        <f>IF(COUNT(I497:BE497)&lt;5,DZ497,SUMPRODUCT(LARGE(I497:BE497,{1,2,3,4,5}))/5)</f>
        <v>0</v>
      </c>
      <c r="EK497" s="29">
        <f t="shared" si="146"/>
        <v>0</v>
      </c>
      <c r="EL497" s="29">
        <f t="shared" si="149"/>
        <v>0</v>
      </c>
      <c r="EM497" s="116">
        <f t="shared" si="147"/>
        <v>0</v>
      </c>
      <c r="EQ497"/>
    </row>
    <row r="498" spans="1:147" x14ac:dyDescent="0.25">
      <c r="A498" s="59"/>
      <c r="B498" s="4"/>
      <c r="C498" s="5"/>
      <c r="D498" s="5"/>
      <c r="E498" s="6"/>
      <c r="F498" s="6"/>
      <c r="G498" s="5"/>
      <c r="H498" s="99"/>
      <c r="I498" s="107"/>
      <c r="J498" s="7"/>
      <c r="K498" s="74"/>
      <c r="L498" s="7"/>
      <c r="M498" s="74"/>
      <c r="N498" s="74"/>
      <c r="O498" s="7"/>
      <c r="P498" s="74"/>
      <c r="Q498" s="7"/>
      <c r="R498" s="74"/>
      <c r="S498" s="74"/>
      <c r="T498" s="7"/>
      <c r="U498" s="7"/>
      <c r="V498" s="74"/>
      <c r="W498" s="7"/>
      <c r="X498" s="74"/>
      <c r="Y498" s="227"/>
      <c r="Z498" s="228"/>
      <c r="AA498" s="74"/>
      <c r="AB498" s="74"/>
      <c r="AC498" s="74"/>
      <c r="AD498" s="74"/>
      <c r="AE498" s="7"/>
      <c r="AF498" s="74"/>
      <c r="AG498" s="74"/>
      <c r="AH498" s="7"/>
      <c r="AI498" s="7"/>
      <c r="AJ498" s="7"/>
      <c r="AK498" s="7"/>
      <c r="AL498" s="7"/>
      <c r="AM498" s="7"/>
      <c r="AN498" s="7"/>
      <c r="AO498" s="74"/>
      <c r="AP498" s="7"/>
      <c r="AQ498" s="74"/>
      <c r="AR498" s="101"/>
      <c r="AS498" s="7"/>
      <c r="AT498" s="101"/>
      <c r="AU498" s="7"/>
      <c r="AV498" s="101"/>
      <c r="AW498" s="7"/>
      <c r="AX498" s="183"/>
      <c r="AY498" s="107"/>
      <c r="AZ498" s="74"/>
      <c r="BA498" s="74"/>
      <c r="BB498" s="74"/>
      <c r="BC498" s="74"/>
      <c r="BD498" s="7"/>
      <c r="BE498" s="7"/>
      <c r="BF498" s="74"/>
      <c r="BG498" s="7"/>
      <c r="BH498" s="74"/>
      <c r="BI498" s="74"/>
      <c r="BJ498" s="74"/>
      <c r="BK498" s="7"/>
      <c r="BL498" s="74"/>
      <c r="BM498" s="7"/>
      <c r="BN498" s="74"/>
      <c r="BO498" s="74"/>
      <c r="BP498" s="7"/>
      <c r="BQ498" s="7"/>
      <c r="BR498" s="74"/>
      <c r="BS498" s="7"/>
      <c r="BT498" s="7"/>
      <c r="BU498" s="74"/>
      <c r="BV498" s="74"/>
      <c r="BW498" s="74"/>
      <c r="BX498" s="74"/>
      <c r="BY498" s="74"/>
      <c r="BZ498" s="74"/>
      <c r="CA498" s="7"/>
      <c r="CB498" s="74"/>
      <c r="CC498" s="74"/>
      <c r="CD498" s="74"/>
      <c r="CE498" s="7"/>
      <c r="CF498" s="74"/>
      <c r="CG498" s="7"/>
      <c r="CH498" s="7"/>
      <c r="CI498" s="74"/>
      <c r="CJ498" s="74"/>
      <c r="CK498" s="101"/>
      <c r="CL498" s="74"/>
      <c r="CM498" s="74"/>
      <c r="CN498" s="74"/>
      <c r="CO498" s="101"/>
      <c r="CP498" s="74"/>
      <c r="CQ498" s="74"/>
      <c r="CR498" s="74"/>
      <c r="CS498" s="74"/>
      <c r="CT498" s="74"/>
      <c r="CU498" s="74"/>
      <c r="CV498" s="74"/>
      <c r="CW498" s="74"/>
      <c r="CX498" s="7"/>
      <c r="CY498" s="7"/>
      <c r="CZ498" s="74"/>
      <c r="DA498" s="74"/>
      <c r="DB498" s="74"/>
      <c r="DC498" s="74"/>
      <c r="DD498" s="74"/>
      <c r="DE498" s="74"/>
      <c r="DF498" s="74"/>
      <c r="DG498" s="74"/>
      <c r="DH498" s="74"/>
      <c r="DI498" s="74"/>
      <c r="DJ498" s="74"/>
      <c r="DK498" s="74"/>
      <c r="DL498" s="74"/>
      <c r="DM498" s="74"/>
      <c r="DN498" s="74"/>
      <c r="DO498" s="74"/>
      <c r="DP498" s="74"/>
      <c r="DQ498" s="74"/>
      <c r="DR498" s="74"/>
      <c r="DS498" s="74"/>
      <c r="DT498" s="74"/>
      <c r="DU498" s="74"/>
      <c r="DV498" s="74"/>
      <c r="DW498" s="74"/>
      <c r="DX498" s="74"/>
      <c r="DY498" s="74"/>
      <c r="DZ498" s="8">
        <f t="shared" si="137"/>
        <v>0</v>
      </c>
      <c r="EA498" s="3">
        <f t="shared" si="138"/>
        <v>0</v>
      </c>
      <c r="EB498" s="2">
        <f t="shared" si="139"/>
        <v>0</v>
      </c>
      <c r="EC498" s="112">
        <f t="shared" si="140"/>
        <v>0</v>
      </c>
      <c r="ED498" s="29">
        <f t="shared" si="141"/>
        <v>0</v>
      </c>
      <c r="EE498" s="2">
        <f t="shared" si="142"/>
        <v>0</v>
      </c>
      <c r="EF498" s="46">
        <f t="shared" si="143"/>
        <v>0</v>
      </c>
      <c r="EG498" s="46">
        <f t="shared" si="144"/>
        <v>0</v>
      </c>
      <c r="EH498" s="29">
        <f t="shared" si="145"/>
        <v>0</v>
      </c>
      <c r="EI498" s="29">
        <f>IF(COUNT(I498:AD498)&lt;5,DZ498,SUMPRODUCT(LARGE(I498:AD498,{1,2,3,4,5}))/5)</f>
        <v>0</v>
      </c>
      <c r="EJ498" s="29">
        <f>IF(COUNT(I498:BE498)&lt;5,DZ498,SUMPRODUCT(LARGE(I498:BE498,{1,2,3,4,5}))/5)</f>
        <v>0</v>
      </c>
      <c r="EK498" s="29">
        <f t="shared" si="146"/>
        <v>0</v>
      </c>
      <c r="EL498" s="29">
        <f t="shared" si="149"/>
        <v>0</v>
      </c>
      <c r="EM498" s="116">
        <f t="shared" si="147"/>
        <v>0</v>
      </c>
      <c r="EQ498"/>
    </row>
    <row r="499" spans="1:147" x14ac:dyDescent="0.25">
      <c r="A499" s="59"/>
      <c r="B499" s="32"/>
      <c r="C499" s="5"/>
      <c r="D499" s="6"/>
      <c r="E499" s="6"/>
      <c r="F499" s="6"/>
      <c r="G499" s="5"/>
      <c r="H499" s="37"/>
      <c r="I499" s="107"/>
      <c r="J499" s="7"/>
      <c r="K499" s="74"/>
      <c r="L499" s="7"/>
      <c r="M499" s="74"/>
      <c r="N499" s="74"/>
      <c r="O499" s="7"/>
      <c r="P499" s="74"/>
      <c r="Q499" s="7"/>
      <c r="R499" s="74"/>
      <c r="S499" s="74"/>
      <c r="T499" s="7"/>
      <c r="U499" s="7"/>
      <c r="V499" s="74"/>
      <c r="W499" s="7"/>
      <c r="X499" s="74"/>
      <c r="Y499" s="227"/>
      <c r="Z499" s="228"/>
      <c r="AA499" s="74"/>
      <c r="AB499" s="74"/>
      <c r="AC499" s="74"/>
      <c r="AD499" s="74"/>
      <c r="AE499" s="7"/>
      <c r="AF499" s="74"/>
      <c r="AG499" s="74"/>
      <c r="AH499" s="7"/>
      <c r="AI499" s="7"/>
      <c r="AJ499" s="7"/>
      <c r="AK499" s="7"/>
      <c r="AL499" s="7"/>
      <c r="AM499" s="7"/>
      <c r="AN499" s="7"/>
      <c r="AO499" s="74"/>
      <c r="AP499" s="7"/>
      <c r="AQ499" s="74"/>
      <c r="AR499" s="101"/>
      <c r="AS499" s="7"/>
      <c r="AT499" s="101"/>
      <c r="AU499" s="7"/>
      <c r="AV499" s="101"/>
      <c r="AW499" s="7"/>
      <c r="AX499" s="183"/>
      <c r="AY499" s="107"/>
      <c r="AZ499" s="74"/>
      <c r="BA499" s="74"/>
      <c r="BB499" s="74"/>
      <c r="BC499" s="74"/>
      <c r="BD499" s="7"/>
      <c r="BE499" s="7"/>
      <c r="BF499" s="74"/>
      <c r="BG499" s="74"/>
      <c r="BH499" s="74"/>
      <c r="BI499" s="74"/>
      <c r="BJ499" s="74"/>
      <c r="BK499" s="7"/>
      <c r="BL499" s="74"/>
      <c r="BM499" s="7"/>
      <c r="BN499" s="74"/>
      <c r="BO499" s="74"/>
      <c r="BP499" s="7"/>
      <c r="BQ499" s="7"/>
      <c r="BR499" s="74"/>
      <c r="BS499" s="7"/>
      <c r="BT499" s="7"/>
      <c r="BU499" s="74"/>
      <c r="BV499" s="74"/>
      <c r="BW499" s="74"/>
      <c r="BX499" s="74"/>
      <c r="BY499" s="74"/>
      <c r="BZ499" s="74"/>
      <c r="CA499" s="74"/>
      <c r="CB499" s="74"/>
      <c r="CC499" s="74"/>
      <c r="CD499" s="74"/>
      <c r="CE499" s="7"/>
      <c r="CF499" s="74"/>
      <c r="CG499" s="74"/>
      <c r="CH499" s="7"/>
      <c r="CI499" s="74"/>
      <c r="CJ499" s="74"/>
      <c r="CK499" s="101"/>
      <c r="CL499" s="74"/>
      <c r="CM499" s="74"/>
      <c r="CN499" s="74"/>
      <c r="CO499" s="101"/>
      <c r="CP499" s="74"/>
      <c r="CQ499" s="74"/>
      <c r="CR499" s="74"/>
      <c r="CS499" s="74"/>
      <c r="CT499" s="74"/>
      <c r="CU499" s="74"/>
      <c r="CV499" s="74"/>
      <c r="CW499" s="74"/>
      <c r="CX499" s="7"/>
      <c r="CY499" s="7"/>
      <c r="CZ499" s="74"/>
      <c r="DA499" s="74"/>
      <c r="DB499" s="74"/>
      <c r="DC499" s="74"/>
      <c r="DD499" s="74"/>
      <c r="DE499" s="74"/>
      <c r="DF499" s="74"/>
      <c r="DG499" s="74"/>
      <c r="DH499" s="74"/>
      <c r="DI499" s="74"/>
      <c r="DJ499" s="74"/>
      <c r="DK499" s="74"/>
      <c r="DL499" s="74"/>
      <c r="DM499" s="74"/>
      <c r="DN499" s="74"/>
      <c r="DO499" s="74"/>
      <c r="DP499" s="74"/>
      <c r="DQ499" s="74"/>
      <c r="DR499" s="74"/>
      <c r="DS499" s="74"/>
      <c r="DT499" s="74"/>
      <c r="DU499" s="74"/>
      <c r="DV499" s="74"/>
      <c r="DW499" s="74"/>
      <c r="DX499" s="74"/>
      <c r="DY499" s="74"/>
      <c r="DZ499" s="8">
        <f t="shared" si="137"/>
        <v>0</v>
      </c>
      <c r="EA499" s="3">
        <f t="shared" si="138"/>
        <v>0</v>
      </c>
      <c r="EB499" s="2">
        <f t="shared" si="139"/>
        <v>0</v>
      </c>
      <c r="EC499" s="112">
        <f t="shared" si="140"/>
        <v>0</v>
      </c>
      <c r="ED499" s="29">
        <f t="shared" si="141"/>
        <v>0</v>
      </c>
      <c r="EE499" s="2">
        <f t="shared" si="142"/>
        <v>0</v>
      </c>
      <c r="EF499" s="46">
        <f t="shared" si="143"/>
        <v>0</v>
      </c>
      <c r="EG499" s="46">
        <f t="shared" si="144"/>
        <v>0</v>
      </c>
      <c r="EH499" s="2">
        <f t="shared" si="145"/>
        <v>0</v>
      </c>
      <c r="EI499" s="29">
        <f>IF(COUNT(I499:AD499)&lt;5,DZ499,SUMPRODUCT(LARGE(I499:AD499,{1,2,3,4,5}))/5)</f>
        <v>0</v>
      </c>
      <c r="EJ499" s="29">
        <f>IF(COUNT(I499:BE499)&lt;5,DZ499,SUMPRODUCT(LARGE(I499:BE499,{1,2,3,4,5}))/5)</f>
        <v>0</v>
      </c>
      <c r="EK499" s="29">
        <f t="shared" si="146"/>
        <v>0</v>
      </c>
      <c r="EL499" s="29">
        <f t="shared" si="149"/>
        <v>0</v>
      </c>
      <c r="EM499" s="116">
        <f t="shared" si="147"/>
        <v>0</v>
      </c>
      <c r="EQ499"/>
    </row>
    <row r="500" spans="1:147" x14ac:dyDescent="0.25">
      <c r="A500" s="59"/>
      <c r="B500" s="32"/>
      <c r="C500" s="5"/>
      <c r="D500" s="6"/>
      <c r="E500" s="6"/>
      <c r="F500" s="6"/>
      <c r="G500" s="5"/>
      <c r="H500" s="99"/>
      <c r="I500" s="36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227"/>
      <c r="Z500" s="228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4"/>
      <c r="AP500" s="7"/>
      <c r="AQ500" s="7"/>
      <c r="AR500" s="70"/>
      <c r="AS500" s="7"/>
      <c r="AT500" s="70"/>
      <c r="AU500" s="7"/>
      <c r="AV500" s="70"/>
      <c r="AW500" s="7"/>
      <c r="AX500" s="8"/>
      <c r="AY500" s="36"/>
      <c r="AZ500" s="70"/>
      <c r="BA500" s="7"/>
      <c r="BB500" s="7"/>
      <c r="BC500" s="7"/>
      <c r="BD500" s="7"/>
      <c r="BE500" s="7"/>
      <c r="BF500" s="7"/>
      <c r="BG500" s="7"/>
      <c r="BH500" s="7"/>
      <c r="BI500" s="7"/>
      <c r="BJ500" s="74"/>
      <c r="BK500" s="7"/>
      <c r="BL500" s="74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4"/>
      <c r="CE500" s="7"/>
      <c r="CF500" s="7"/>
      <c r="CG500" s="7"/>
      <c r="CH500" s="7"/>
      <c r="CI500" s="7"/>
      <c r="CJ500" s="7"/>
      <c r="CK500" s="101"/>
      <c r="CL500" s="74"/>
      <c r="CM500" s="7"/>
      <c r="CN500" s="74"/>
      <c r="CO500" s="70"/>
      <c r="CP500" s="74"/>
      <c r="CQ500" s="7"/>
      <c r="CR500" s="74"/>
      <c r="CS500" s="74"/>
      <c r="CT500" s="74"/>
      <c r="CU500" s="74"/>
      <c r="CV500" s="74"/>
      <c r="CW500" s="7"/>
      <c r="CX500" s="7"/>
      <c r="CY500" s="7"/>
      <c r="CZ500" s="7"/>
      <c r="DA500" s="7"/>
      <c r="DB500" s="7"/>
      <c r="DC500" s="7"/>
      <c r="DD500" s="7"/>
      <c r="DE500" s="74"/>
      <c r="DF500" s="74"/>
      <c r="DG500" s="74"/>
      <c r="DH500" s="74"/>
      <c r="DI500" s="74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4"/>
      <c r="DU500" s="7"/>
      <c r="DV500" s="7"/>
      <c r="DW500" s="7"/>
      <c r="DX500" s="7"/>
      <c r="DY500" s="7"/>
      <c r="DZ500" s="8">
        <f t="shared" si="137"/>
        <v>0</v>
      </c>
      <c r="EA500" s="3">
        <f t="shared" si="138"/>
        <v>0</v>
      </c>
      <c r="EB500" s="2">
        <f t="shared" si="139"/>
        <v>0</v>
      </c>
      <c r="EC500" s="112">
        <f t="shared" si="140"/>
        <v>0</v>
      </c>
      <c r="ED500" s="29">
        <f t="shared" si="141"/>
        <v>0</v>
      </c>
      <c r="EE500" s="2">
        <f t="shared" si="142"/>
        <v>0</v>
      </c>
      <c r="EF500" s="46">
        <f t="shared" si="143"/>
        <v>0</v>
      </c>
      <c r="EG500" s="46">
        <f t="shared" si="144"/>
        <v>0</v>
      </c>
      <c r="EH500" s="2">
        <f t="shared" si="145"/>
        <v>0</v>
      </c>
      <c r="EI500" s="29">
        <f>IF(COUNT(I500:AD500)&lt;5,DZ500,SUMPRODUCT(LARGE(I500:AD500,{1,2,3,4,5}))/5)</f>
        <v>0</v>
      </c>
      <c r="EJ500" s="29">
        <f>IF(COUNT(I500:BE500)&lt;5,DZ500,SUMPRODUCT(LARGE(I500:BE500,{1,2,3,4,5}))/5)</f>
        <v>0</v>
      </c>
      <c r="EK500" s="29">
        <f t="shared" si="146"/>
        <v>0</v>
      </c>
      <c r="EL500" s="29">
        <f>(EK500*100)/101.59</f>
        <v>0</v>
      </c>
      <c r="EM500" s="116">
        <f t="shared" si="147"/>
        <v>0</v>
      </c>
      <c r="EQ500"/>
    </row>
    <row r="501" spans="1:147" x14ac:dyDescent="0.25">
      <c r="A501" s="59"/>
      <c r="B501" s="32"/>
      <c r="C501" s="5"/>
      <c r="D501" s="6"/>
      <c r="E501" s="6"/>
      <c r="F501" s="6"/>
      <c r="G501" s="5"/>
      <c r="H501" s="99"/>
      <c r="I501" s="36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227"/>
      <c r="Z501" s="228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4"/>
      <c r="AP501" s="7"/>
      <c r="AQ501" s="74"/>
      <c r="AR501" s="70"/>
      <c r="AS501" s="7"/>
      <c r="AT501" s="70"/>
      <c r="AU501" s="7"/>
      <c r="AV501" s="70"/>
      <c r="AW501" s="7"/>
      <c r="AX501" s="8"/>
      <c r="AY501" s="107"/>
      <c r="AZ501" s="7"/>
      <c r="BA501" s="7"/>
      <c r="BB501" s="7"/>
      <c r="BC501" s="74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101"/>
      <c r="CL501" s="74"/>
      <c r="CM501" s="74"/>
      <c r="CN501" s="74"/>
      <c r="CO501" s="70"/>
      <c r="CP501" s="74"/>
      <c r="CQ501" s="7"/>
      <c r="CR501" s="74"/>
      <c r="CS501" s="74"/>
      <c r="CT501" s="74"/>
      <c r="CU501" s="74"/>
      <c r="CV501" s="74"/>
      <c r="CW501" s="7"/>
      <c r="CX501" s="7"/>
      <c r="CY501" s="7"/>
      <c r="CZ501" s="74"/>
      <c r="DA501" s="7"/>
      <c r="DB501" s="7"/>
      <c r="DC501" s="7"/>
      <c r="DD501" s="7"/>
      <c r="DE501" s="74"/>
      <c r="DF501" s="74"/>
      <c r="DG501" s="74"/>
      <c r="DH501" s="74"/>
      <c r="DI501" s="74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8">
        <f t="shared" si="137"/>
        <v>0</v>
      </c>
      <c r="EA501" s="3">
        <f t="shared" si="138"/>
        <v>0</v>
      </c>
      <c r="EB501" s="2">
        <f t="shared" si="139"/>
        <v>0</v>
      </c>
      <c r="EC501" s="112">
        <f t="shared" si="140"/>
        <v>0</v>
      </c>
      <c r="ED501" s="29">
        <f t="shared" si="141"/>
        <v>0</v>
      </c>
      <c r="EE501" s="2">
        <f t="shared" si="142"/>
        <v>0</v>
      </c>
      <c r="EF501" s="46">
        <f t="shared" si="143"/>
        <v>0</v>
      </c>
      <c r="EG501" s="46">
        <f t="shared" si="144"/>
        <v>0</v>
      </c>
      <c r="EH501" s="2">
        <f t="shared" si="145"/>
        <v>0</v>
      </c>
      <c r="EI501" s="29">
        <f>IF(COUNT(I501:AD501)&lt;5,DZ501,SUMPRODUCT(LARGE(I501:AD501,{1,2,3,4,5}))/5)</f>
        <v>0</v>
      </c>
      <c r="EJ501" s="29">
        <f>IF(COUNT(I501:BE501)&lt;5,DZ501,SUMPRODUCT(LARGE(I501:BE501,{1,2,3,4,5}))/5)</f>
        <v>0</v>
      </c>
      <c r="EK501" s="29">
        <f t="shared" si="146"/>
        <v>0</v>
      </c>
      <c r="EL501" s="29">
        <f>(EK501*100)/101.28</f>
        <v>0</v>
      </c>
      <c r="EM501" s="116">
        <f t="shared" si="147"/>
        <v>0</v>
      </c>
      <c r="EQ501"/>
    </row>
    <row r="502" spans="1:147" x14ac:dyDescent="0.25">
      <c r="A502" s="59"/>
      <c r="B502" s="32"/>
      <c r="C502" s="5"/>
      <c r="D502" s="6"/>
      <c r="E502" s="6"/>
      <c r="F502" s="6"/>
      <c r="G502" s="5"/>
      <c r="H502" s="37"/>
      <c r="I502" s="107"/>
      <c r="J502" s="7"/>
      <c r="K502" s="74"/>
      <c r="L502" s="7"/>
      <c r="M502" s="74"/>
      <c r="N502" s="74"/>
      <c r="O502" s="7"/>
      <c r="P502" s="74"/>
      <c r="Q502" s="7"/>
      <c r="R502" s="74"/>
      <c r="S502" s="74"/>
      <c r="T502" s="7"/>
      <c r="U502" s="7"/>
      <c r="V502" s="74"/>
      <c r="W502" s="7"/>
      <c r="X502" s="74"/>
      <c r="Y502" s="227"/>
      <c r="Z502" s="228"/>
      <c r="AA502" s="74"/>
      <c r="AB502" s="74"/>
      <c r="AC502" s="74"/>
      <c r="AD502" s="74"/>
      <c r="AE502" s="7"/>
      <c r="AF502" s="74"/>
      <c r="AG502" s="74"/>
      <c r="AH502" s="7"/>
      <c r="AI502" s="7"/>
      <c r="AJ502" s="7"/>
      <c r="AK502" s="7"/>
      <c r="AL502" s="7"/>
      <c r="AM502" s="7"/>
      <c r="AN502" s="7"/>
      <c r="AO502" s="74"/>
      <c r="AP502" s="7"/>
      <c r="AQ502" s="74"/>
      <c r="AR502" s="101"/>
      <c r="AS502" s="7"/>
      <c r="AT502" s="101"/>
      <c r="AU502" s="7"/>
      <c r="AV502" s="101"/>
      <c r="AW502" s="7"/>
      <c r="AX502" s="183"/>
      <c r="AY502" s="107"/>
      <c r="AZ502" s="74"/>
      <c r="BA502" s="74"/>
      <c r="BB502" s="74"/>
      <c r="BC502" s="74"/>
      <c r="BD502" s="7"/>
      <c r="BE502" s="7"/>
      <c r="BF502" s="74"/>
      <c r="BG502" s="74"/>
      <c r="BH502" s="74"/>
      <c r="BI502" s="74"/>
      <c r="BJ502" s="74"/>
      <c r="BK502" s="7"/>
      <c r="BL502" s="74"/>
      <c r="BM502" s="7"/>
      <c r="BN502" s="74"/>
      <c r="BO502" s="74"/>
      <c r="BP502" s="7"/>
      <c r="BQ502" s="7"/>
      <c r="BR502" s="74"/>
      <c r="BS502" s="7"/>
      <c r="BT502" s="7"/>
      <c r="BU502" s="74"/>
      <c r="BV502" s="74"/>
      <c r="BW502" s="74"/>
      <c r="BX502" s="74"/>
      <c r="BY502" s="74"/>
      <c r="BZ502" s="74"/>
      <c r="CA502" s="74"/>
      <c r="CB502" s="74"/>
      <c r="CC502" s="74"/>
      <c r="CD502" s="74"/>
      <c r="CE502" s="7"/>
      <c r="CF502" s="74"/>
      <c r="CG502" s="74"/>
      <c r="CH502" s="7"/>
      <c r="CI502" s="74"/>
      <c r="CJ502" s="74"/>
      <c r="CK502" s="101"/>
      <c r="CL502" s="74"/>
      <c r="CM502" s="74"/>
      <c r="CN502" s="74"/>
      <c r="CO502" s="101"/>
      <c r="CP502" s="74"/>
      <c r="CQ502" s="74"/>
      <c r="CR502" s="74"/>
      <c r="CS502" s="74"/>
      <c r="CT502" s="74"/>
      <c r="CU502" s="74"/>
      <c r="CV502" s="74"/>
      <c r="CW502" s="74"/>
      <c r="CX502" s="7"/>
      <c r="CY502" s="7"/>
      <c r="CZ502" s="74"/>
      <c r="DA502" s="74"/>
      <c r="DB502" s="74"/>
      <c r="DC502" s="74"/>
      <c r="DD502" s="74"/>
      <c r="DE502" s="74"/>
      <c r="DF502" s="74"/>
      <c r="DG502" s="74"/>
      <c r="DH502" s="74"/>
      <c r="DI502" s="74"/>
      <c r="DJ502" s="74"/>
      <c r="DK502" s="74"/>
      <c r="DL502" s="74"/>
      <c r="DM502" s="74"/>
      <c r="DN502" s="74"/>
      <c r="DO502" s="74"/>
      <c r="DP502" s="74"/>
      <c r="DQ502" s="74"/>
      <c r="DR502" s="74"/>
      <c r="DS502" s="74"/>
      <c r="DT502" s="74"/>
      <c r="DU502" s="74"/>
      <c r="DV502" s="74"/>
      <c r="DW502" s="74"/>
      <c r="DX502" s="74"/>
      <c r="DY502" s="74"/>
      <c r="DZ502" s="8">
        <f t="shared" si="137"/>
        <v>0</v>
      </c>
      <c r="EA502" s="3">
        <f t="shared" si="138"/>
        <v>0</v>
      </c>
      <c r="EB502" s="2">
        <f t="shared" si="139"/>
        <v>0</v>
      </c>
      <c r="EC502" s="112">
        <f t="shared" si="140"/>
        <v>0</v>
      </c>
      <c r="ED502" s="29">
        <f t="shared" si="141"/>
        <v>0</v>
      </c>
      <c r="EE502" s="2">
        <f t="shared" si="142"/>
        <v>0</v>
      </c>
      <c r="EF502" s="46">
        <f t="shared" si="143"/>
        <v>0</v>
      </c>
      <c r="EG502" s="46">
        <f t="shared" si="144"/>
        <v>0</v>
      </c>
      <c r="EH502" s="29">
        <f t="shared" si="145"/>
        <v>0</v>
      </c>
      <c r="EI502" s="29">
        <f>IF(COUNT(I502:AD502)&lt;5,DZ502,SUMPRODUCT(LARGE(I502:AD502,{1,2,3,4,5}))/5)</f>
        <v>0</v>
      </c>
      <c r="EJ502" s="29">
        <f>IF(COUNT(I502:BE502)&lt;5,DZ502,SUMPRODUCT(LARGE(I502:BE502,{1,2,3,4,5}))/5)</f>
        <v>0</v>
      </c>
      <c r="EK502" s="29">
        <f t="shared" si="146"/>
        <v>0</v>
      </c>
      <c r="EL502" s="29">
        <f>(EK502*100)/101.28</f>
        <v>0</v>
      </c>
      <c r="EM502" s="116">
        <f t="shared" si="147"/>
        <v>0</v>
      </c>
      <c r="EQ502"/>
    </row>
    <row r="503" spans="1:147" x14ac:dyDescent="0.25">
      <c r="A503" s="59"/>
      <c r="B503" s="32"/>
      <c r="C503" s="5"/>
      <c r="D503" s="6"/>
      <c r="E503" s="6"/>
      <c r="F503" s="6"/>
      <c r="G503" s="5"/>
      <c r="H503" s="37"/>
      <c r="I503" s="107"/>
      <c r="J503" s="7"/>
      <c r="K503" s="74"/>
      <c r="L503" s="7"/>
      <c r="M503" s="74"/>
      <c r="N503" s="74"/>
      <c r="O503" s="7"/>
      <c r="P503" s="74"/>
      <c r="Q503" s="7"/>
      <c r="R503" s="74"/>
      <c r="S503" s="74"/>
      <c r="T503" s="7"/>
      <c r="U503" s="7"/>
      <c r="V503" s="74"/>
      <c r="W503" s="7"/>
      <c r="X503" s="74"/>
      <c r="Y503" s="227"/>
      <c r="Z503" s="228"/>
      <c r="AA503" s="74"/>
      <c r="AB503" s="74"/>
      <c r="AC503" s="74"/>
      <c r="AD503" s="74"/>
      <c r="AE503" s="7"/>
      <c r="AF503" s="74"/>
      <c r="AG503" s="74"/>
      <c r="AH503" s="7"/>
      <c r="AI503" s="7"/>
      <c r="AJ503" s="7"/>
      <c r="AK503" s="7"/>
      <c r="AL503" s="7"/>
      <c r="AM503" s="7"/>
      <c r="AN503" s="7"/>
      <c r="AO503" s="74"/>
      <c r="AP503" s="7"/>
      <c r="AQ503" s="74"/>
      <c r="AR503" s="101"/>
      <c r="AS503" s="7"/>
      <c r="AT503" s="101"/>
      <c r="AU503" s="7"/>
      <c r="AV503" s="101"/>
      <c r="AW503" s="7"/>
      <c r="AX503" s="8"/>
      <c r="AY503" s="36"/>
      <c r="AZ503" s="74"/>
      <c r="BA503" s="74"/>
      <c r="BB503" s="74"/>
      <c r="BC503" s="74"/>
      <c r="BD503" s="7"/>
      <c r="BE503" s="7"/>
      <c r="BF503" s="74"/>
      <c r="BG503" s="7"/>
      <c r="BH503" s="74"/>
      <c r="BI503" s="74"/>
      <c r="BJ503" s="74"/>
      <c r="BK503" s="7"/>
      <c r="BL503" s="74"/>
      <c r="BM503" s="7"/>
      <c r="BN503" s="74"/>
      <c r="BO503" s="74"/>
      <c r="BP503" s="7"/>
      <c r="BQ503" s="7"/>
      <c r="BR503" s="74"/>
      <c r="BS503" s="7"/>
      <c r="BT503" s="7"/>
      <c r="BU503" s="74"/>
      <c r="BV503" s="74"/>
      <c r="BW503" s="74"/>
      <c r="BX503" s="74"/>
      <c r="BY503" s="74"/>
      <c r="BZ503" s="74"/>
      <c r="CA503" s="74"/>
      <c r="CB503" s="74"/>
      <c r="CC503" s="74"/>
      <c r="CD503" s="74"/>
      <c r="CE503" s="7"/>
      <c r="CF503" s="74"/>
      <c r="CG503" s="74"/>
      <c r="CH503" s="7"/>
      <c r="CI503" s="74"/>
      <c r="CJ503" s="74"/>
      <c r="CK503" s="101"/>
      <c r="CL503" s="74"/>
      <c r="CM503" s="74"/>
      <c r="CN503" s="74"/>
      <c r="CO503" s="101"/>
      <c r="CP503" s="74"/>
      <c r="CQ503" s="74"/>
      <c r="CR503" s="74"/>
      <c r="CS503" s="74"/>
      <c r="CT503" s="74"/>
      <c r="CU503" s="74"/>
      <c r="CV503" s="74"/>
      <c r="CW503" s="74"/>
      <c r="CX503" s="7"/>
      <c r="CY503" s="7"/>
      <c r="CZ503" s="74"/>
      <c r="DA503" s="74"/>
      <c r="DB503" s="74"/>
      <c r="DC503" s="74"/>
      <c r="DD503" s="74"/>
      <c r="DE503" s="74"/>
      <c r="DF503" s="74"/>
      <c r="DG503" s="74"/>
      <c r="DH503" s="74"/>
      <c r="DI503" s="74"/>
      <c r="DJ503" s="74"/>
      <c r="DK503" s="74"/>
      <c r="DL503" s="74"/>
      <c r="DM503" s="74"/>
      <c r="DN503" s="74"/>
      <c r="DO503" s="74"/>
      <c r="DP503" s="74"/>
      <c r="DQ503" s="74"/>
      <c r="DR503" s="74"/>
      <c r="DS503" s="74"/>
      <c r="DT503" s="74"/>
      <c r="DU503" s="74"/>
      <c r="DV503" s="74"/>
      <c r="DW503" s="74"/>
      <c r="DX503" s="74"/>
      <c r="DY503" s="74"/>
      <c r="DZ503" s="8">
        <f t="shared" si="137"/>
        <v>0</v>
      </c>
      <c r="EA503" s="3">
        <f t="shared" si="138"/>
        <v>0</v>
      </c>
      <c r="EB503" s="2">
        <f t="shared" si="139"/>
        <v>0</v>
      </c>
      <c r="EC503" s="112">
        <f t="shared" si="140"/>
        <v>0</v>
      </c>
      <c r="ED503" s="29">
        <f t="shared" si="141"/>
        <v>0</v>
      </c>
      <c r="EE503" s="2">
        <f t="shared" si="142"/>
        <v>0</v>
      </c>
      <c r="EF503" s="46">
        <f t="shared" si="143"/>
        <v>0</v>
      </c>
      <c r="EG503" s="46">
        <f t="shared" si="144"/>
        <v>0</v>
      </c>
      <c r="EH503" s="29">
        <f t="shared" si="145"/>
        <v>0</v>
      </c>
      <c r="EI503" s="29">
        <f>IF(COUNT(I503:AD503)&lt;5,DZ503,SUMPRODUCT(LARGE(I503:AD503,{1,2,3,4,5}))/5)</f>
        <v>0</v>
      </c>
      <c r="EJ503" s="29">
        <f>IF(COUNT(I503:BE503)&lt;5,DZ503,SUMPRODUCT(LARGE(I503:BE503,{1,2,3,4,5}))/5)</f>
        <v>0</v>
      </c>
      <c r="EK503" s="29">
        <f t="shared" si="146"/>
        <v>0</v>
      </c>
      <c r="EL503" s="29">
        <f>(EK503*100)/101.28</f>
        <v>0</v>
      </c>
      <c r="EM503" s="116">
        <f t="shared" si="147"/>
        <v>0</v>
      </c>
      <c r="EQ503"/>
    </row>
    <row r="504" spans="1:147" s="194" customFormat="1" x14ac:dyDescent="0.25">
      <c r="A504" s="59"/>
      <c r="B504" s="32"/>
      <c r="C504" s="5"/>
      <c r="D504" s="6"/>
      <c r="E504" s="6"/>
      <c r="F504" s="6"/>
      <c r="G504" s="5"/>
      <c r="H504" s="37"/>
      <c r="I504" s="107"/>
      <c r="J504" s="7"/>
      <c r="K504" s="74"/>
      <c r="L504" s="7"/>
      <c r="M504" s="74"/>
      <c r="N504" s="74"/>
      <c r="O504" s="7"/>
      <c r="P504" s="74"/>
      <c r="Q504" s="7"/>
      <c r="R504" s="74"/>
      <c r="S504" s="74"/>
      <c r="T504" s="7"/>
      <c r="U504" s="7"/>
      <c r="V504" s="74"/>
      <c r="W504" s="7"/>
      <c r="X504" s="74"/>
      <c r="Y504" s="227"/>
      <c r="Z504" s="228"/>
      <c r="AA504" s="74"/>
      <c r="AB504" s="74"/>
      <c r="AC504" s="74"/>
      <c r="AD504" s="74"/>
      <c r="AE504" s="7"/>
      <c r="AF504" s="74"/>
      <c r="AG504" s="74"/>
      <c r="AH504" s="7"/>
      <c r="AI504" s="7"/>
      <c r="AJ504" s="7"/>
      <c r="AK504" s="7"/>
      <c r="AL504" s="7"/>
      <c r="AM504" s="7"/>
      <c r="AN504" s="7"/>
      <c r="AO504" s="74"/>
      <c r="AP504" s="7"/>
      <c r="AQ504" s="74"/>
      <c r="AR504" s="101"/>
      <c r="AS504" s="7"/>
      <c r="AT504" s="101"/>
      <c r="AU504" s="7"/>
      <c r="AV504" s="101"/>
      <c r="AW504" s="7"/>
      <c r="AX504" s="8"/>
      <c r="AY504" s="36"/>
      <c r="AZ504" s="74"/>
      <c r="BA504" s="74"/>
      <c r="BB504" s="74"/>
      <c r="BC504" s="74"/>
      <c r="BD504" s="7"/>
      <c r="BE504" s="7"/>
      <c r="BF504" s="74"/>
      <c r="BG504" s="74"/>
      <c r="BH504" s="74"/>
      <c r="BI504" s="74"/>
      <c r="BJ504" s="74"/>
      <c r="BK504" s="7"/>
      <c r="BL504" s="74"/>
      <c r="BM504" s="7"/>
      <c r="BN504" s="74"/>
      <c r="BO504" s="74"/>
      <c r="BP504" s="7"/>
      <c r="BQ504" s="7"/>
      <c r="BR504" s="74"/>
      <c r="BS504" s="7"/>
      <c r="BT504" s="7"/>
      <c r="BU504" s="74"/>
      <c r="BV504" s="74"/>
      <c r="BW504" s="74"/>
      <c r="BX504" s="74"/>
      <c r="BY504" s="74"/>
      <c r="BZ504" s="74"/>
      <c r="CA504" s="74"/>
      <c r="CB504" s="74"/>
      <c r="CC504" s="74"/>
      <c r="CD504" s="74"/>
      <c r="CE504" s="7"/>
      <c r="CF504" s="74"/>
      <c r="CG504" s="74"/>
      <c r="CH504" s="7"/>
      <c r="CI504" s="74"/>
      <c r="CJ504" s="74"/>
      <c r="CK504" s="101"/>
      <c r="CL504" s="74"/>
      <c r="CM504" s="74"/>
      <c r="CN504" s="74"/>
      <c r="CO504" s="101"/>
      <c r="CP504" s="74"/>
      <c r="CQ504" s="74"/>
      <c r="CR504" s="74"/>
      <c r="CS504" s="74"/>
      <c r="CT504" s="74"/>
      <c r="CU504" s="74"/>
      <c r="CV504" s="74"/>
      <c r="CW504" s="74"/>
      <c r="CX504" s="7"/>
      <c r="CY504" s="7"/>
      <c r="CZ504" s="74"/>
      <c r="DA504" s="74"/>
      <c r="DB504" s="74"/>
      <c r="DC504" s="74"/>
      <c r="DD504" s="74"/>
      <c r="DE504" s="74"/>
      <c r="DF504" s="74"/>
      <c r="DG504" s="74"/>
      <c r="DH504" s="74"/>
      <c r="DI504" s="74"/>
      <c r="DJ504" s="74"/>
      <c r="DK504" s="74"/>
      <c r="DL504" s="74"/>
      <c r="DM504" s="74"/>
      <c r="DN504" s="74"/>
      <c r="DO504" s="74"/>
      <c r="DP504" s="74"/>
      <c r="DQ504" s="74"/>
      <c r="DR504" s="74"/>
      <c r="DS504" s="74"/>
      <c r="DT504" s="74"/>
      <c r="DU504" s="74"/>
      <c r="DV504" s="74"/>
      <c r="DW504" s="74"/>
      <c r="DX504" s="74"/>
      <c r="DY504" s="74"/>
      <c r="DZ504" s="8">
        <f t="shared" si="137"/>
        <v>0</v>
      </c>
      <c r="EA504" s="3">
        <f t="shared" si="138"/>
        <v>0</v>
      </c>
      <c r="EB504" s="2">
        <f t="shared" si="139"/>
        <v>0</v>
      </c>
      <c r="EC504" s="112">
        <f t="shared" si="140"/>
        <v>0</v>
      </c>
      <c r="ED504" s="29">
        <f t="shared" si="141"/>
        <v>0</v>
      </c>
      <c r="EE504" s="2">
        <f t="shared" si="142"/>
        <v>0</v>
      </c>
      <c r="EF504" s="46">
        <f t="shared" si="143"/>
        <v>0</v>
      </c>
      <c r="EG504" s="46">
        <f t="shared" si="144"/>
        <v>0</v>
      </c>
      <c r="EH504" s="2">
        <f t="shared" si="145"/>
        <v>0</v>
      </c>
      <c r="EI504" s="29">
        <f>IF(COUNT(I504:AD504)&lt;5,DZ504,SUMPRODUCT(LARGE(I504:AD504,{1,2,3,4,5}))/5)</f>
        <v>0</v>
      </c>
      <c r="EJ504" s="29">
        <f>IF(COUNT(I504:BE504)&lt;5,DZ504,SUMPRODUCT(LARGE(I504:BE504,{1,2,3,4,5}))/5)</f>
        <v>0</v>
      </c>
      <c r="EK504" s="29">
        <f t="shared" si="146"/>
        <v>0</v>
      </c>
      <c r="EL504" s="29">
        <f>(EK504*100)/101.28</f>
        <v>0</v>
      </c>
      <c r="EM504" s="116">
        <f t="shared" si="147"/>
        <v>0</v>
      </c>
    </row>
    <row r="505" spans="1:147" x14ac:dyDescent="0.25">
      <c r="A505" s="59"/>
      <c r="B505" s="32"/>
      <c r="C505" s="5"/>
      <c r="D505" s="6"/>
      <c r="E505" s="6"/>
      <c r="F505" s="6"/>
      <c r="G505" s="5"/>
      <c r="H505" s="37"/>
      <c r="I505" s="107"/>
      <c r="J505" s="7"/>
      <c r="K505" s="74"/>
      <c r="L505" s="7"/>
      <c r="M505" s="74"/>
      <c r="N505" s="74"/>
      <c r="O505" s="7"/>
      <c r="P505" s="74"/>
      <c r="Q505" s="7"/>
      <c r="R505" s="74"/>
      <c r="S505" s="74"/>
      <c r="T505" s="7"/>
      <c r="U505" s="7"/>
      <c r="V505" s="74"/>
      <c r="W505" s="7"/>
      <c r="X505" s="74"/>
      <c r="Y505" s="227"/>
      <c r="Z505" s="228"/>
      <c r="AA505" s="74"/>
      <c r="AB505" s="74"/>
      <c r="AC505" s="74"/>
      <c r="AD505" s="74"/>
      <c r="AE505" s="7"/>
      <c r="AF505" s="74"/>
      <c r="AG505" s="74"/>
      <c r="AH505" s="7"/>
      <c r="AI505" s="7"/>
      <c r="AJ505" s="7"/>
      <c r="AK505" s="7"/>
      <c r="AL505" s="7"/>
      <c r="AM505" s="7"/>
      <c r="AN505" s="7"/>
      <c r="AO505" s="74"/>
      <c r="AP505" s="7"/>
      <c r="AQ505" s="74"/>
      <c r="AR505" s="101"/>
      <c r="AS505" s="7"/>
      <c r="AT505" s="101"/>
      <c r="AU505" s="7"/>
      <c r="AV505" s="101"/>
      <c r="AW505" s="7"/>
      <c r="AX505" s="183"/>
      <c r="AY505" s="107"/>
      <c r="AZ505" s="74"/>
      <c r="BA505" s="74"/>
      <c r="BB505" s="74"/>
      <c r="BC505" s="74"/>
      <c r="BD505" s="7"/>
      <c r="BE505" s="7"/>
      <c r="BF505" s="74"/>
      <c r="BG505" s="74"/>
      <c r="BH505" s="74"/>
      <c r="BI505" s="74"/>
      <c r="BJ505" s="74"/>
      <c r="BK505" s="7"/>
      <c r="BL505" s="74"/>
      <c r="BM505" s="7"/>
      <c r="BN505" s="74"/>
      <c r="BO505" s="74"/>
      <c r="BP505" s="7"/>
      <c r="BQ505" s="7"/>
      <c r="BR505" s="74"/>
      <c r="BS505" s="7"/>
      <c r="BT505" s="7"/>
      <c r="BU505" s="74"/>
      <c r="BV505" s="74"/>
      <c r="BW505" s="74"/>
      <c r="BX505" s="74"/>
      <c r="BY505" s="74"/>
      <c r="BZ505" s="74"/>
      <c r="CA505" s="74"/>
      <c r="CB505" s="74"/>
      <c r="CC505" s="74"/>
      <c r="CD505" s="74"/>
      <c r="CE505" s="7"/>
      <c r="CF505" s="74"/>
      <c r="CG505" s="74"/>
      <c r="CH505" s="7"/>
      <c r="CI505" s="74"/>
      <c r="CJ505" s="74"/>
      <c r="CK505" s="101"/>
      <c r="CL505" s="74"/>
      <c r="CM505" s="74"/>
      <c r="CN505" s="74"/>
      <c r="CO505" s="101"/>
      <c r="CP505" s="74"/>
      <c r="CQ505" s="74"/>
      <c r="CR505" s="74"/>
      <c r="CS505" s="74"/>
      <c r="CT505" s="74"/>
      <c r="CU505" s="74"/>
      <c r="CV505" s="74"/>
      <c r="CW505" s="74"/>
      <c r="CX505" s="7"/>
      <c r="CY505" s="7"/>
      <c r="CZ505" s="74"/>
      <c r="DA505" s="74"/>
      <c r="DB505" s="74"/>
      <c r="DC505" s="74"/>
      <c r="DD505" s="74"/>
      <c r="DE505" s="74"/>
      <c r="DF505" s="74"/>
      <c r="DG505" s="74"/>
      <c r="DH505" s="74"/>
      <c r="DI505" s="74"/>
      <c r="DJ505" s="74"/>
      <c r="DK505" s="74"/>
      <c r="DL505" s="74"/>
      <c r="DM505" s="74"/>
      <c r="DN505" s="74"/>
      <c r="DO505" s="74"/>
      <c r="DP505" s="74"/>
      <c r="DQ505" s="74"/>
      <c r="DR505" s="74"/>
      <c r="DS505" s="74"/>
      <c r="DT505" s="74"/>
      <c r="DU505" s="74"/>
      <c r="DV505" s="74"/>
      <c r="DW505" s="74"/>
      <c r="DX505" s="74"/>
      <c r="DY505" s="74"/>
      <c r="DZ505" s="8">
        <f t="shared" si="137"/>
        <v>0</v>
      </c>
      <c r="EA505" s="3">
        <f t="shared" si="138"/>
        <v>0</v>
      </c>
      <c r="EB505" s="2">
        <f t="shared" si="139"/>
        <v>0</v>
      </c>
      <c r="EC505" s="112">
        <f t="shared" si="140"/>
        <v>0</v>
      </c>
      <c r="ED505" s="29">
        <f t="shared" si="141"/>
        <v>0</v>
      </c>
      <c r="EE505" s="2">
        <f t="shared" si="142"/>
        <v>0</v>
      </c>
      <c r="EF505" s="46">
        <f t="shared" si="143"/>
        <v>0</v>
      </c>
      <c r="EG505" s="46">
        <f t="shared" si="144"/>
        <v>0</v>
      </c>
      <c r="EH505" s="29">
        <f t="shared" si="145"/>
        <v>0</v>
      </c>
      <c r="EI505" s="29">
        <f>IF(COUNT(I505:AD505)&lt;5,DZ505,SUMPRODUCT(LARGE(I505:AD505,{1,2,3,4,5}))/5)</f>
        <v>0</v>
      </c>
      <c r="EJ505" s="29">
        <f>IF(COUNT(I505:BE505)&lt;5,DZ505,SUMPRODUCT(LARGE(I505:BE505,{1,2,3,4,5}))/5)</f>
        <v>0</v>
      </c>
      <c r="EK505" s="29">
        <f t="shared" si="146"/>
        <v>0</v>
      </c>
      <c r="EL505" s="29">
        <f>(EK505*100)/101.28</f>
        <v>0</v>
      </c>
      <c r="EM505" s="116">
        <f t="shared" si="147"/>
        <v>0</v>
      </c>
      <c r="EQ505"/>
    </row>
    <row r="506" spans="1:147" x14ac:dyDescent="0.25">
      <c r="A506" s="59"/>
      <c r="B506" s="32"/>
      <c r="C506" s="5"/>
      <c r="D506" s="6"/>
      <c r="E506" s="6"/>
      <c r="F506" s="6"/>
      <c r="G506" s="5"/>
      <c r="H506" s="37"/>
      <c r="I506" s="10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227"/>
      <c r="Z506" s="228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4"/>
      <c r="AP506" s="7"/>
      <c r="AQ506" s="74"/>
      <c r="AR506" s="70"/>
      <c r="AS506" s="7"/>
      <c r="AT506" s="70"/>
      <c r="AU506" s="7"/>
      <c r="AV506" s="70"/>
      <c r="AW506" s="7"/>
      <c r="AX506" s="8"/>
      <c r="AY506" s="10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4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101"/>
      <c r="CL506" s="74"/>
      <c r="CM506" s="74"/>
      <c r="CN506" s="74"/>
      <c r="CO506" s="70"/>
      <c r="CP506" s="74"/>
      <c r="CQ506" s="7"/>
      <c r="CR506" s="74"/>
      <c r="CS506" s="74"/>
      <c r="CT506" s="74"/>
      <c r="CU506" s="74"/>
      <c r="CV506" s="7"/>
      <c r="CW506" s="7"/>
      <c r="CX506" s="7"/>
      <c r="CY506" s="7"/>
      <c r="CZ506" s="7"/>
      <c r="DA506" s="7"/>
      <c r="DB506" s="7"/>
      <c r="DC506" s="7"/>
      <c r="DD506" s="7"/>
      <c r="DE506" s="74"/>
      <c r="DF506" s="74"/>
      <c r="DG506" s="74"/>
      <c r="DH506" s="7"/>
      <c r="DI506" s="74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8">
        <f t="shared" si="137"/>
        <v>0</v>
      </c>
      <c r="EA506" s="3">
        <f t="shared" si="138"/>
        <v>0</v>
      </c>
      <c r="EB506" s="2">
        <f t="shared" si="139"/>
        <v>0</v>
      </c>
      <c r="EC506" s="112">
        <f t="shared" si="140"/>
        <v>0</v>
      </c>
      <c r="ED506" s="29">
        <f t="shared" si="141"/>
        <v>0</v>
      </c>
      <c r="EE506" s="2">
        <f t="shared" si="142"/>
        <v>0</v>
      </c>
      <c r="EF506" s="46">
        <f t="shared" si="143"/>
        <v>0</v>
      </c>
      <c r="EG506" s="46">
        <f t="shared" si="144"/>
        <v>0</v>
      </c>
      <c r="EH506" s="2">
        <f t="shared" si="145"/>
        <v>0</v>
      </c>
      <c r="EI506" s="29">
        <f>IF(COUNT(I506:AD506)&lt;5,DZ506,SUMPRODUCT(LARGE(I506:AD506,{1,2,3,4,5}))/5)</f>
        <v>0</v>
      </c>
      <c r="EJ506" s="29">
        <f>IF(COUNT(I506:BE506)&lt;5,DZ506,SUMPRODUCT(LARGE(I506:BE506,{1,2,3,4,5}))/5)</f>
        <v>0</v>
      </c>
      <c r="EK506" s="29">
        <f t="shared" si="146"/>
        <v>0</v>
      </c>
      <c r="EL506" s="29">
        <f>(EK506*100)/101.59</f>
        <v>0</v>
      </c>
      <c r="EM506" s="116">
        <f t="shared" si="147"/>
        <v>0</v>
      </c>
      <c r="EQ506"/>
    </row>
    <row r="507" spans="1:147" x14ac:dyDescent="0.25">
      <c r="A507" s="59"/>
      <c r="B507" s="4"/>
      <c r="C507" s="5"/>
      <c r="D507" s="5"/>
      <c r="E507" s="6"/>
      <c r="F507" s="6"/>
      <c r="G507" s="5"/>
      <c r="H507" s="99"/>
      <c r="I507" s="107"/>
      <c r="J507" s="7"/>
      <c r="K507" s="74"/>
      <c r="L507" s="7"/>
      <c r="M507" s="74"/>
      <c r="N507" s="74"/>
      <c r="O507" s="7"/>
      <c r="P507" s="74"/>
      <c r="Q507" s="7"/>
      <c r="R507" s="74"/>
      <c r="S507" s="74"/>
      <c r="T507" s="7"/>
      <c r="U507" s="7"/>
      <c r="V507" s="74"/>
      <c r="W507" s="7"/>
      <c r="X507" s="74"/>
      <c r="Y507" s="227"/>
      <c r="Z507" s="228"/>
      <c r="AA507" s="74"/>
      <c r="AB507" s="74"/>
      <c r="AC507" s="74"/>
      <c r="AD507" s="74"/>
      <c r="AE507" s="7"/>
      <c r="AF507" s="74"/>
      <c r="AG507" s="74"/>
      <c r="AH507" s="7"/>
      <c r="AI507" s="7"/>
      <c r="AJ507" s="7"/>
      <c r="AK507" s="7"/>
      <c r="AL507" s="7"/>
      <c r="AM507" s="7"/>
      <c r="AN507" s="7"/>
      <c r="AO507" s="74"/>
      <c r="AP507" s="7"/>
      <c r="AQ507" s="74"/>
      <c r="AR507" s="101"/>
      <c r="AS507" s="7"/>
      <c r="AT507" s="101"/>
      <c r="AU507" s="7"/>
      <c r="AV507" s="101"/>
      <c r="AW507" s="7"/>
      <c r="AX507" s="183"/>
      <c r="AY507" s="107"/>
      <c r="AZ507" s="74"/>
      <c r="BA507" s="74"/>
      <c r="BB507" s="74"/>
      <c r="BC507" s="74"/>
      <c r="BD507" s="7"/>
      <c r="BE507" s="7"/>
      <c r="BF507" s="74"/>
      <c r="BG507" s="74"/>
      <c r="BH507" s="74"/>
      <c r="BI507" s="74"/>
      <c r="BJ507" s="74"/>
      <c r="BK507" s="7"/>
      <c r="BL507" s="74"/>
      <c r="BM507" s="7"/>
      <c r="BN507" s="74"/>
      <c r="BO507" s="74"/>
      <c r="BP507" s="7"/>
      <c r="BQ507" s="7"/>
      <c r="BR507" s="74"/>
      <c r="BS507" s="7"/>
      <c r="BT507" s="7"/>
      <c r="BU507" s="74"/>
      <c r="BV507" s="74"/>
      <c r="BW507" s="74"/>
      <c r="BX507" s="74"/>
      <c r="BY507" s="74"/>
      <c r="BZ507" s="74"/>
      <c r="CA507" s="7"/>
      <c r="CB507" s="74"/>
      <c r="CC507" s="74"/>
      <c r="CD507" s="74"/>
      <c r="CE507" s="7"/>
      <c r="CF507" s="74"/>
      <c r="CG507" s="74"/>
      <c r="CH507" s="7"/>
      <c r="CI507" s="74"/>
      <c r="CJ507" s="74"/>
      <c r="CK507" s="101"/>
      <c r="CL507" s="74"/>
      <c r="CM507" s="74"/>
      <c r="CN507" s="74"/>
      <c r="CO507" s="101"/>
      <c r="CP507" s="74"/>
      <c r="CQ507" s="74"/>
      <c r="CR507" s="74"/>
      <c r="CS507" s="74"/>
      <c r="CT507" s="74"/>
      <c r="CU507" s="74"/>
      <c r="CV507" s="74"/>
      <c r="CW507" s="74"/>
      <c r="CX507" s="7"/>
      <c r="CY507" s="7"/>
      <c r="CZ507" s="74"/>
      <c r="DA507" s="74"/>
      <c r="DB507" s="74"/>
      <c r="DC507" s="74"/>
      <c r="DD507" s="74"/>
      <c r="DE507" s="74"/>
      <c r="DF507" s="74"/>
      <c r="DG507" s="74"/>
      <c r="DH507" s="74"/>
      <c r="DI507" s="74"/>
      <c r="DJ507" s="74"/>
      <c r="DK507" s="74"/>
      <c r="DL507" s="74"/>
      <c r="DM507" s="74"/>
      <c r="DN507" s="74"/>
      <c r="DO507" s="74"/>
      <c r="DP507" s="74"/>
      <c r="DQ507" s="74"/>
      <c r="DR507" s="74"/>
      <c r="DS507" s="74"/>
      <c r="DT507" s="74"/>
      <c r="DU507" s="74"/>
      <c r="DV507" s="74"/>
      <c r="DW507" s="74"/>
      <c r="DX507" s="74"/>
      <c r="DY507" s="74"/>
      <c r="DZ507" s="8">
        <f t="shared" si="137"/>
        <v>0</v>
      </c>
      <c r="EA507" s="3">
        <f t="shared" si="138"/>
        <v>0</v>
      </c>
      <c r="EB507" s="2">
        <f t="shared" si="139"/>
        <v>0</v>
      </c>
      <c r="EC507" s="112">
        <f t="shared" si="140"/>
        <v>0</v>
      </c>
      <c r="ED507" s="29">
        <f t="shared" si="141"/>
        <v>0</v>
      </c>
      <c r="EE507" s="2">
        <f t="shared" si="142"/>
        <v>0</v>
      </c>
      <c r="EF507" s="46">
        <f t="shared" si="143"/>
        <v>0</v>
      </c>
      <c r="EG507" s="46">
        <f t="shared" si="144"/>
        <v>0</v>
      </c>
      <c r="EH507" s="29">
        <f t="shared" si="145"/>
        <v>0</v>
      </c>
      <c r="EI507" s="29">
        <f>IF(COUNT(I507:AD507)&lt;5,DZ507,SUMPRODUCT(LARGE(I507:AD507,{1,2,3,4,5}))/5)</f>
        <v>0</v>
      </c>
      <c r="EJ507" s="29">
        <f>IF(COUNT(I507:BE507)&lt;5,DZ507,SUMPRODUCT(LARGE(I507:BE507,{1,2,3,4,5}))/5)</f>
        <v>0</v>
      </c>
      <c r="EK507" s="29">
        <f t="shared" si="146"/>
        <v>0</v>
      </c>
      <c r="EL507" s="29">
        <f t="shared" ref="EL507:EL534" si="150">(EK507*100)/101.28</f>
        <v>0</v>
      </c>
      <c r="EM507" s="116">
        <f t="shared" si="147"/>
        <v>0</v>
      </c>
      <c r="EQ507"/>
    </row>
    <row r="508" spans="1:147" x14ac:dyDescent="0.25">
      <c r="A508" s="59"/>
      <c r="B508" s="32"/>
      <c r="C508" s="5"/>
      <c r="D508" s="6"/>
      <c r="E508" s="6"/>
      <c r="F508" s="6"/>
      <c r="G508" s="5"/>
      <c r="H508" s="37"/>
      <c r="I508" s="107"/>
      <c r="J508" s="7"/>
      <c r="K508" s="74"/>
      <c r="L508" s="7"/>
      <c r="M508" s="74"/>
      <c r="N508" s="74"/>
      <c r="O508" s="7"/>
      <c r="P508" s="74"/>
      <c r="Q508" s="7"/>
      <c r="R508" s="74"/>
      <c r="S508" s="74"/>
      <c r="T508" s="7"/>
      <c r="U508" s="7"/>
      <c r="V508" s="74"/>
      <c r="W508" s="7"/>
      <c r="X508" s="74"/>
      <c r="Y508" s="227"/>
      <c r="Z508" s="228"/>
      <c r="AA508" s="74"/>
      <c r="AB508" s="74"/>
      <c r="AC508" s="74"/>
      <c r="AD508" s="74"/>
      <c r="AE508" s="7"/>
      <c r="AF508" s="74"/>
      <c r="AG508" s="74"/>
      <c r="AH508" s="7"/>
      <c r="AI508" s="7"/>
      <c r="AJ508" s="7"/>
      <c r="AK508" s="7"/>
      <c r="AL508" s="7"/>
      <c r="AM508" s="7"/>
      <c r="AN508" s="7"/>
      <c r="AO508" s="74"/>
      <c r="AP508" s="7"/>
      <c r="AQ508" s="74"/>
      <c r="AR508" s="101"/>
      <c r="AS508" s="7"/>
      <c r="AT508" s="101"/>
      <c r="AU508" s="7"/>
      <c r="AV508" s="101"/>
      <c r="AW508" s="7"/>
      <c r="AX508" s="183"/>
      <c r="AY508" s="107"/>
      <c r="AZ508" s="74"/>
      <c r="BA508" s="74"/>
      <c r="BB508" s="74"/>
      <c r="BC508" s="74"/>
      <c r="BD508" s="7"/>
      <c r="BE508" s="7"/>
      <c r="BF508" s="74"/>
      <c r="BG508" s="74"/>
      <c r="BH508" s="74"/>
      <c r="BI508" s="74"/>
      <c r="BJ508" s="74"/>
      <c r="BK508" s="7"/>
      <c r="BL508" s="74"/>
      <c r="BM508" s="7"/>
      <c r="BN508" s="74"/>
      <c r="BO508" s="74"/>
      <c r="BP508" s="7"/>
      <c r="BQ508" s="7"/>
      <c r="BR508" s="74"/>
      <c r="BS508" s="7"/>
      <c r="BT508" s="7"/>
      <c r="BU508" s="74"/>
      <c r="BV508" s="74"/>
      <c r="BW508" s="74"/>
      <c r="BX508" s="74"/>
      <c r="BY508" s="74"/>
      <c r="BZ508" s="7"/>
      <c r="CA508" s="74"/>
      <c r="CB508" s="74"/>
      <c r="CC508" s="74"/>
      <c r="CD508" s="74"/>
      <c r="CE508" s="7"/>
      <c r="CF508" s="74"/>
      <c r="CG508" s="74"/>
      <c r="CH508" s="7"/>
      <c r="CI508" s="74"/>
      <c r="CJ508" s="74"/>
      <c r="CK508" s="101"/>
      <c r="CL508" s="74"/>
      <c r="CM508" s="74"/>
      <c r="CN508" s="74"/>
      <c r="CO508" s="101"/>
      <c r="CP508" s="74"/>
      <c r="CQ508" s="74"/>
      <c r="CR508" s="74"/>
      <c r="CS508" s="74"/>
      <c r="CT508" s="74"/>
      <c r="CU508" s="74"/>
      <c r="CV508" s="74"/>
      <c r="CW508" s="74"/>
      <c r="CX508" s="7"/>
      <c r="CY508" s="7"/>
      <c r="CZ508" s="74"/>
      <c r="DA508" s="74"/>
      <c r="DB508" s="74"/>
      <c r="DC508" s="74"/>
      <c r="DD508" s="74"/>
      <c r="DE508" s="74"/>
      <c r="DF508" s="74"/>
      <c r="DG508" s="74"/>
      <c r="DH508" s="74"/>
      <c r="DI508" s="74"/>
      <c r="DJ508" s="74"/>
      <c r="DK508" s="74"/>
      <c r="DL508" s="74"/>
      <c r="DM508" s="74"/>
      <c r="DN508" s="74"/>
      <c r="DO508" s="74"/>
      <c r="DP508" s="74"/>
      <c r="DQ508" s="74"/>
      <c r="DR508" s="74"/>
      <c r="DS508" s="74"/>
      <c r="DT508" s="74"/>
      <c r="DU508" s="74"/>
      <c r="DV508" s="74"/>
      <c r="DW508" s="74"/>
      <c r="DX508" s="74"/>
      <c r="DY508" s="74"/>
      <c r="DZ508" s="8">
        <f t="shared" si="137"/>
        <v>0</v>
      </c>
      <c r="EA508" s="3">
        <f t="shared" si="138"/>
        <v>0</v>
      </c>
      <c r="EB508" s="2">
        <f t="shared" si="139"/>
        <v>0</v>
      </c>
      <c r="EC508" s="112">
        <f t="shared" si="140"/>
        <v>0</v>
      </c>
      <c r="ED508" s="29">
        <f t="shared" si="141"/>
        <v>0</v>
      </c>
      <c r="EE508" s="2">
        <f t="shared" si="142"/>
        <v>0</v>
      </c>
      <c r="EF508" s="46">
        <f t="shared" si="143"/>
        <v>0</v>
      </c>
      <c r="EG508" s="46">
        <f t="shared" si="144"/>
        <v>0</v>
      </c>
      <c r="EH508" s="29">
        <f t="shared" si="145"/>
        <v>0</v>
      </c>
      <c r="EI508" s="29">
        <f>IF(COUNT(I508:AD508)&lt;5,DZ508,SUMPRODUCT(LARGE(I508:AD508,{1,2,3,4,5}))/5)</f>
        <v>0</v>
      </c>
      <c r="EJ508" s="29">
        <f>IF(COUNT(I508:BE508)&lt;5,DZ508,SUMPRODUCT(LARGE(I508:BE508,{1,2,3,4,5}))/5)</f>
        <v>0</v>
      </c>
      <c r="EK508" s="29">
        <f t="shared" si="146"/>
        <v>0</v>
      </c>
      <c r="EL508" s="29">
        <f t="shared" si="150"/>
        <v>0</v>
      </c>
      <c r="EM508" s="116">
        <f t="shared" si="147"/>
        <v>0</v>
      </c>
      <c r="EQ508"/>
    </row>
    <row r="509" spans="1:147" x14ac:dyDescent="0.25">
      <c r="A509" s="59"/>
      <c r="B509" s="32"/>
      <c r="C509" s="5"/>
      <c r="D509" s="6"/>
      <c r="E509" s="6"/>
      <c r="F509" s="6"/>
      <c r="G509" s="5"/>
      <c r="H509" s="99"/>
      <c r="I509" s="36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227"/>
      <c r="Z509" s="228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4"/>
      <c r="AP509" s="7"/>
      <c r="AQ509" s="74"/>
      <c r="AR509" s="70"/>
      <c r="AS509" s="7"/>
      <c r="AT509" s="70"/>
      <c r="AU509" s="7"/>
      <c r="AV509" s="70"/>
      <c r="AW509" s="7"/>
      <c r="AX509" s="8"/>
      <c r="AY509" s="36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4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101"/>
      <c r="CL509" s="74"/>
      <c r="CM509" s="74"/>
      <c r="CN509" s="74"/>
      <c r="CO509" s="70"/>
      <c r="CP509" s="74"/>
      <c r="CQ509" s="7"/>
      <c r="CR509" s="74"/>
      <c r="CS509" s="74"/>
      <c r="CT509" s="74"/>
      <c r="CU509" s="74"/>
      <c r="CV509" s="7"/>
      <c r="CW509" s="7"/>
      <c r="CX509" s="7"/>
      <c r="CY509" s="7"/>
      <c r="CZ509" s="7"/>
      <c r="DA509" s="7"/>
      <c r="DB509" s="7"/>
      <c r="DC509" s="7"/>
      <c r="DD509" s="7"/>
      <c r="DE509" s="74"/>
      <c r="DF509" s="74"/>
      <c r="DG509" s="74"/>
      <c r="DH509" s="7"/>
      <c r="DI509" s="74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8">
        <f t="shared" si="137"/>
        <v>0</v>
      </c>
      <c r="EA509" s="3">
        <f t="shared" si="138"/>
        <v>0</v>
      </c>
      <c r="EB509" s="2">
        <f t="shared" si="139"/>
        <v>0</v>
      </c>
      <c r="EC509" s="112">
        <f t="shared" si="140"/>
        <v>0</v>
      </c>
      <c r="ED509" s="29">
        <f t="shared" si="141"/>
        <v>0</v>
      </c>
      <c r="EE509" s="2">
        <f t="shared" si="142"/>
        <v>0</v>
      </c>
      <c r="EF509" s="46">
        <f t="shared" si="143"/>
        <v>0</v>
      </c>
      <c r="EG509" s="46">
        <f t="shared" si="144"/>
        <v>0</v>
      </c>
      <c r="EH509" s="2">
        <f t="shared" si="145"/>
        <v>0</v>
      </c>
      <c r="EI509" s="29">
        <f>IF(COUNT(I509:AD509)&lt;5,DZ509,SUMPRODUCT(LARGE(I509:AD509,{1,2,3,4,5}))/5)</f>
        <v>0</v>
      </c>
      <c r="EJ509" s="29">
        <f>IF(COUNT(I509:BE509)&lt;5,DZ509,SUMPRODUCT(LARGE(I509:BE509,{1,2,3,4,5}))/5)</f>
        <v>0</v>
      </c>
      <c r="EK509" s="29">
        <f t="shared" si="146"/>
        <v>0</v>
      </c>
      <c r="EL509" s="29">
        <f t="shared" si="150"/>
        <v>0</v>
      </c>
      <c r="EM509" s="116">
        <f t="shared" si="147"/>
        <v>0</v>
      </c>
      <c r="EQ509"/>
    </row>
    <row r="510" spans="1:147" x14ac:dyDescent="0.25">
      <c r="A510" s="59"/>
      <c r="B510" s="32"/>
      <c r="C510" s="5"/>
      <c r="D510" s="6"/>
      <c r="E510" s="6"/>
      <c r="F510" s="6"/>
      <c r="G510" s="5"/>
      <c r="H510" s="37"/>
      <c r="I510" s="36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227"/>
      <c r="Z510" s="228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4"/>
      <c r="AP510" s="7"/>
      <c r="AQ510" s="74"/>
      <c r="AR510" s="70"/>
      <c r="AS510" s="7"/>
      <c r="AT510" s="70"/>
      <c r="AU510" s="7"/>
      <c r="AV510" s="70"/>
      <c r="AW510" s="7"/>
      <c r="AX510" s="183"/>
      <c r="AY510" s="10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0"/>
      <c r="BK510" s="7"/>
      <c r="BL510" s="70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101"/>
      <c r="CL510" s="74"/>
      <c r="CM510" s="74"/>
      <c r="CN510" s="74"/>
      <c r="CO510" s="70"/>
      <c r="CP510" s="74"/>
      <c r="CQ510" s="7"/>
      <c r="CR510" s="74"/>
      <c r="CS510" s="74"/>
      <c r="CT510" s="74"/>
      <c r="CU510" s="74"/>
      <c r="CV510" s="74"/>
      <c r="CW510" s="7"/>
      <c r="CX510" s="7"/>
      <c r="CY510" s="7"/>
      <c r="CZ510" s="7"/>
      <c r="DA510" s="7"/>
      <c r="DB510" s="7"/>
      <c r="DC510" s="7"/>
      <c r="DD510" s="7"/>
      <c r="DE510" s="74"/>
      <c r="DF510" s="74"/>
      <c r="DG510" s="74"/>
      <c r="DH510" s="74"/>
      <c r="DI510" s="74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8">
        <f t="shared" si="137"/>
        <v>0</v>
      </c>
      <c r="EA510" s="3">
        <f t="shared" si="138"/>
        <v>0</v>
      </c>
      <c r="EB510" s="2">
        <f t="shared" si="139"/>
        <v>0</v>
      </c>
      <c r="EC510" s="112">
        <f t="shared" si="140"/>
        <v>0</v>
      </c>
      <c r="ED510" s="29">
        <f t="shared" si="141"/>
        <v>0</v>
      </c>
      <c r="EE510" s="2">
        <f t="shared" si="142"/>
        <v>0</v>
      </c>
      <c r="EF510" s="46">
        <f t="shared" si="143"/>
        <v>0</v>
      </c>
      <c r="EG510" s="46">
        <f t="shared" si="144"/>
        <v>0</v>
      </c>
      <c r="EH510" s="2">
        <f t="shared" si="145"/>
        <v>0</v>
      </c>
      <c r="EI510" s="29">
        <f>IF(COUNT(I510:AD510)&lt;5,DZ510,SUMPRODUCT(LARGE(I510:AD510,{1,2,3,4,5}))/5)</f>
        <v>0</v>
      </c>
      <c r="EJ510" s="29">
        <f>IF(COUNT(I510:BE510)&lt;5,DZ510,SUMPRODUCT(LARGE(I510:BE510,{1,2,3,4,5}))/5)</f>
        <v>0</v>
      </c>
      <c r="EK510" s="29">
        <f t="shared" si="146"/>
        <v>0</v>
      </c>
      <c r="EL510" s="29">
        <f t="shared" si="150"/>
        <v>0</v>
      </c>
      <c r="EM510" s="116">
        <f t="shared" si="147"/>
        <v>0</v>
      </c>
      <c r="EQ510"/>
    </row>
    <row r="511" spans="1:147" x14ac:dyDescent="0.25">
      <c r="A511" s="59"/>
      <c r="B511" s="32"/>
      <c r="C511" s="5"/>
      <c r="D511" s="6"/>
      <c r="E511" s="6"/>
      <c r="F511" s="6"/>
      <c r="G511" s="5"/>
      <c r="H511" s="99"/>
      <c r="I511" s="107"/>
      <c r="J511" s="7"/>
      <c r="K511" s="74"/>
      <c r="L511" s="7"/>
      <c r="M511" s="74"/>
      <c r="N511" s="74"/>
      <c r="O511" s="7"/>
      <c r="P511" s="74"/>
      <c r="Q511" s="7"/>
      <c r="R511" s="74"/>
      <c r="S511" s="74"/>
      <c r="T511" s="7"/>
      <c r="U511" s="7"/>
      <c r="V511" s="74"/>
      <c r="W511" s="7"/>
      <c r="X511" s="7"/>
      <c r="Y511" s="227"/>
      <c r="Z511" s="228"/>
      <c r="AA511" s="74"/>
      <c r="AB511" s="74"/>
      <c r="AC511" s="74"/>
      <c r="AD511" s="74"/>
      <c r="AE511" s="7"/>
      <c r="AF511" s="74"/>
      <c r="AG511" s="74"/>
      <c r="AH511" s="7"/>
      <c r="AI511" s="7"/>
      <c r="AJ511" s="7"/>
      <c r="AK511" s="7"/>
      <c r="AL511" s="7"/>
      <c r="AM511" s="7"/>
      <c r="AN511" s="7"/>
      <c r="AO511" s="74"/>
      <c r="AP511" s="7"/>
      <c r="AQ511" s="74"/>
      <c r="AR511" s="101"/>
      <c r="AS511" s="7"/>
      <c r="AT511" s="101"/>
      <c r="AU511" s="7"/>
      <c r="AV511" s="101"/>
      <c r="AW511" s="7"/>
      <c r="AX511" s="183"/>
      <c r="AY511" s="107"/>
      <c r="AZ511" s="74"/>
      <c r="BA511" s="74"/>
      <c r="BB511" s="74"/>
      <c r="BC511" s="74"/>
      <c r="BD511" s="7"/>
      <c r="BE511" s="7"/>
      <c r="BF511" s="74"/>
      <c r="BG511" s="74"/>
      <c r="BH511" s="74"/>
      <c r="BI511" s="74"/>
      <c r="BJ511" s="74"/>
      <c r="BK511" s="7"/>
      <c r="BL511" s="74"/>
      <c r="BM511" s="7"/>
      <c r="BN511" s="74"/>
      <c r="BO511" s="74"/>
      <c r="BP511" s="7"/>
      <c r="BQ511" s="7"/>
      <c r="BR511" s="74"/>
      <c r="BS511" s="7"/>
      <c r="BT511" s="7"/>
      <c r="BU511" s="74"/>
      <c r="BV511" s="74"/>
      <c r="BW511" s="74"/>
      <c r="BX511" s="74"/>
      <c r="BY511" s="74"/>
      <c r="BZ511" s="74"/>
      <c r="CA511" s="74"/>
      <c r="CB511" s="74"/>
      <c r="CC511" s="74"/>
      <c r="CD511" s="74"/>
      <c r="CE511" s="7"/>
      <c r="CF511" s="74"/>
      <c r="CG511" s="74"/>
      <c r="CH511" s="7"/>
      <c r="CI511" s="74"/>
      <c r="CJ511" s="74"/>
      <c r="CK511" s="101"/>
      <c r="CL511" s="74"/>
      <c r="CM511" s="74"/>
      <c r="CN511" s="74"/>
      <c r="CO511" s="101"/>
      <c r="CP511" s="74"/>
      <c r="CQ511" s="74"/>
      <c r="CR511" s="74"/>
      <c r="CS511" s="74"/>
      <c r="CT511" s="74"/>
      <c r="CU511" s="74"/>
      <c r="CV511" s="74"/>
      <c r="CW511" s="74"/>
      <c r="CX511" s="7"/>
      <c r="CY511" s="7"/>
      <c r="CZ511" s="74"/>
      <c r="DA511" s="74"/>
      <c r="DB511" s="74"/>
      <c r="DC511" s="74"/>
      <c r="DD511" s="74"/>
      <c r="DE511" s="74"/>
      <c r="DF511" s="74"/>
      <c r="DG511" s="74"/>
      <c r="DH511" s="74"/>
      <c r="DI511" s="74"/>
      <c r="DJ511" s="74"/>
      <c r="DK511" s="74"/>
      <c r="DL511" s="74"/>
      <c r="DM511" s="74"/>
      <c r="DN511" s="74"/>
      <c r="DO511" s="74"/>
      <c r="DP511" s="74"/>
      <c r="DQ511" s="74"/>
      <c r="DR511" s="74"/>
      <c r="DS511" s="74"/>
      <c r="DT511" s="74"/>
      <c r="DU511" s="74"/>
      <c r="DV511" s="74"/>
      <c r="DW511" s="74"/>
      <c r="DX511" s="74"/>
      <c r="DY511" s="74"/>
      <c r="DZ511" s="8">
        <f t="shared" si="137"/>
        <v>0</v>
      </c>
      <c r="EA511" s="3">
        <f t="shared" si="138"/>
        <v>0</v>
      </c>
      <c r="EB511" s="2">
        <f t="shared" si="139"/>
        <v>0</v>
      </c>
      <c r="EC511" s="112">
        <f t="shared" si="140"/>
        <v>0</v>
      </c>
      <c r="ED511" s="29">
        <f t="shared" si="141"/>
        <v>0</v>
      </c>
      <c r="EE511" s="2">
        <f t="shared" si="142"/>
        <v>0</v>
      </c>
      <c r="EF511" s="46">
        <f t="shared" si="143"/>
        <v>0</v>
      </c>
      <c r="EG511" s="46">
        <f t="shared" si="144"/>
        <v>0</v>
      </c>
      <c r="EH511" s="29">
        <f t="shared" si="145"/>
        <v>0</v>
      </c>
      <c r="EI511" s="29">
        <f>IF(COUNT(I511:AD511)&lt;5,DZ511,SUMPRODUCT(LARGE(I511:AD511,{1,2,3,4,5}))/5)</f>
        <v>0</v>
      </c>
      <c r="EJ511" s="29">
        <f>IF(COUNT(I511:BE511)&lt;5,DZ511,SUMPRODUCT(LARGE(I511:BE511,{1,2,3,4,5}))/5)</f>
        <v>0</v>
      </c>
      <c r="EK511" s="29">
        <f t="shared" si="146"/>
        <v>0</v>
      </c>
      <c r="EL511" s="29">
        <f t="shared" si="150"/>
        <v>0</v>
      </c>
      <c r="EM511" s="116">
        <f t="shared" si="147"/>
        <v>0</v>
      </c>
      <c r="EQ511"/>
    </row>
    <row r="512" spans="1:147" x14ac:dyDescent="0.25">
      <c r="A512" s="59"/>
      <c r="B512" s="32"/>
      <c r="C512" s="5"/>
      <c r="D512" s="6"/>
      <c r="E512" s="6"/>
      <c r="F512" s="6"/>
      <c r="G512" s="5"/>
      <c r="H512" s="37"/>
      <c r="I512" s="107"/>
      <c r="J512" s="7"/>
      <c r="K512" s="74"/>
      <c r="L512" s="7"/>
      <c r="M512" s="74"/>
      <c r="N512" s="74"/>
      <c r="O512" s="7"/>
      <c r="P512" s="74"/>
      <c r="Q512" s="7"/>
      <c r="R512" s="74"/>
      <c r="S512" s="74"/>
      <c r="T512" s="7"/>
      <c r="U512" s="7"/>
      <c r="V512" s="74"/>
      <c r="W512" s="7"/>
      <c r="X512" s="74"/>
      <c r="Y512" s="227"/>
      <c r="Z512" s="228"/>
      <c r="AA512" s="74"/>
      <c r="AB512" s="74"/>
      <c r="AC512" s="74"/>
      <c r="AD512" s="74"/>
      <c r="AE512" s="7"/>
      <c r="AF512" s="74"/>
      <c r="AG512" s="74"/>
      <c r="AH512" s="7"/>
      <c r="AI512" s="7"/>
      <c r="AJ512" s="7"/>
      <c r="AK512" s="7"/>
      <c r="AL512" s="7"/>
      <c r="AM512" s="7"/>
      <c r="AN512" s="7"/>
      <c r="AO512" s="74"/>
      <c r="AP512" s="7"/>
      <c r="AQ512" s="74"/>
      <c r="AR512" s="101"/>
      <c r="AS512" s="7"/>
      <c r="AT512" s="101"/>
      <c r="AU512" s="7"/>
      <c r="AV512" s="101"/>
      <c r="AW512" s="7"/>
      <c r="AX512" s="8"/>
      <c r="AY512" s="36"/>
      <c r="AZ512" s="74"/>
      <c r="BA512" s="74"/>
      <c r="BB512" s="74"/>
      <c r="BC512" s="74"/>
      <c r="BD512" s="7"/>
      <c r="BE512" s="7"/>
      <c r="BF512" s="74"/>
      <c r="BG512" s="74"/>
      <c r="BH512" s="74"/>
      <c r="BI512" s="74"/>
      <c r="BJ512" s="74"/>
      <c r="BK512" s="7"/>
      <c r="BL512" s="74"/>
      <c r="BM512" s="7"/>
      <c r="BN512" s="74"/>
      <c r="BO512" s="74"/>
      <c r="BP512" s="7"/>
      <c r="BQ512" s="7"/>
      <c r="BR512" s="74"/>
      <c r="BS512" s="7"/>
      <c r="BT512" s="7"/>
      <c r="BU512" s="74"/>
      <c r="BV512" s="74"/>
      <c r="BW512" s="74"/>
      <c r="BX512" s="74"/>
      <c r="BY512" s="74"/>
      <c r="BZ512" s="74"/>
      <c r="CA512" s="74"/>
      <c r="CB512" s="74"/>
      <c r="CC512" s="74"/>
      <c r="CD512" s="74"/>
      <c r="CE512" s="7"/>
      <c r="CF512" s="74"/>
      <c r="CG512" s="74"/>
      <c r="CH512" s="7"/>
      <c r="CI512" s="74"/>
      <c r="CJ512" s="74"/>
      <c r="CK512" s="101"/>
      <c r="CL512" s="74"/>
      <c r="CM512" s="74"/>
      <c r="CN512" s="74"/>
      <c r="CO512" s="101"/>
      <c r="CP512" s="74"/>
      <c r="CQ512" s="74"/>
      <c r="CR512" s="74"/>
      <c r="CS512" s="74"/>
      <c r="CT512" s="74"/>
      <c r="CU512" s="74"/>
      <c r="CV512" s="74"/>
      <c r="CW512" s="74"/>
      <c r="CX512" s="7"/>
      <c r="CY512" s="7"/>
      <c r="CZ512" s="74"/>
      <c r="DA512" s="74"/>
      <c r="DB512" s="74"/>
      <c r="DC512" s="74"/>
      <c r="DD512" s="74"/>
      <c r="DE512" s="74"/>
      <c r="DF512" s="74"/>
      <c r="DG512" s="74"/>
      <c r="DH512" s="74"/>
      <c r="DI512" s="74"/>
      <c r="DJ512" s="7"/>
      <c r="DK512" s="74"/>
      <c r="DL512" s="7"/>
      <c r="DM512" s="74"/>
      <c r="DN512" s="74"/>
      <c r="DO512" s="74"/>
      <c r="DP512" s="74"/>
      <c r="DQ512" s="74"/>
      <c r="DR512" s="74"/>
      <c r="DS512" s="74"/>
      <c r="DT512" s="74"/>
      <c r="DU512" s="74"/>
      <c r="DV512" s="74"/>
      <c r="DW512" s="74"/>
      <c r="DX512" s="74"/>
      <c r="DY512" s="74"/>
      <c r="DZ512" s="8">
        <f t="shared" si="137"/>
        <v>0</v>
      </c>
      <c r="EA512" s="3">
        <f t="shared" si="138"/>
        <v>0</v>
      </c>
      <c r="EB512" s="2">
        <f t="shared" si="139"/>
        <v>0</v>
      </c>
      <c r="EC512" s="112">
        <f t="shared" si="140"/>
        <v>0</v>
      </c>
      <c r="ED512" s="29">
        <f t="shared" si="141"/>
        <v>0</v>
      </c>
      <c r="EE512" s="2">
        <f t="shared" si="142"/>
        <v>0</v>
      </c>
      <c r="EF512" s="46">
        <f t="shared" si="143"/>
        <v>0</v>
      </c>
      <c r="EG512" s="46">
        <f t="shared" si="144"/>
        <v>0</v>
      </c>
      <c r="EH512" s="29">
        <f t="shared" si="145"/>
        <v>0</v>
      </c>
      <c r="EI512" s="29">
        <f>IF(COUNT(I512:AD512)&lt;5,DZ512,SUMPRODUCT(LARGE(I512:AD512,{1,2,3,4,5}))/5)</f>
        <v>0</v>
      </c>
      <c r="EJ512" s="29">
        <f>IF(COUNT(I512:BE512)&lt;5,DZ512,SUMPRODUCT(LARGE(I512:BE512,{1,2,3,4,5}))/5)</f>
        <v>0</v>
      </c>
      <c r="EK512" s="29">
        <f t="shared" si="146"/>
        <v>0</v>
      </c>
      <c r="EL512" s="29">
        <f t="shared" si="150"/>
        <v>0</v>
      </c>
      <c r="EM512" s="116">
        <f t="shared" si="147"/>
        <v>0</v>
      </c>
      <c r="EQ512"/>
    </row>
    <row r="513" spans="1:147" x14ac:dyDescent="0.25">
      <c r="A513" s="59"/>
      <c r="B513" s="4"/>
      <c r="C513" s="5"/>
      <c r="D513" s="6"/>
      <c r="E513" s="6"/>
      <c r="F513" s="6"/>
      <c r="G513" s="5"/>
      <c r="H513" s="37"/>
      <c r="I513" s="36"/>
      <c r="J513" s="7"/>
      <c r="K513" s="7"/>
      <c r="L513" s="7"/>
      <c r="M513" s="74"/>
      <c r="N513" s="74"/>
      <c r="O513" s="7"/>
      <c r="P513" s="74"/>
      <c r="Q513" s="7"/>
      <c r="R513" s="74"/>
      <c r="S513" s="74"/>
      <c r="T513" s="7"/>
      <c r="U513" s="7"/>
      <c r="V513" s="74"/>
      <c r="W513" s="7"/>
      <c r="X513" s="74"/>
      <c r="Y513" s="227"/>
      <c r="Z513" s="228"/>
      <c r="AA513" s="74"/>
      <c r="AB513" s="74"/>
      <c r="AC513" s="74"/>
      <c r="AD513" s="74"/>
      <c r="AE513" s="7"/>
      <c r="AF513" s="74"/>
      <c r="AG513" s="74"/>
      <c r="AH513" s="7"/>
      <c r="AI513" s="7"/>
      <c r="AJ513" s="7"/>
      <c r="AK513" s="7"/>
      <c r="AL513" s="7"/>
      <c r="AM513" s="7"/>
      <c r="AN513" s="7"/>
      <c r="AO513" s="74"/>
      <c r="AP513" s="7"/>
      <c r="AQ513" s="74"/>
      <c r="AR513" s="101"/>
      <c r="AS513" s="7"/>
      <c r="AT513" s="101"/>
      <c r="AU513" s="7"/>
      <c r="AV513" s="101"/>
      <c r="AW513" s="7"/>
      <c r="AX513" s="8"/>
      <c r="AY513" s="36"/>
      <c r="AZ513" s="74"/>
      <c r="BA513" s="74"/>
      <c r="BB513" s="74"/>
      <c r="BC513" s="74"/>
      <c r="BD513" s="7"/>
      <c r="BE513" s="7"/>
      <c r="BF513" s="74"/>
      <c r="BG513" s="74"/>
      <c r="BH513" s="74"/>
      <c r="BI513" s="74"/>
      <c r="BJ513" s="74"/>
      <c r="BK513" s="7"/>
      <c r="BL513" s="74"/>
      <c r="BM513" s="7"/>
      <c r="BN513" s="74"/>
      <c r="BO513" s="74"/>
      <c r="BP513" s="7"/>
      <c r="BQ513" s="7"/>
      <c r="BR513" s="74"/>
      <c r="BS513" s="7"/>
      <c r="BT513" s="7"/>
      <c r="BU513" s="74"/>
      <c r="BV513" s="74"/>
      <c r="BW513" s="74"/>
      <c r="BX513" s="74"/>
      <c r="BY513" s="74"/>
      <c r="BZ513" s="74"/>
      <c r="CA513" s="74"/>
      <c r="CB513" s="74"/>
      <c r="CC513" s="74"/>
      <c r="CD513" s="74"/>
      <c r="CE513" s="7"/>
      <c r="CF513" s="74"/>
      <c r="CG513" s="74"/>
      <c r="CH513" s="7"/>
      <c r="CI513" s="74"/>
      <c r="CJ513" s="74"/>
      <c r="CK513" s="101"/>
      <c r="CL513" s="74"/>
      <c r="CM513" s="74"/>
      <c r="CN513" s="74"/>
      <c r="CO513" s="101"/>
      <c r="CP513" s="74"/>
      <c r="CQ513" s="74"/>
      <c r="CR513" s="74"/>
      <c r="CS513" s="74"/>
      <c r="CT513" s="74"/>
      <c r="CU513" s="74"/>
      <c r="CV513" s="74"/>
      <c r="CW513" s="74"/>
      <c r="CX513" s="7"/>
      <c r="CY513" s="7"/>
      <c r="CZ513" s="74"/>
      <c r="DA513" s="74"/>
      <c r="DB513" s="74"/>
      <c r="DC513" s="74"/>
      <c r="DD513" s="74"/>
      <c r="DE513" s="74"/>
      <c r="DF513" s="74"/>
      <c r="DG513" s="74"/>
      <c r="DH513" s="74"/>
      <c r="DI513" s="74"/>
      <c r="DJ513" s="74"/>
      <c r="DK513" s="74"/>
      <c r="DL513" s="74"/>
      <c r="DM513" s="74"/>
      <c r="DN513" s="74"/>
      <c r="DO513" s="74"/>
      <c r="DP513" s="74"/>
      <c r="DQ513" s="74"/>
      <c r="DR513" s="74"/>
      <c r="DS513" s="74"/>
      <c r="DT513" s="74"/>
      <c r="DU513" s="74"/>
      <c r="DV513" s="74"/>
      <c r="DW513" s="74"/>
      <c r="DX513" s="74"/>
      <c r="DY513" s="74"/>
      <c r="DZ513" s="8">
        <f t="shared" si="137"/>
        <v>0</v>
      </c>
      <c r="EA513" s="3">
        <f t="shared" si="138"/>
        <v>0</v>
      </c>
      <c r="EB513" s="2">
        <f t="shared" si="139"/>
        <v>0</v>
      </c>
      <c r="EC513" s="112">
        <f t="shared" si="140"/>
        <v>0</v>
      </c>
      <c r="ED513" s="29">
        <f t="shared" si="141"/>
        <v>0</v>
      </c>
      <c r="EE513" s="2">
        <f t="shared" si="142"/>
        <v>0</v>
      </c>
      <c r="EF513" s="46">
        <f t="shared" si="143"/>
        <v>0</v>
      </c>
      <c r="EG513" s="46">
        <f t="shared" si="144"/>
        <v>0</v>
      </c>
      <c r="EH513" s="29">
        <f t="shared" si="145"/>
        <v>0</v>
      </c>
      <c r="EI513" s="29">
        <f>IF(COUNT(I513:AD513)&lt;5,DZ513,SUMPRODUCT(LARGE(I513:AD513,{1,2,3,4,5}))/5)</f>
        <v>0</v>
      </c>
      <c r="EJ513" s="29">
        <f>IF(COUNT(I513:BE513)&lt;5,DZ513,SUMPRODUCT(LARGE(I513:BE513,{1,2,3,4,5}))/5)</f>
        <v>0</v>
      </c>
      <c r="EK513" s="29">
        <f t="shared" si="146"/>
        <v>0</v>
      </c>
      <c r="EL513" s="29">
        <f t="shared" si="150"/>
        <v>0</v>
      </c>
      <c r="EM513" s="116">
        <f t="shared" si="147"/>
        <v>0</v>
      </c>
      <c r="EQ513"/>
    </row>
    <row r="514" spans="1:147" x14ac:dyDescent="0.25">
      <c r="A514" s="59"/>
      <c r="B514" s="32"/>
      <c r="C514" s="5"/>
      <c r="D514" s="6"/>
      <c r="E514" s="6"/>
      <c r="F514" s="6"/>
      <c r="G514" s="5"/>
      <c r="H514" s="37"/>
      <c r="I514" s="36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227"/>
      <c r="Z514" s="228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4"/>
      <c r="AP514" s="7"/>
      <c r="AQ514" s="74"/>
      <c r="AR514" s="70"/>
      <c r="AS514" s="7"/>
      <c r="AT514" s="70"/>
      <c r="AU514" s="7"/>
      <c r="AV514" s="70"/>
      <c r="AW514" s="7"/>
      <c r="AX514" s="183"/>
      <c r="AY514" s="10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101"/>
      <c r="CL514" s="74"/>
      <c r="CM514" s="74"/>
      <c r="CN514" s="74"/>
      <c r="CO514" s="70"/>
      <c r="CP514" s="74"/>
      <c r="CQ514" s="7"/>
      <c r="CR514" s="74"/>
      <c r="CS514" s="74"/>
      <c r="CT514" s="74"/>
      <c r="CU514" s="74"/>
      <c r="CV514" s="74"/>
      <c r="CW514" s="7"/>
      <c r="CX514" s="7"/>
      <c r="CY514" s="7"/>
      <c r="CZ514" s="74"/>
      <c r="DA514" s="7"/>
      <c r="DB514" s="7"/>
      <c r="DC514" s="7"/>
      <c r="DD514" s="7"/>
      <c r="DE514" s="74"/>
      <c r="DF514" s="74"/>
      <c r="DG514" s="74"/>
      <c r="DH514" s="74"/>
      <c r="DI514" s="74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8">
        <f t="shared" si="137"/>
        <v>0</v>
      </c>
      <c r="EA514" s="3">
        <f t="shared" si="138"/>
        <v>0</v>
      </c>
      <c r="EB514" s="2">
        <f t="shared" si="139"/>
        <v>0</v>
      </c>
      <c r="EC514" s="112">
        <f t="shared" si="140"/>
        <v>0</v>
      </c>
      <c r="ED514" s="29">
        <f t="shared" si="141"/>
        <v>0</v>
      </c>
      <c r="EE514" s="2">
        <f t="shared" si="142"/>
        <v>0</v>
      </c>
      <c r="EF514" s="46">
        <f t="shared" si="143"/>
        <v>0</v>
      </c>
      <c r="EG514" s="46">
        <f t="shared" si="144"/>
        <v>0</v>
      </c>
      <c r="EH514" s="2">
        <f t="shared" si="145"/>
        <v>0</v>
      </c>
      <c r="EI514" s="29">
        <f>IF(COUNT(I514:AD514)&lt;5,DZ514,SUMPRODUCT(LARGE(I514:AD514,{1,2,3,4,5}))/5)</f>
        <v>0</v>
      </c>
      <c r="EJ514" s="29">
        <f>IF(COUNT(I514:BE514)&lt;5,DZ514,SUMPRODUCT(LARGE(I514:BE514,{1,2,3,4,5}))/5)</f>
        <v>0</v>
      </c>
      <c r="EK514" s="29">
        <f t="shared" si="146"/>
        <v>0</v>
      </c>
      <c r="EL514" s="29">
        <f t="shared" si="150"/>
        <v>0</v>
      </c>
      <c r="EM514" s="116">
        <f t="shared" si="147"/>
        <v>0</v>
      </c>
      <c r="EQ514"/>
    </row>
    <row r="515" spans="1:147" x14ac:dyDescent="0.25">
      <c r="A515" s="59"/>
      <c r="B515" s="32"/>
      <c r="C515" s="5"/>
      <c r="D515" s="6"/>
      <c r="E515" s="6"/>
      <c r="F515" s="6"/>
      <c r="G515" s="5"/>
      <c r="H515" s="37"/>
      <c r="I515" s="36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227"/>
      <c r="Z515" s="228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4"/>
      <c r="AP515" s="7"/>
      <c r="AQ515" s="74"/>
      <c r="AR515" s="70"/>
      <c r="AS515" s="7"/>
      <c r="AT515" s="70"/>
      <c r="AU515" s="7"/>
      <c r="AV515" s="70"/>
      <c r="AW515" s="7"/>
      <c r="AX515" s="183"/>
      <c r="AY515" s="10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101"/>
      <c r="CL515" s="74"/>
      <c r="CM515" s="74"/>
      <c r="CN515" s="74"/>
      <c r="CO515" s="70"/>
      <c r="CP515" s="74"/>
      <c r="CQ515" s="7"/>
      <c r="CR515" s="74"/>
      <c r="CS515" s="74"/>
      <c r="CT515" s="74"/>
      <c r="CU515" s="74"/>
      <c r="CV515" s="74"/>
      <c r="CW515" s="7"/>
      <c r="CX515" s="7"/>
      <c r="CY515" s="7"/>
      <c r="CZ515" s="7"/>
      <c r="DA515" s="7"/>
      <c r="DB515" s="7"/>
      <c r="DC515" s="7"/>
      <c r="DD515" s="7"/>
      <c r="DE515" s="74"/>
      <c r="DF515" s="74"/>
      <c r="DG515" s="74"/>
      <c r="DH515" s="74"/>
      <c r="DI515" s="74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8">
        <f t="shared" si="137"/>
        <v>0</v>
      </c>
      <c r="EA515" s="3">
        <f t="shared" si="138"/>
        <v>0</v>
      </c>
      <c r="EB515" s="2">
        <f t="shared" si="139"/>
        <v>0</v>
      </c>
      <c r="EC515" s="112">
        <f t="shared" si="140"/>
        <v>0</v>
      </c>
      <c r="ED515" s="29">
        <f t="shared" si="141"/>
        <v>0</v>
      </c>
      <c r="EE515" s="2">
        <f t="shared" si="142"/>
        <v>0</v>
      </c>
      <c r="EF515" s="46">
        <f t="shared" si="143"/>
        <v>0</v>
      </c>
      <c r="EG515" s="46">
        <f t="shared" si="144"/>
        <v>0</v>
      </c>
      <c r="EH515" s="2">
        <f t="shared" si="145"/>
        <v>0</v>
      </c>
      <c r="EI515" s="29">
        <f>IF(COUNT(I515:AD515)&lt;5,DZ515,SUMPRODUCT(LARGE(I515:AD515,{1,2,3,4,5}))/5)</f>
        <v>0</v>
      </c>
      <c r="EJ515" s="29">
        <f>IF(COUNT(I515:BE515)&lt;5,DZ515,SUMPRODUCT(LARGE(I515:BE515,{1,2,3,4,5}))/5)</f>
        <v>0</v>
      </c>
      <c r="EK515" s="29">
        <f t="shared" si="146"/>
        <v>0</v>
      </c>
      <c r="EL515" s="29">
        <f t="shared" si="150"/>
        <v>0</v>
      </c>
      <c r="EM515" s="116">
        <f t="shared" si="147"/>
        <v>0</v>
      </c>
      <c r="EQ515"/>
    </row>
    <row r="516" spans="1:147" x14ac:dyDescent="0.25">
      <c r="A516" s="59"/>
      <c r="B516" s="32"/>
      <c r="C516" s="5"/>
      <c r="D516" s="6"/>
      <c r="E516" s="6"/>
      <c r="F516" s="6"/>
      <c r="G516" s="5"/>
      <c r="H516" s="37"/>
      <c r="I516" s="107"/>
      <c r="J516" s="7"/>
      <c r="K516" s="74"/>
      <c r="L516" s="7"/>
      <c r="M516" s="74"/>
      <c r="N516" s="74"/>
      <c r="O516" s="7"/>
      <c r="P516" s="74"/>
      <c r="Q516" s="7"/>
      <c r="R516" s="74"/>
      <c r="S516" s="74"/>
      <c r="T516" s="7"/>
      <c r="U516" s="7"/>
      <c r="V516" s="74"/>
      <c r="W516" s="7"/>
      <c r="X516" s="74"/>
      <c r="Y516" s="227"/>
      <c r="Z516" s="228"/>
      <c r="AA516" s="74"/>
      <c r="AB516" s="74"/>
      <c r="AC516" s="74"/>
      <c r="AD516" s="74"/>
      <c r="AE516" s="7"/>
      <c r="AF516" s="74"/>
      <c r="AG516" s="74"/>
      <c r="AH516" s="7"/>
      <c r="AI516" s="7"/>
      <c r="AJ516" s="7"/>
      <c r="AK516" s="7"/>
      <c r="AL516" s="7"/>
      <c r="AM516" s="7"/>
      <c r="AN516" s="7"/>
      <c r="AO516" s="74"/>
      <c r="AP516" s="7"/>
      <c r="AQ516" s="74"/>
      <c r="AR516" s="101"/>
      <c r="AS516" s="7"/>
      <c r="AT516" s="101"/>
      <c r="AU516" s="7"/>
      <c r="AV516" s="101"/>
      <c r="AW516" s="7"/>
      <c r="AX516" s="183"/>
      <c r="AY516" s="107"/>
      <c r="AZ516" s="74"/>
      <c r="BA516" s="74"/>
      <c r="BB516" s="74"/>
      <c r="BC516" s="74"/>
      <c r="BD516" s="7"/>
      <c r="BE516" s="7"/>
      <c r="BF516" s="74"/>
      <c r="BG516" s="74"/>
      <c r="BH516" s="74"/>
      <c r="BI516" s="74"/>
      <c r="BJ516" s="74"/>
      <c r="BK516" s="7"/>
      <c r="BL516" s="74"/>
      <c r="BM516" s="7"/>
      <c r="BN516" s="74"/>
      <c r="BO516" s="74"/>
      <c r="BP516" s="7"/>
      <c r="BQ516" s="7"/>
      <c r="BR516" s="74"/>
      <c r="BS516" s="7"/>
      <c r="BT516" s="7"/>
      <c r="BU516" s="74"/>
      <c r="BV516" s="74"/>
      <c r="BW516" s="74"/>
      <c r="BX516" s="74"/>
      <c r="BY516" s="74"/>
      <c r="BZ516" s="74"/>
      <c r="CA516" s="74"/>
      <c r="CB516" s="74"/>
      <c r="CC516" s="74"/>
      <c r="CD516" s="74"/>
      <c r="CE516" s="7"/>
      <c r="CF516" s="74"/>
      <c r="CG516" s="74"/>
      <c r="CH516" s="7"/>
      <c r="CI516" s="74"/>
      <c r="CJ516" s="74"/>
      <c r="CK516" s="101"/>
      <c r="CL516" s="74"/>
      <c r="CM516" s="74"/>
      <c r="CN516" s="74"/>
      <c r="CO516" s="101"/>
      <c r="CP516" s="74"/>
      <c r="CQ516" s="74"/>
      <c r="CR516" s="74"/>
      <c r="CS516" s="74"/>
      <c r="CT516" s="74"/>
      <c r="CU516" s="74"/>
      <c r="CV516" s="74"/>
      <c r="CW516" s="74"/>
      <c r="CX516" s="7"/>
      <c r="CY516" s="7"/>
      <c r="CZ516" s="74"/>
      <c r="DA516" s="74"/>
      <c r="DB516" s="74"/>
      <c r="DC516" s="74"/>
      <c r="DD516" s="74"/>
      <c r="DE516" s="74"/>
      <c r="DF516" s="74"/>
      <c r="DG516" s="74"/>
      <c r="DH516" s="74"/>
      <c r="DI516" s="74"/>
      <c r="DJ516" s="74"/>
      <c r="DK516" s="74"/>
      <c r="DL516" s="74"/>
      <c r="DM516" s="74"/>
      <c r="DN516" s="74"/>
      <c r="DO516" s="74"/>
      <c r="DP516" s="74"/>
      <c r="DQ516" s="74"/>
      <c r="DR516" s="74"/>
      <c r="DS516" s="74"/>
      <c r="DT516" s="74"/>
      <c r="DU516" s="74"/>
      <c r="DV516" s="74"/>
      <c r="DW516" s="74"/>
      <c r="DX516" s="74"/>
      <c r="DY516" s="74"/>
      <c r="DZ516" s="8">
        <f t="shared" si="137"/>
        <v>0</v>
      </c>
      <c r="EA516" s="3">
        <f t="shared" si="138"/>
        <v>0</v>
      </c>
      <c r="EB516" s="2">
        <f t="shared" si="139"/>
        <v>0</v>
      </c>
      <c r="EC516" s="112">
        <f t="shared" si="140"/>
        <v>0</v>
      </c>
      <c r="ED516" s="29">
        <f t="shared" si="141"/>
        <v>0</v>
      </c>
      <c r="EE516" s="2">
        <f t="shared" si="142"/>
        <v>0</v>
      </c>
      <c r="EF516" s="46">
        <f t="shared" si="143"/>
        <v>0</v>
      </c>
      <c r="EG516" s="46">
        <f t="shared" si="144"/>
        <v>0</v>
      </c>
      <c r="EH516" s="29">
        <f t="shared" si="145"/>
        <v>0</v>
      </c>
      <c r="EI516" s="29">
        <f>IF(COUNT(I516:AD516)&lt;5,DZ516,SUMPRODUCT(LARGE(I516:AD516,{1,2,3,4,5}))/5)</f>
        <v>0</v>
      </c>
      <c r="EJ516" s="29">
        <f>IF(COUNT(I516:BE516)&lt;5,DZ516,SUMPRODUCT(LARGE(I516:BE516,{1,2,3,4,5}))/5)</f>
        <v>0</v>
      </c>
      <c r="EK516" s="29">
        <f t="shared" si="146"/>
        <v>0</v>
      </c>
      <c r="EL516" s="29">
        <f t="shared" si="150"/>
        <v>0</v>
      </c>
      <c r="EM516" s="116">
        <f t="shared" si="147"/>
        <v>0</v>
      </c>
      <c r="EQ516"/>
    </row>
    <row r="517" spans="1:147" x14ac:dyDescent="0.25">
      <c r="A517" s="59"/>
      <c r="B517" s="32"/>
      <c r="C517" s="5"/>
      <c r="D517" s="6"/>
      <c r="E517" s="6"/>
      <c r="F517" s="6"/>
      <c r="G517" s="5"/>
      <c r="H517" s="37"/>
      <c r="I517" s="107"/>
      <c r="J517" s="7"/>
      <c r="K517" s="74"/>
      <c r="L517" s="7"/>
      <c r="M517" s="74"/>
      <c r="N517" s="74"/>
      <c r="O517" s="7"/>
      <c r="P517" s="7"/>
      <c r="Q517" s="7"/>
      <c r="R517" s="74"/>
      <c r="S517" s="74"/>
      <c r="T517" s="7"/>
      <c r="U517" s="7"/>
      <c r="V517" s="74"/>
      <c r="W517" s="7"/>
      <c r="X517" s="74"/>
      <c r="Y517" s="227"/>
      <c r="Z517" s="228"/>
      <c r="AA517" s="74"/>
      <c r="AB517" s="74"/>
      <c r="AC517" s="74"/>
      <c r="AD517" s="74"/>
      <c r="AE517" s="7"/>
      <c r="AF517" s="74"/>
      <c r="AG517" s="74"/>
      <c r="AH517" s="7"/>
      <c r="AI517" s="7"/>
      <c r="AJ517" s="7"/>
      <c r="AK517" s="7"/>
      <c r="AL517" s="7"/>
      <c r="AM517" s="7"/>
      <c r="AN517" s="7"/>
      <c r="AO517" s="74"/>
      <c r="AP517" s="7"/>
      <c r="AQ517" s="74"/>
      <c r="AR517" s="101"/>
      <c r="AS517" s="7"/>
      <c r="AT517" s="101"/>
      <c r="AU517" s="7"/>
      <c r="AV517" s="101"/>
      <c r="AW517" s="7"/>
      <c r="AX517" s="8"/>
      <c r="AY517" s="36"/>
      <c r="AZ517" s="74"/>
      <c r="BA517" s="74"/>
      <c r="BB517" s="74"/>
      <c r="BC517" s="74"/>
      <c r="BD517" s="7"/>
      <c r="BE517" s="7"/>
      <c r="BF517" s="74"/>
      <c r="BG517" s="74"/>
      <c r="BH517" s="74"/>
      <c r="BI517" s="74"/>
      <c r="BJ517" s="74"/>
      <c r="BK517" s="7"/>
      <c r="BL517" s="74"/>
      <c r="BM517" s="7"/>
      <c r="BN517" s="74"/>
      <c r="BO517" s="74"/>
      <c r="BP517" s="7"/>
      <c r="BQ517" s="7"/>
      <c r="BR517" s="74"/>
      <c r="BS517" s="7"/>
      <c r="BT517" s="7"/>
      <c r="BU517" s="74"/>
      <c r="BV517" s="74"/>
      <c r="BW517" s="74"/>
      <c r="BX517" s="74"/>
      <c r="BY517" s="74"/>
      <c r="BZ517" s="74"/>
      <c r="CA517" s="74"/>
      <c r="CB517" s="74"/>
      <c r="CC517" s="74"/>
      <c r="CD517" s="74"/>
      <c r="CE517" s="7"/>
      <c r="CF517" s="74"/>
      <c r="CG517" s="74"/>
      <c r="CH517" s="7"/>
      <c r="CI517" s="74"/>
      <c r="CJ517" s="74"/>
      <c r="CK517" s="101"/>
      <c r="CL517" s="74"/>
      <c r="CM517" s="74"/>
      <c r="CN517" s="74"/>
      <c r="CO517" s="101"/>
      <c r="CP517" s="74"/>
      <c r="CQ517" s="74"/>
      <c r="CR517" s="74"/>
      <c r="CS517" s="74"/>
      <c r="CT517" s="74"/>
      <c r="CU517" s="74"/>
      <c r="CV517" s="74"/>
      <c r="CW517" s="74"/>
      <c r="CX517" s="7"/>
      <c r="CY517" s="7"/>
      <c r="CZ517" s="74"/>
      <c r="DA517" s="74"/>
      <c r="DB517" s="74"/>
      <c r="DC517" s="74"/>
      <c r="DD517" s="74"/>
      <c r="DE517" s="74"/>
      <c r="DF517" s="74"/>
      <c r="DG517" s="74"/>
      <c r="DH517" s="74"/>
      <c r="DI517" s="74"/>
      <c r="DJ517" s="74"/>
      <c r="DK517" s="74"/>
      <c r="DL517" s="74"/>
      <c r="DM517" s="74"/>
      <c r="DN517" s="74"/>
      <c r="DO517" s="74"/>
      <c r="DP517" s="74"/>
      <c r="DQ517" s="74"/>
      <c r="DR517" s="74"/>
      <c r="DS517" s="74"/>
      <c r="DT517" s="74"/>
      <c r="DU517" s="74"/>
      <c r="DV517" s="74"/>
      <c r="DW517" s="74"/>
      <c r="DX517" s="74"/>
      <c r="DY517" s="74"/>
      <c r="DZ517" s="8">
        <f t="shared" ref="DZ517:DZ580" si="151">IF(EB517&gt;0,AVERAGE(I517:DY517),H517)</f>
        <v>0</v>
      </c>
      <c r="EA517" s="3">
        <f t="shared" ref="EA517:EA580" si="152">B517</f>
        <v>0</v>
      </c>
      <c r="EB517" s="2">
        <f t="shared" ref="EB517:EB580" si="153">IF(G517&gt;0,1,0)</f>
        <v>0</v>
      </c>
      <c r="EC517" s="112">
        <f t="shared" si="140"/>
        <v>0</v>
      </c>
      <c r="ED517" s="29">
        <f t="shared" ref="ED517:ED580" si="154">EL517</f>
        <v>0</v>
      </c>
      <c r="EE517" s="2">
        <f t="shared" ref="EE517:EE580" si="155">COUNT(I517:AH517)</f>
        <v>0</v>
      </c>
      <c r="EF517" s="46">
        <f t="shared" ref="EF517:EF580" si="156">COUNT(I517:BQ517)</f>
        <v>0</v>
      </c>
      <c r="EG517" s="46">
        <f t="shared" ref="EG517:EG580" si="157">COUNT(I517:DY517)</f>
        <v>0</v>
      </c>
      <c r="EH517" s="29">
        <f t="shared" ref="EH517:EH580" si="158">D517</f>
        <v>0</v>
      </c>
      <c r="EI517" s="29">
        <f>IF(COUNT(I517:AD517)&lt;5,DZ517,SUMPRODUCT(LARGE(I517:AD517,{1,2,3,4,5}))/5)</f>
        <v>0</v>
      </c>
      <c r="EJ517" s="29">
        <f>IF(COUNT(I517:BE517)&lt;5,DZ517,SUMPRODUCT(LARGE(I517:BE517,{1,2,3,4,5}))/5)</f>
        <v>0</v>
      </c>
      <c r="EK517" s="29">
        <f t="shared" si="146"/>
        <v>0</v>
      </c>
      <c r="EL517" s="29">
        <f t="shared" si="150"/>
        <v>0</v>
      </c>
      <c r="EM517" s="116">
        <f t="shared" ref="EM517:EM580" si="159">B517</f>
        <v>0</v>
      </c>
      <c r="EQ517"/>
    </row>
    <row r="518" spans="1:147" x14ac:dyDescent="0.25">
      <c r="A518" s="59"/>
      <c r="B518" s="32"/>
      <c r="C518" s="5"/>
      <c r="D518" s="6"/>
      <c r="E518" s="6"/>
      <c r="F518" s="6"/>
      <c r="G518" s="5"/>
      <c r="H518" s="99"/>
      <c r="I518" s="36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227"/>
      <c r="Z518" s="228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4"/>
      <c r="AP518" s="7"/>
      <c r="AQ518" s="74"/>
      <c r="AR518" s="70"/>
      <c r="AS518" s="7"/>
      <c r="AT518" s="70"/>
      <c r="AU518" s="7"/>
      <c r="AV518" s="70"/>
      <c r="AW518" s="7"/>
      <c r="AX518" s="8"/>
      <c r="AY518" s="36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4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4"/>
      <c r="CD518" s="7"/>
      <c r="CE518" s="7"/>
      <c r="CF518" s="74"/>
      <c r="CG518" s="7"/>
      <c r="CH518" s="7"/>
      <c r="CI518" s="7"/>
      <c r="CJ518" s="7"/>
      <c r="CK518" s="101"/>
      <c r="CL518" s="74"/>
      <c r="CM518" s="74"/>
      <c r="CN518" s="74"/>
      <c r="CO518" s="70"/>
      <c r="CP518" s="74"/>
      <c r="CQ518" s="7"/>
      <c r="CR518" s="74"/>
      <c r="CS518" s="74"/>
      <c r="CT518" s="74"/>
      <c r="CU518" s="74"/>
      <c r="CV518" s="7"/>
      <c r="CW518" s="7"/>
      <c r="CX518" s="7"/>
      <c r="CY518" s="7"/>
      <c r="CZ518" s="7"/>
      <c r="DA518" s="7"/>
      <c r="DB518" s="7"/>
      <c r="DC518" s="7"/>
      <c r="DD518" s="7"/>
      <c r="DE518" s="74"/>
      <c r="DF518" s="74"/>
      <c r="DG518" s="74"/>
      <c r="DH518" s="7"/>
      <c r="DI518" s="74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8">
        <f t="shared" si="151"/>
        <v>0</v>
      </c>
      <c r="EA518" s="3">
        <f t="shared" si="152"/>
        <v>0</v>
      </c>
      <c r="EB518" s="2">
        <f t="shared" si="153"/>
        <v>0</v>
      </c>
      <c r="EC518" s="112">
        <f t="shared" si="140"/>
        <v>0</v>
      </c>
      <c r="ED518" s="29">
        <f t="shared" si="154"/>
        <v>0</v>
      </c>
      <c r="EE518" s="2">
        <f t="shared" si="155"/>
        <v>0</v>
      </c>
      <c r="EF518" s="46">
        <f t="shared" si="156"/>
        <v>0</v>
      </c>
      <c r="EG518" s="46">
        <f t="shared" si="157"/>
        <v>0</v>
      </c>
      <c r="EH518" s="2">
        <f t="shared" si="158"/>
        <v>0</v>
      </c>
      <c r="EI518" s="29">
        <f>IF(COUNT(I518:AD518)&lt;5,DZ518,SUMPRODUCT(LARGE(I518:AD518,{1,2,3,4,5}))/5)</f>
        <v>0</v>
      </c>
      <c r="EJ518" s="29">
        <f>IF(COUNT(I518:BE518)&lt;5,DZ518,SUMPRODUCT(LARGE(I518:BE518,{1,2,3,4,5}))/5)</f>
        <v>0</v>
      </c>
      <c r="EK518" s="29">
        <f t="shared" ref="EK518:EK581" si="160">IF(EG518&lt;0,AVERAGE(I518:DY518),0)</f>
        <v>0</v>
      </c>
      <c r="EL518" s="29">
        <f t="shared" si="150"/>
        <v>0</v>
      </c>
      <c r="EM518" s="116">
        <f t="shared" si="159"/>
        <v>0</v>
      </c>
      <c r="EQ518"/>
    </row>
    <row r="519" spans="1:147" x14ac:dyDescent="0.25">
      <c r="A519" s="59"/>
      <c r="B519" s="4"/>
      <c r="C519" s="5"/>
      <c r="D519" s="5"/>
      <c r="E519" s="6"/>
      <c r="F519" s="6"/>
      <c r="G519" s="5"/>
      <c r="H519" s="99"/>
      <c r="I519" s="107"/>
      <c r="J519" s="7"/>
      <c r="K519" s="74"/>
      <c r="L519" s="7"/>
      <c r="M519" s="74"/>
      <c r="N519" s="74"/>
      <c r="O519" s="7"/>
      <c r="P519" s="74"/>
      <c r="Q519" s="7"/>
      <c r="R519" s="74"/>
      <c r="S519" s="74"/>
      <c r="T519" s="7"/>
      <c r="U519" s="7"/>
      <c r="V519" s="74"/>
      <c r="W519" s="7"/>
      <c r="X519" s="74"/>
      <c r="Y519" s="227"/>
      <c r="Z519" s="228"/>
      <c r="AA519" s="74"/>
      <c r="AB519" s="74"/>
      <c r="AC519" s="74"/>
      <c r="AD519" s="74"/>
      <c r="AE519" s="7"/>
      <c r="AF519" s="74"/>
      <c r="AG519" s="74"/>
      <c r="AH519" s="7"/>
      <c r="AI519" s="7"/>
      <c r="AJ519" s="7"/>
      <c r="AK519" s="7"/>
      <c r="AL519" s="7"/>
      <c r="AM519" s="7"/>
      <c r="AN519" s="7"/>
      <c r="AO519" s="74"/>
      <c r="AP519" s="7"/>
      <c r="AQ519" s="74"/>
      <c r="AR519" s="101"/>
      <c r="AS519" s="7"/>
      <c r="AT519" s="101"/>
      <c r="AU519" s="7"/>
      <c r="AV519" s="101"/>
      <c r="AW519" s="7"/>
      <c r="AX519" s="183"/>
      <c r="AY519" s="107"/>
      <c r="AZ519" s="74"/>
      <c r="BA519" s="74"/>
      <c r="BB519" s="74"/>
      <c r="BC519" s="74"/>
      <c r="BD519" s="7"/>
      <c r="BE519" s="7"/>
      <c r="BF519" s="74"/>
      <c r="BG519" s="74"/>
      <c r="BH519" s="74"/>
      <c r="BI519" s="74"/>
      <c r="BJ519" s="74"/>
      <c r="BK519" s="7"/>
      <c r="BL519" s="74"/>
      <c r="BM519" s="7"/>
      <c r="BN519" s="74"/>
      <c r="BO519" s="74"/>
      <c r="BP519" s="7"/>
      <c r="BQ519" s="7"/>
      <c r="BR519" s="74"/>
      <c r="BS519" s="7"/>
      <c r="BT519" s="7"/>
      <c r="BU519" s="74"/>
      <c r="BV519" s="74"/>
      <c r="BW519" s="74"/>
      <c r="BX519" s="74"/>
      <c r="BY519" s="74"/>
      <c r="BZ519" s="74"/>
      <c r="CA519" s="74"/>
      <c r="CB519" s="74"/>
      <c r="CC519" s="74"/>
      <c r="CD519" s="74"/>
      <c r="CE519" s="7"/>
      <c r="CF519" s="74"/>
      <c r="CG519" s="74"/>
      <c r="CH519" s="7"/>
      <c r="CI519" s="74"/>
      <c r="CJ519" s="74"/>
      <c r="CK519" s="101"/>
      <c r="CL519" s="74"/>
      <c r="CM519" s="74"/>
      <c r="CN519" s="74"/>
      <c r="CO519" s="101"/>
      <c r="CP519" s="74"/>
      <c r="CQ519" s="74"/>
      <c r="CR519" s="74"/>
      <c r="CS519" s="74"/>
      <c r="CT519" s="74"/>
      <c r="CU519" s="74"/>
      <c r="CV519" s="74"/>
      <c r="CW519" s="74"/>
      <c r="CX519" s="7"/>
      <c r="CY519" s="7"/>
      <c r="CZ519" s="74"/>
      <c r="DA519" s="74"/>
      <c r="DB519" s="74"/>
      <c r="DC519" s="74"/>
      <c r="DD519" s="74"/>
      <c r="DE519" s="74"/>
      <c r="DF519" s="74"/>
      <c r="DG519" s="74"/>
      <c r="DH519" s="74"/>
      <c r="DI519" s="74"/>
      <c r="DJ519" s="7"/>
      <c r="DK519" s="74"/>
      <c r="DL519" s="7"/>
      <c r="DM519" s="74"/>
      <c r="DN519" s="74"/>
      <c r="DO519" s="74"/>
      <c r="DP519" s="74"/>
      <c r="DQ519" s="74"/>
      <c r="DR519" s="74"/>
      <c r="DS519" s="74"/>
      <c r="DT519" s="74"/>
      <c r="DU519" s="74"/>
      <c r="DV519" s="74"/>
      <c r="DW519" s="74"/>
      <c r="DX519" s="74"/>
      <c r="DY519" s="74"/>
      <c r="DZ519" s="8">
        <f t="shared" si="151"/>
        <v>0</v>
      </c>
      <c r="EA519" s="3">
        <f t="shared" si="152"/>
        <v>0</v>
      </c>
      <c r="EB519" s="2">
        <f t="shared" si="153"/>
        <v>0</v>
      </c>
      <c r="EC519" s="112">
        <f t="shared" si="140"/>
        <v>0</v>
      </c>
      <c r="ED519" s="29">
        <f t="shared" si="154"/>
        <v>0</v>
      </c>
      <c r="EE519" s="2">
        <f t="shared" si="155"/>
        <v>0</v>
      </c>
      <c r="EF519" s="46">
        <f t="shared" si="156"/>
        <v>0</v>
      </c>
      <c r="EG519" s="46">
        <f t="shared" si="157"/>
        <v>0</v>
      </c>
      <c r="EH519" s="29">
        <f t="shared" si="158"/>
        <v>0</v>
      </c>
      <c r="EI519" s="29">
        <f>IF(COUNT(I519:AD519)&lt;5,DZ519,SUMPRODUCT(LARGE(I519:AD519,{1,2,3,4,5}))/5)</f>
        <v>0</v>
      </c>
      <c r="EJ519" s="29">
        <f>IF(COUNT(I519:BE519)&lt;5,DZ519,SUMPRODUCT(LARGE(I519:BE519,{1,2,3,4,5}))/5)</f>
        <v>0</v>
      </c>
      <c r="EK519" s="29">
        <f t="shared" si="160"/>
        <v>0</v>
      </c>
      <c r="EL519" s="29">
        <f t="shared" si="150"/>
        <v>0</v>
      </c>
      <c r="EM519" s="116">
        <f t="shared" si="159"/>
        <v>0</v>
      </c>
      <c r="EQ519"/>
    </row>
    <row r="520" spans="1:147" x14ac:dyDescent="0.25">
      <c r="A520" s="59"/>
      <c r="B520" s="32"/>
      <c r="C520" s="5"/>
      <c r="D520" s="6"/>
      <c r="E520" s="6"/>
      <c r="F520" s="6"/>
      <c r="G520" s="5"/>
      <c r="H520" s="99"/>
      <c r="I520" s="107"/>
      <c r="J520" s="7"/>
      <c r="K520" s="74"/>
      <c r="L520" s="7"/>
      <c r="M520" s="74"/>
      <c r="N520" s="74"/>
      <c r="O520" s="7"/>
      <c r="P520" s="74"/>
      <c r="Q520" s="7"/>
      <c r="R520" s="74"/>
      <c r="S520" s="74"/>
      <c r="T520" s="7"/>
      <c r="U520" s="7"/>
      <c r="V520" s="74"/>
      <c r="W520" s="7"/>
      <c r="X520" s="74"/>
      <c r="Y520" s="227"/>
      <c r="Z520" s="228"/>
      <c r="AA520" s="74"/>
      <c r="AB520" s="74"/>
      <c r="AC520" s="74"/>
      <c r="AD520" s="74"/>
      <c r="AE520" s="7"/>
      <c r="AF520" s="74"/>
      <c r="AG520" s="74"/>
      <c r="AH520" s="7"/>
      <c r="AI520" s="7"/>
      <c r="AJ520" s="7"/>
      <c r="AK520" s="7"/>
      <c r="AL520" s="7"/>
      <c r="AM520" s="7"/>
      <c r="AN520" s="7"/>
      <c r="AO520" s="74"/>
      <c r="AP520" s="7"/>
      <c r="AQ520" s="74"/>
      <c r="AR520" s="101"/>
      <c r="AS520" s="7"/>
      <c r="AT520" s="101"/>
      <c r="AU520" s="7"/>
      <c r="AV520" s="101"/>
      <c r="AW520" s="7"/>
      <c r="AX520" s="183"/>
      <c r="AY520" s="107"/>
      <c r="AZ520" s="74"/>
      <c r="BA520" s="74"/>
      <c r="BB520" s="74"/>
      <c r="BC520" s="74"/>
      <c r="BD520" s="7"/>
      <c r="BE520" s="7"/>
      <c r="BF520" s="74"/>
      <c r="BG520" s="74"/>
      <c r="BH520" s="74"/>
      <c r="BI520" s="74"/>
      <c r="BJ520" s="74"/>
      <c r="BK520" s="7"/>
      <c r="BL520" s="74"/>
      <c r="BM520" s="7"/>
      <c r="BN520" s="74"/>
      <c r="BO520" s="74"/>
      <c r="BP520" s="7"/>
      <c r="BQ520" s="7"/>
      <c r="BR520" s="74"/>
      <c r="BS520" s="7"/>
      <c r="BT520" s="7"/>
      <c r="BU520" s="74"/>
      <c r="BV520" s="74"/>
      <c r="BW520" s="74"/>
      <c r="BX520" s="74"/>
      <c r="BY520" s="74"/>
      <c r="BZ520" s="74"/>
      <c r="CA520" s="74"/>
      <c r="CB520" s="74"/>
      <c r="CC520" s="74"/>
      <c r="CD520" s="74"/>
      <c r="CE520" s="7"/>
      <c r="CF520" s="74"/>
      <c r="CG520" s="74"/>
      <c r="CH520" s="7"/>
      <c r="CI520" s="74"/>
      <c r="CJ520" s="74"/>
      <c r="CK520" s="101"/>
      <c r="CL520" s="74"/>
      <c r="CM520" s="74"/>
      <c r="CN520" s="74"/>
      <c r="CO520" s="101"/>
      <c r="CP520" s="74"/>
      <c r="CQ520" s="74"/>
      <c r="CR520" s="74"/>
      <c r="CS520" s="74"/>
      <c r="CT520" s="74"/>
      <c r="CU520" s="74"/>
      <c r="CV520" s="74"/>
      <c r="CW520" s="74"/>
      <c r="CX520" s="7"/>
      <c r="CY520" s="7"/>
      <c r="CZ520" s="74"/>
      <c r="DA520" s="74"/>
      <c r="DB520" s="74"/>
      <c r="DC520" s="74"/>
      <c r="DD520" s="74"/>
      <c r="DE520" s="74"/>
      <c r="DF520" s="74"/>
      <c r="DG520" s="74"/>
      <c r="DH520" s="74"/>
      <c r="DI520" s="74"/>
      <c r="DJ520" s="74"/>
      <c r="DK520" s="74"/>
      <c r="DL520" s="74"/>
      <c r="DM520" s="74"/>
      <c r="DN520" s="74"/>
      <c r="DO520" s="74"/>
      <c r="DP520" s="74"/>
      <c r="DQ520" s="74"/>
      <c r="DR520" s="74"/>
      <c r="DS520" s="74"/>
      <c r="DT520" s="74"/>
      <c r="DU520" s="74"/>
      <c r="DV520" s="74"/>
      <c r="DW520" s="74"/>
      <c r="DX520" s="74"/>
      <c r="DY520" s="74"/>
      <c r="DZ520" s="8">
        <f t="shared" si="151"/>
        <v>0</v>
      </c>
      <c r="EA520" s="3">
        <f t="shared" si="152"/>
        <v>0</v>
      </c>
      <c r="EB520" s="2">
        <f t="shared" si="153"/>
        <v>0</v>
      </c>
      <c r="EC520" s="112">
        <f t="shared" si="140"/>
        <v>0</v>
      </c>
      <c r="ED520" s="29">
        <f t="shared" si="154"/>
        <v>0</v>
      </c>
      <c r="EE520" s="2">
        <f t="shared" si="155"/>
        <v>0</v>
      </c>
      <c r="EF520" s="46">
        <f t="shared" si="156"/>
        <v>0</v>
      </c>
      <c r="EG520" s="46">
        <f t="shared" si="157"/>
        <v>0</v>
      </c>
      <c r="EH520" s="29">
        <f t="shared" si="158"/>
        <v>0</v>
      </c>
      <c r="EI520" s="29">
        <f>IF(COUNT(I520:AD520)&lt;5,DZ520,SUMPRODUCT(LARGE(I520:AD520,{1,2,3,4,5}))/5)</f>
        <v>0</v>
      </c>
      <c r="EJ520" s="29">
        <f>IF(COUNT(I520:BE520)&lt;5,DZ520,SUMPRODUCT(LARGE(I520:BE520,{1,2,3,4,5}))/5)</f>
        <v>0</v>
      </c>
      <c r="EK520" s="29">
        <f t="shared" si="160"/>
        <v>0</v>
      </c>
      <c r="EL520" s="29">
        <f t="shared" si="150"/>
        <v>0</v>
      </c>
      <c r="EM520" s="116">
        <f t="shared" si="159"/>
        <v>0</v>
      </c>
      <c r="EQ520"/>
    </row>
    <row r="521" spans="1:147" x14ac:dyDescent="0.25">
      <c r="A521" s="59"/>
      <c r="B521" s="32"/>
      <c r="C521" s="5"/>
      <c r="D521" s="6"/>
      <c r="E521" s="6"/>
      <c r="F521" s="6"/>
      <c r="G521" s="5"/>
      <c r="H521" s="37"/>
      <c r="I521" s="36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227"/>
      <c r="Z521" s="228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0"/>
      <c r="AS521" s="7"/>
      <c r="AT521" s="70"/>
      <c r="AU521" s="7"/>
      <c r="AV521" s="70"/>
      <c r="AW521" s="7"/>
      <c r="AX521" s="8"/>
      <c r="AY521" s="36"/>
      <c r="AZ521" s="74"/>
      <c r="BA521" s="7"/>
      <c r="BB521" s="74"/>
      <c r="BC521" s="74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101"/>
      <c r="CL521" s="74"/>
      <c r="CM521" s="74"/>
      <c r="CN521" s="74"/>
      <c r="CO521" s="70"/>
      <c r="CP521" s="74"/>
      <c r="CQ521" s="7"/>
      <c r="CR521" s="74"/>
      <c r="CS521" s="74"/>
      <c r="CT521" s="74"/>
      <c r="CU521" s="74"/>
      <c r="CV521" s="74"/>
      <c r="CW521" s="7"/>
      <c r="CX521" s="7"/>
      <c r="CY521" s="7"/>
      <c r="CZ521" s="7"/>
      <c r="DA521" s="7"/>
      <c r="DB521" s="7"/>
      <c r="DC521" s="7"/>
      <c r="DD521" s="7"/>
      <c r="DE521" s="74"/>
      <c r="DF521" s="74"/>
      <c r="DG521" s="74"/>
      <c r="DH521" s="74"/>
      <c r="DI521" s="74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8">
        <f t="shared" si="151"/>
        <v>0</v>
      </c>
      <c r="EA521" s="3">
        <f t="shared" si="152"/>
        <v>0</v>
      </c>
      <c r="EB521" s="2">
        <f t="shared" si="153"/>
        <v>0</v>
      </c>
      <c r="EC521" s="112">
        <f t="shared" si="140"/>
        <v>0</v>
      </c>
      <c r="ED521" s="29">
        <f t="shared" si="154"/>
        <v>0</v>
      </c>
      <c r="EE521" s="2">
        <f t="shared" si="155"/>
        <v>0</v>
      </c>
      <c r="EF521" s="46">
        <f t="shared" si="156"/>
        <v>0</v>
      </c>
      <c r="EG521" s="46">
        <f t="shared" si="157"/>
        <v>0</v>
      </c>
      <c r="EH521" s="2">
        <f t="shared" si="158"/>
        <v>0</v>
      </c>
      <c r="EI521" s="29">
        <f>IF(COUNT(I521:AD521)&lt;5,DZ521,SUMPRODUCT(LARGE(I521:AD521,{1,2,3,4,5}))/5)</f>
        <v>0</v>
      </c>
      <c r="EJ521" s="29">
        <f>IF(COUNT(I521:BE521)&lt;5,DZ521,SUMPRODUCT(LARGE(I521:BE521,{1,2,3,4,5}))/5)</f>
        <v>0</v>
      </c>
      <c r="EK521" s="29">
        <f t="shared" si="160"/>
        <v>0</v>
      </c>
      <c r="EL521" s="29">
        <f t="shared" si="150"/>
        <v>0</v>
      </c>
      <c r="EM521" s="116">
        <f t="shared" si="159"/>
        <v>0</v>
      </c>
      <c r="EQ521"/>
    </row>
    <row r="522" spans="1:147" x14ac:dyDescent="0.25">
      <c r="A522" s="59"/>
      <c r="B522" s="54"/>
      <c r="C522" s="55"/>
      <c r="D522" s="55"/>
      <c r="E522" s="6"/>
      <c r="F522" s="6"/>
      <c r="G522" s="5"/>
      <c r="H522" s="37"/>
      <c r="I522" s="36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227"/>
      <c r="Z522" s="228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4"/>
      <c r="AP522" s="7"/>
      <c r="AQ522" s="74"/>
      <c r="AR522" s="70"/>
      <c r="AS522" s="7"/>
      <c r="AT522" s="70"/>
      <c r="AU522" s="7"/>
      <c r="AV522" s="70"/>
      <c r="AW522" s="7"/>
      <c r="AX522" s="183"/>
      <c r="AY522" s="107"/>
      <c r="AZ522" s="7"/>
      <c r="BA522" s="7"/>
      <c r="BB522" s="7"/>
      <c r="BC522" s="74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101"/>
      <c r="CL522" s="74"/>
      <c r="CM522" s="74"/>
      <c r="CN522" s="74"/>
      <c r="CO522" s="70"/>
      <c r="CP522" s="74"/>
      <c r="CQ522" s="7"/>
      <c r="CR522" s="74"/>
      <c r="CS522" s="74"/>
      <c r="CT522" s="74"/>
      <c r="CU522" s="74"/>
      <c r="CV522" s="74"/>
      <c r="CW522" s="7"/>
      <c r="CX522" s="7"/>
      <c r="CY522" s="7"/>
      <c r="CZ522" s="74"/>
      <c r="DA522" s="7"/>
      <c r="DB522" s="7"/>
      <c r="DC522" s="7"/>
      <c r="DD522" s="7"/>
      <c r="DE522" s="74"/>
      <c r="DF522" s="74"/>
      <c r="DG522" s="74"/>
      <c r="DH522" s="74"/>
      <c r="DI522" s="74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8">
        <f t="shared" si="151"/>
        <v>0</v>
      </c>
      <c r="EA522" s="3">
        <f t="shared" si="152"/>
        <v>0</v>
      </c>
      <c r="EB522" s="2">
        <f t="shared" si="153"/>
        <v>0</v>
      </c>
      <c r="EC522" s="112">
        <f t="shared" si="140"/>
        <v>0</v>
      </c>
      <c r="ED522" s="29">
        <f t="shared" si="154"/>
        <v>0</v>
      </c>
      <c r="EE522" s="2">
        <f t="shared" si="155"/>
        <v>0</v>
      </c>
      <c r="EF522" s="46">
        <f t="shared" si="156"/>
        <v>0</v>
      </c>
      <c r="EG522" s="46">
        <f t="shared" si="157"/>
        <v>0</v>
      </c>
      <c r="EH522" s="2">
        <f t="shared" si="158"/>
        <v>0</v>
      </c>
      <c r="EI522" s="29">
        <f>IF(COUNT(I522:AD522)&lt;5,DZ522,SUMPRODUCT(LARGE(I522:AD522,{1,2,3,4,5}))/5)</f>
        <v>0</v>
      </c>
      <c r="EJ522" s="29">
        <f>IF(COUNT(I522:BE522)&lt;5,DZ522,SUMPRODUCT(LARGE(I522:BE522,{1,2,3,4,5}))/5)</f>
        <v>0</v>
      </c>
      <c r="EK522" s="29">
        <f t="shared" si="160"/>
        <v>0</v>
      </c>
      <c r="EL522" s="29">
        <f t="shared" si="150"/>
        <v>0</v>
      </c>
      <c r="EM522" s="116">
        <f t="shared" si="159"/>
        <v>0</v>
      </c>
      <c r="EQ522"/>
    </row>
    <row r="523" spans="1:147" x14ac:dyDescent="0.25">
      <c r="A523" s="59"/>
      <c r="B523" s="32"/>
      <c r="C523" s="5"/>
      <c r="D523" s="6"/>
      <c r="E523" s="6"/>
      <c r="F523" s="6"/>
      <c r="G523" s="5"/>
      <c r="H523" s="37"/>
      <c r="I523" s="107"/>
      <c r="J523" s="7"/>
      <c r="K523" s="74"/>
      <c r="L523" s="7"/>
      <c r="M523" s="74"/>
      <c r="N523" s="74"/>
      <c r="O523" s="7"/>
      <c r="P523" s="74"/>
      <c r="Q523" s="7"/>
      <c r="R523" s="74"/>
      <c r="S523" s="74"/>
      <c r="T523" s="7"/>
      <c r="U523" s="7"/>
      <c r="V523" s="74"/>
      <c r="W523" s="7"/>
      <c r="X523" s="74"/>
      <c r="Y523" s="227"/>
      <c r="Z523" s="228"/>
      <c r="AA523" s="74"/>
      <c r="AB523" s="74"/>
      <c r="AC523" s="74"/>
      <c r="AD523" s="74"/>
      <c r="AE523" s="7"/>
      <c r="AF523" s="74"/>
      <c r="AG523" s="74"/>
      <c r="AH523" s="7"/>
      <c r="AI523" s="7"/>
      <c r="AJ523" s="7"/>
      <c r="AK523" s="7"/>
      <c r="AL523" s="7"/>
      <c r="AM523" s="7"/>
      <c r="AN523" s="7"/>
      <c r="AO523" s="74"/>
      <c r="AP523" s="7"/>
      <c r="AQ523" s="74"/>
      <c r="AR523" s="101"/>
      <c r="AS523" s="7"/>
      <c r="AT523" s="101"/>
      <c r="AU523" s="7"/>
      <c r="AV523" s="101"/>
      <c r="AW523" s="7"/>
      <c r="AX523" s="183"/>
      <c r="AY523" s="107"/>
      <c r="AZ523" s="74"/>
      <c r="BA523" s="74"/>
      <c r="BB523" s="74"/>
      <c r="BC523" s="74"/>
      <c r="BD523" s="7"/>
      <c r="BE523" s="7"/>
      <c r="BF523" s="74"/>
      <c r="BG523" s="74"/>
      <c r="BH523" s="74"/>
      <c r="BI523" s="74"/>
      <c r="BJ523" s="74"/>
      <c r="BK523" s="7"/>
      <c r="BL523" s="74"/>
      <c r="BM523" s="7"/>
      <c r="BN523" s="74"/>
      <c r="BO523" s="74"/>
      <c r="BP523" s="7"/>
      <c r="BQ523" s="7"/>
      <c r="BR523" s="74"/>
      <c r="BS523" s="7"/>
      <c r="BT523" s="7"/>
      <c r="BU523" s="74"/>
      <c r="BV523" s="74"/>
      <c r="BW523" s="74"/>
      <c r="BX523" s="74"/>
      <c r="BY523" s="74"/>
      <c r="BZ523" s="74"/>
      <c r="CA523" s="74"/>
      <c r="CB523" s="74"/>
      <c r="CC523" s="74"/>
      <c r="CD523" s="74"/>
      <c r="CE523" s="7"/>
      <c r="CF523" s="74"/>
      <c r="CG523" s="74"/>
      <c r="CH523" s="7"/>
      <c r="CI523" s="74"/>
      <c r="CJ523" s="74"/>
      <c r="CK523" s="101"/>
      <c r="CL523" s="74"/>
      <c r="CM523" s="74"/>
      <c r="CN523" s="74"/>
      <c r="CO523" s="101"/>
      <c r="CP523" s="74"/>
      <c r="CQ523" s="74"/>
      <c r="CR523" s="74"/>
      <c r="CS523" s="74"/>
      <c r="CT523" s="74"/>
      <c r="CU523" s="74"/>
      <c r="CV523" s="74"/>
      <c r="CW523" s="74"/>
      <c r="CX523" s="7"/>
      <c r="CY523" s="7"/>
      <c r="CZ523" s="74"/>
      <c r="DA523" s="74"/>
      <c r="DB523" s="74"/>
      <c r="DC523" s="74"/>
      <c r="DD523" s="74"/>
      <c r="DE523" s="74"/>
      <c r="DF523" s="74"/>
      <c r="DG523" s="74"/>
      <c r="DH523" s="74"/>
      <c r="DI523" s="74"/>
      <c r="DJ523" s="7"/>
      <c r="DK523" s="74"/>
      <c r="DL523" s="7"/>
      <c r="DM523" s="74"/>
      <c r="DN523" s="74"/>
      <c r="DO523" s="74"/>
      <c r="DP523" s="74"/>
      <c r="DQ523" s="74"/>
      <c r="DR523" s="74"/>
      <c r="DS523" s="74"/>
      <c r="DT523" s="74"/>
      <c r="DU523" s="74"/>
      <c r="DV523" s="74"/>
      <c r="DW523" s="74"/>
      <c r="DX523" s="74"/>
      <c r="DY523" s="74"/>
      <c r="DZ523" s="8">
        <f t="shared" si="151"/>
        <v>0</v>
      </c>
      <c r="EA523" s="3">
        <f t="shared" si="152"/>
        <v>0</v>
      </c>
      <c r="EB523" s="2">
        <f t="shared" si="153"/>
        <v>0</v>
      </c>
      <c r="EC523" s="112">
        <f t="shared" si="140"/>
        <v>0</v>
      </c>
      <c r="ED523" s="29">
        <f t="shared" si="154"/>
        <v>0</v>
      </c>
      <c r="EE523" s="2">
        <f t="shared" si="155"/>
        <v>0</v>
      </c>
      <c r="EF523" s="46">
        <f t="shared" si="156"/>
        <v>0</v>
      </c>
      <c r="EG523" s="46">
        <f t="shared" si="157"/>
        <v>0</v>
      </c>
      <c r="EH523" s="29">
        <f t="shared" si="158"/>
        <v>0</v>
      </c>
      <c r="EI523" s="29">
        <f>IF(COUNT(I523:AD523)&lt;5,DZ523,SUMPRODUCT(LARGE(I523:AD523,{1,2,3,4,5}))/5)</f>
        <v>0</v>
      </c>
      <c r="EJ523" s="29">
        <f>IF(COUNT(I523:BE523)&lt;5,DZ523,SUMPRODUCT(LARGE(I523:BE523,{1,2,3,4,5}))/5)</f>
        <v>0</v>
      </c>
      <c r="EK523" s="29">
        <f t="shared" si="160"/>
        <v>0</v>
      </c>
      <c r="EL523" s="29">
        <f t="shared" si="150"/>
        <v>0</v>
      </c>
      <c r="EM523" s="116">
        <f t="shared" si="159"/>
        <v>0</v>
      </c>
      <c r="EQ523"/>
    </row>
    <row r="524" spans="1:147" x14ac:dyDescent="0.25">
      <c r="A524" s="59"/>
      <c r="B524" s="32"/>
      <c r="C524" s="5"/>
      <c r="D524" s="6"/>
      <c r="E524" s="6"/>
      <c r="F524" s="6"/>
      <c r="G524" s="5"/>
      <c r="H524" s="37"/>
      <c r="I524" s="36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227"/>
      <c r="Z524" s="228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4"/>
      <c r="AP524" s="7"/>
      <c r="AQ524" s="74"/>
      <c r="AR524" s="70"/>
      <c r="AS524" s="7"/>
      <c r="AT524" s="70"/>
      <c r="AU524" s="7"/>
      <c r="AV524" s="70"/>
      <c r="AW524" s="7"/>
      <c r="AX524" s="8"/>
      <c r="AY524" s="36"/>
      <c r="AZ524" s="7"/>
      <c r="BA524" s="7"/>
      <c r="BB524" s="7"/>
      <c r="BC524" s="74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101"/>
      <c r="CL524" s="74"/>
      <c r="CM524" s="74"/>
      <c r="CN524" s="74"/>
      <c r="CO524" s="70"/>
      <c r="CP524" s="74"/>
      <c r="CQ524" s="7"/>
      <c r="CR524" s="74"/>
      <c r="CS524" s="74"/>
      <c r="CT524" s="74"/>
      <c r="CU524" s="74"/>
      <c r="CV524" s="74"/>
      <c r="CW524" s="7"/>
      <c r="CX524" s="7"/>
      <c r="CY524" s="7"/>
      <c r="CZ524" s="7"/>
      <c r="DA524" s="7"/>
      <c r="DB524" s="7"/>
      <c r="DC524" s="7"/>
      <c r="DD524" s="7"/>
      <c r="DE524" s="74"/>
      <c r="DF524" s="74"/>
      <c r="DG524" s="74"/>
      <c r="DH524" s="74"/>
      <c r="DI524" s="74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8">
        <f t="shared" si="151"/>
        <v>0</v>
      </c>
      <c r="EA524" s="3">
        <f t="shared" si="152"/>
        <v>0</v>
      </c>
      <c r="EB524" s="2">
        <f t="shared" si="153"/>
        <v>0</v>
      </c>
      <c r="EC524" s="112">
        <f t="shared" si="140"/>
        <v>0</v>
      </c>
      <c r="ED524" s="29">
        <f t="shared" si="154"/>
        <v>0</v>
      </c>
      <c r="EE524" s="2">
        <f t="shared" si="155"/>
        <v>0</v>
      </c>
      <c r="EF524" s="46">
        <f t="shared" si="156"/>
        <v>0</v>
      </c>
      <c r="EG524" s="46">
        <f t="shared" si="157"/>
        <v>0</v>
      </c>
      <c r="EH524" s="2">
        <f t="shared" si="158"/>
        <v>0</v>
      </c>
      <c r="EI524" s="29">
        <f>IF(COUNT(I524:AD524)&lt;5,DZ524,SUMPRODUCT(LARGE(I524:AD524,{1,2,3,4,5}))/5)</f>
        <v>0</v>
      </c>
      <c r="EJ524" s="29">
        <f>IF(COUNT(I524:BE524)&lt;5,DZ524,SUMPRODUCT(LARGE(I524:BE524,{1,2,3,4,5}))/5)</f>
        <v>0</v>
      </c>
      <c r="EK524" s="29">
        <f t="shared" si="160"/>
        <v>0</v>
      </c>
      <c r="EL524" s="29">
        <f t="shared" si="150"/>
        <v>0</v>
      </c>
      <c r="EM524" s="116">
        <f t="shared" si="159"/>
        <v>0</v>
      </c>
      <c r="EQ524"/>
    </row>
    <row r="525" spans="1:147" x14ac:dyDescent="0.25">
      <c r="A525" s="59"/>
      <c r="B525" s="32"/>
      <c r="C525" s="5"/>
      <c r="D525" s="6"/>
      <c r="E525" s="6"/>
      <c r="F525" s="6"/>
      <c r="G525" s="5"/>
      <c r="H525" s="37"/>
      <c r="I525" s="107"/>
      <c r="J525" s="7"/>
      <c r="K525" s="74"/>
      <c r="L525" s="7"/>
      <c r="M525" s="74"/>
      <c r="N525" s="74"/>
      <c r="O525" s="7"/>
      <c r="P525" s="74"/>
      <c r="Q525" s="7"/>
      <c r="R525" s="74"/>
      <c r="S525" s="74"/>
      <c r="T525" s="7"/>
      <c r="U525" s="7"/>
      <c r="V525" s="74"/>
      <c r="W525" s="7"/>
      <c r="X525" s="74"/>
      <c r="Y525" s="227"/>
      <c r="Z525" s="228"/>
      <c r="AA525" s="74"/>
      <c r="AB525" s="74"/>
      <c r="AC525" s="74"/>
      <c r="AD525" s="74"/>
      <c r="AE525" s="7"/>
      <c r="AF525" s="74"/>
      <c r="AG525" s="74"/>
      <c r="AH525" s="7"/>
      <c r="AI525" s="7"/>
      <c r="AJ525" s="7"/>
      <c r="AK525" s="7"/>
      <c r="AL525" s="7"/>
      <c r="AM525" s="7"/>
      <c r="AN525" s="7"/>
      <c r="AO525" s="74"/>
      <c r="AP525" s="7"/>
      <c r="AQ525" s="74"/>
      <c r="AR525" s="101"/>
      <c r="AS525" s="7"/>
      <c r="AT525" s="101"/>
      <c r="AU525" s="7"/>
      <c r="AV525" s="101"/>
      <c r="AW525" s="7"/>
      <c r="AX525" s="8"/>
      <c r="AY525" s="36"/>
      <c r="AZ525" s="74"/>
      <c r="BA525" s="74"/>
      <c r="BB525" s="74"/>
      <c r="BC525" s="74"/>
      <c r="BD525" s="7"/>
      <c r="BE525" s="7"/>
      <c r="BF525" s="74"/>
      <c r="BG525" s="74"/>
      <c r="BH525" s="74"/>
      <c r="BI525" s="74"/>
      <c r="BJ525" s="74"/>
      <c r="BK525" s="7"/>
      <c r="BL525" s="74"/>
      <c r="BM525" s="7"/>
      <c r="BN525" s="74"/>
      <c r="BO525" s="74"/>
      <c r="BP525" s="7"/>
      <c r="BQ525" s="7"/>
      <c r="BR525" s="74"/>
      <c r="BS525" s="7"/>
      <c r="BT525" s="7"/>
      <c r="BU525" s="74"/>
      <c r="BV525" s="74"/>
      <c r="BW525" s="74"/>
      <c r="BX525" s="74"/>
      <c r="BY525" s="74"/>
      <c r="BZ525" s="74"/>
      <c r="CA525" s="74"/>
      <c r="CB525" s="74"/>
      <c r="CC525" s="74"/>
      <c r="CD525" s="74"/>
      <c r="CE525" s="7"/>
      <c r="CF525" s="74"/>
      <c r="CG525" s="74"/>
      <c r="CH525" s="7"/>
      <c r="CI525" s="74"/>
      <c r="CJ525" s="74"/>
      <c r="CK525" s="101"/>
      <c r="CL525" s="74"/>
      <c r="CM525" s="74"/>
      <c r="CN525" s="74"/>
      <c r="CO525" s="101"/>
      <c r="CP525" s="74"/>
      <c r="CQ525" s="74"/>
      <c r="CR525" s="74"/>
      <c r="CS525" s="74"/>
      <c r="CT525" s="74"/>
      <c r="CU525" s="74"/>
      <c r="CV525" s="74"/>
      <c r="CW525" s="74"/>
      <c r="CX525" s="7"/>
      <c r="CY525" s="7"/>
      <c r="CZ525" s="74"/>
      <c r="DA525" s="74"/>
      <c r="DB525" s="74"/>
      <c r="DC525" s="74"/>
      <c r="DD525" s="74"/>
      <c r="DE525" s="74"/>
      <c r="DF525" s="74"/>
      <c r="DG525" s="74"/>
      <c r="DH525" s="74"/>
      <c r="DI525" s="74"/>
      <c r="DJ525" s="74"/>
      <c r="DK525" s="74"/>
      <c r="DL525" s="74"/>
      <c r="DM525" s="74"/>
      <c r="DN525" s="74"/>
      <c r="DO525" s="74"/>
      <c r="DP525" s="74"/>
      <c r="DQ525" s="74"/>
      <c r="DR525" s="74"/>
      <c r="DS525" s="74"/>
      <c r="DT525" s="74"/>
      <c r="DU525" s="74"/>
      <c r="DV525" s="74"/>
      <c r="DW525" s="74"/>
      <c r="DX525" s="74"/>
      <c r="DY525" s="74"/>
      <c r="DZ525" s="8">
        <f t="shared" si="151"/>
        <v>0</v>
      </c>
      <c r="EA525" s="3">
        <f t="shared" si="152"/>
        <v>0</v>
      </c>
      <c r="EB525" s="2">
        <f t="shared" si="153"/>
        <v>0</v>
      </c>
      <c r="EC525" s="112">
        <f t="shared" si="140"/>
        <v>0</v>
      </c>
      <c r="ED525" s="29">
        <f t="shared" si="154"/>
        <v>0</v>
      </c>
      <c r="EE525" s="2">
        <f t="shared" si="155"/>
        <v>0</v>
      </c>
      <c r="EF525" s="46">
        <f t="shared" si="156"/>
        <v>0</v>
      </c>
      <c r="EG525" s="46">
        <f t="shared" si="157"/>
        <v>0</v>
      </c>
      <c r="EH525" s="29">
        <f t="shared" si="158"/>
        <v>0</v>
      </c>
      <c r="EI525" s="29">
        <f>IF(COUNT(I525:AD525)&lt;5,DZ525,SUMPRODUCT(LARGE(I525:AD525,{1,2,3,4,5}))/5)</f>
        <v>0</v>
      </c>
      <c r="EJ525" s="29">
        <f>IF(COUNT(I525:BE525)&lt;5,DZ525,SUMPRODUCT(LARGE(I525:BE525,{1,2,3,4,5}))/5)</f>
        <v>0</v>
      </c>
      <c r="EK525" s="29">
        <f t="shared" si="160"/>
        <v>0</v>
      </c>
      <c r="EL525" s="29">
        <f t="shared" si="150"/>
        <v>0</v>
      </c>
      <c r="EM525" s="116">
        <f t="shared" si="159"/>
        <v>0</v>
      </c>
      <c r="EQ525"/>
    </row>
    <row r="526" spans="1:147" x14ac:dyDescent="0.25">
      <c r="A526" s="59"/>
      <c r="B526" s="32"/>
      <c r="C526" s="5"/>
      <c r="D526" s="6"/>
      <c r="E526" s="6"/>
      <c r="F526" s="6"/>
      <c r="G526" s="5"/>
      <c r="H526" s="37"/>
      <c r="I526" s="36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227"/>
      <c r="Z526" s="228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4"/>
      <c r="AP526" s="7"/>
      <c r="AQ526" s="74"/>
      <c r="AR526" s="70"/>
      <c r="AS526" s="7"/>
      <c r="AT526" s="70"/>
      <c r="AU526" s="7"/>
      <c r="AV526" s="70"/>
      <c r="AW526" s="7"/>
      <c r="AX526" s="183"/>
      <c r="AY526" s="10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4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101"/>
      <c r="CL526" s="74"/>
      <c r="CM526" s="74"/>
      <c r="CN526" s="74"/>
      <c r="CO526" s="70"/>
      <c r="CP526" s="74"/>
      <c r="CQ526" s="7"/>
      <c r="CR526" s="74"/>
      <c r="CS526" s="74"/>
      <c r="CT526" s="74"/>
      <c r="CU526" s="74"/>
      <c r="CV526" s="7"/>
      <c r="CW526" s="7"/>
      <c r="CX526" s="7"/>
      <c r="CY526" s="7"/>
      <c r="CZ526" s="7"/>
      <c r="DA526" s="7"/>
      <c r="DB526" s="7"/>
      <c r="DC526" s="7"/>
      <c r="DD526" s="7"/>
      <c r="DE526" s="74"/>
      <c r="DF526" s="74"/>
      <c r="DG526" s="74"/>
      <c r="DH526" s="7"/>
      <c r="DI526" s="74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8">
        <f t="shared" si="151"/>
        <v>0</v>
      </c>
      <c r="EA526" s="3">
        <f t="shared" si="152"/>
        <v>0</v>
      </c>
      <c r="EB526" s="2">
        <f t="shared" si="153"/>
        <v>0</v>
      </c>
      <c r="EC526" s="112">
        <f t="shared" ref="EC526:EC589" si="161">H526</f>
        <v>0</v>
      </c>
      <c r="ED526" s="29">
        <f t="shared" si="154"/>
        <v>0</v>
      </c>
      <c r="EE526" s="2">
        <f t="shared" si="155"/>
        <v>0</v>
      </c>
      <c r="EF526" s="46">
        <f t="shared" si="156"/>
        <v>0</v>
      </c>
      <c r="EG526" s="46">
        <f t="shared" si="157"/>
        <v>0</v>
      </c>
      <c r="EH526" s="2">
        <f t="shared" si="158"/>
        <v>0</v>
      </c>
      <c r="EI526" s="29">
        <f>IF(COUNT(I526:AD526)&lt;5,DZ526,SUMPRODUCT(LARGE(I526:AD526,{1,2,3,4,5}))/5)</f>
        <v>0</v>
      </c>
      <c r="EJ526" s="29">
        <f>IF(COUNT(I526:BE526)&lt;5,DZ526,SUMPRODUCT(LARGE(I526:BE526,{1,2,3,4,5}))/5)</f>
        <v>0</v>
      </c>
      <c r="EK526" s="29">
        <f t="shared" si="160"/>
        <v>0</v>
      </c>
      <c r="EL526" s="29">
        <f t="shared" si="150"/>
        <v>0</v>
      </c>
      <c r="EM526" s="116">
        <f t="shared" si="159"/>
        <v>0</v>
      </c>
      <c r="EQ526"/>
    </row>
    <row r="527" spans="1:147" x14ac:dyDescent="0.25">
      <c r="A527" s="59"/>
      <c r="B527" s="32"/>
      <c r="C527" s="5"/>
      <c r="D527" s="6"/>
      <c r="E527" s="6"/>
      <c r="F527" s="6"/>
      <c r="G527" s="5"/>
      <c r="H527" s="37"/>
      <c r="I527" s="107"/>
      <c r="J527" s="7"/>
      <c r="K527" s="74"/>
      <c r="L527" s="7"/>
      <c r="M527" s="74"/>
      <c r="N527" s="74"/>
      <c r="O527" s="7"/>
      <c r="P527" s="74"/>
      <c r="Q527" s="7"/>
      <c r="R527" s="74"/>
      <c r="S527" s="74"/>
      <c r="T527" s="7"/>
      <c r="U527" s="7"/>
      <c r="V527" s="74"/>
      <c r="W527" s="7"/>
      <c r="X527" s="74"/>
      <c r="Y527" s="227"/>
      <c r="Z527" s="228"/>
      <c r="AA527" s="74"/>
      <c r="AB527" s="74"/>
      <c r="AC527" s="74"/>
      <c r="AD527" s="74"/>
      <c r="AE527" s="7"/>
      <c r="AF527" s="74"/>
      <c r="AG527" s="74"/>
      <c r="AH527" s="7"/>
      <c r="AI527" s="7"/>
      <c r="AJ527" s="7"/>
      <c r="AK527" s="7"/>
      <c r="AL527" s="7"/>
      <c r="AM527" s="7"/>
      <c r="AN527" s="7"/>
      <c r="AO527" s="74"/>
      <c r="AP527" s="7"/>
      <c r="AQ527" s="74"/>
      <c r="AR527" s="101"/>
      <c r="AS527" s="7"/>
      <c r="AT527" s="101"/>
      <c r="AU527" s="7"/>
      <c r="AV527" s="101"/>
      <c r="AW527" s="7"/>
      <c r="AX527" s="8"/>
      <c r="AY527" s="36"/>
      <c r="AZ527" s="74"/>
      <c r="BA527" s="74"/>
      <c r="BB527" s="74"/>
      <c r="BC527" s="74"/>
      <c r="BD527" s="7"/>
      <c r="BE527" s="7"/>
      <c r="BF527" s="74"/>
      <c r="BG527" s="74"/>
      <c r="BH527" s="74"/>
      <c r="BI527" s="74"/>
      <c r="BJ527" s="74"/>
      <c r="BK527" s="7"/>
      <c r="BL527" s="74"/>
      <c r="BM527" s="7"/>
      <c r="BN527" s="74"/>
      <c r="BO527" s="74"/>
      <c r="BP527" s="7"/>
      <c r="BQ527" s="7"/>
      <c r="BR527" s="74"/>
      <c r="BS527" s="7"/>
      <c r="BT527" s="7"/>
      <c r="BU527" s="74"/>
      <c r="BV527" s="74"/>
      <c r="BW527" s="74"/>
      <c r="BX527" s="74"/>
      <c r="BY527" s="74"/>
      <c r="BZ527" s="74"/>
      <c r="CA527" s="74"/>
      <c r="CB527" s="74"/>
      <c r="CC527" s="74"/>
      <c r="CD527" s="74"/>
      <c r="CE527" s="7"/>
      <c r="CF527" s="74"/>
      <c r="CG527" s="74"/>
      <c r="CH527" s="7"/>
      <c r="CI527" s="74"/>
      <c r="CJ527" s="74"/>
      <c r="CK527" s="101"/>
      <c r="CL527" s="74"/>
      <c r="CM527" s="74"/>
      <c r="CN527" s="74"/>
      <c r="CO527" s="101"/>
      <c r="CP527" s="74"/>
      <c r="CQ527" s="74"/>
      <c r="CR527" s="74"/>
      <c r="CS527" s="74"/>
      <c r="CT527" s="74"/>
      <c r="CU527" s="74"/>
      <c r="CV527" s="74"/>
      <c r="CW527" s="74"/>
      <c r="CX527" s="7"/>
      <c r="CY527" s="7"/>
      <c r="CZ527" s="74"/>
      <c r="DA527" s="74"/>
      <c r="DB527" s="74"/>
      <c r="DC527" s="74"/>
      <c r="DD527" s="74"/>
      <c r="DE527" s="74"/>
      <c r="DF527" s="74"/>
      <c r="DG527" s="74"/>
      <c r="DH527" s="74"/>
      <c r="DI527" s="74"/>
      <c r="DJ527" s="74"/>
      <c r="DK527" s="74"/>
      <c r="DL527" s="74"/>
      <c r="DM527" s="74"/>
      <c r="DN527" s="74"/>
      <c r="DO527" s="74"/>
      <c r="DP527" s="74"/>
      <c r="DQ527" s="74"/>
      <c r="DR527" s="74"/>
      <c r="DS527" s="74"/>
      <c r="DT527" s="74"/>
      <c r="DU527" s="74"/>
      <c r="DV527" s="74"/>
      <c r="DW527" s="74"/>
      <c r="DX527" s="74"/>
      <c r="DY527" s="74"/>
      <c r="DZ527" s="8">
        <f t="shared" si="151"/>
        <v>0</v>
      </c>
      <c r="EA527" s="3">
        <f t="shared" si="152"/>
        <v>0</v>
      </c>
      <c r="EB527" s="2">
        <f t="shared" si="153"/>
        <v>0</v>
      </c>
      <c r="EC527" s="112">
        <f t="shared" si="161"/>
        <v>0</v>
      </c>
      <c r="ED527" s="29">
        <f t="shared" si="154"/>
        <v>0</v>
      </c>
      <c r="EE527" s="2">
        <f t="shared" si="155"/>
        <v>0</v>
      </c>
      <c r="EF527" s="46">
        <f t="shared" si="156"/>
        <v>0</v>
      </c>
      <c r="EG527" s="46">
        <f t="shared" si="157"/>
        <v>0</v>
      </c>
      <c r="EH527" s="2">
        <f t="shared" si="158"/>
        <v>0</v>
      </c>
      <c r="EI527" s="29">
        <f>IF(COUNT(I527:AD527)&lt;5,DZ527,SUMPRODUCT(LARGE(I527:AD527,{1,2,3,4,5}))/5)</f>
        <v>0</v>
      </c>
      <c r="EJ527" s="29">
        <f>IF(COUNT(I527:BE527)&lt;5,DZ527,SUMPRODUCT(LARGE(I527:BE527,{1,2,3,4,5}))/5)</f>
        <v>0</v>
      </c>
      <c r="EK527" s="29">
        <f t="shared" si="160"/>
        <v>0</v>
      </c>
      <c r="EL527" s="29">
        <f t="shared" si="150"/>
        <v>0</v>
      </c>
      <c r="EM527" s="116">
        <f t="shared" si="159"/>
        <v>0</v>
      </c>
      <c r="EQ527"/>
    </row>
    <row r="528" spans="1:147" x14ac:dyDescent="0.25">
      <c r="A528" s="59"/>
      <c r="B528" s="32"/>
      <c r="C528" s="5"/>
      <c r="D528" s="6"/>
      <c r="E528" s="6"/>
      <c r="F528" s="6"/>
      <c r="G528" s="5"/>
      <c r="H528" s="37"/>
      <c r="I528" s="107"/>
      <c r="J528" s="7"/>
      <c r="K528" s="74"/>
      <c r="L528" s="7"/>
      <c r="M528" s="74"/>
      <c r="N528" s="74"/>
      <c r="O528" s="7"/>
      <c r="P528" s="74"/>
      <c r="Q528" s="7"/>
      <c r="R528" s="74"/>
      <c r="S528" s="74"/>
      <c r="T528" s="7"/>
      <c r="U528" s="7"/>
      <c r="V528" s="74"/>
      <c r="W528" s="7"/>
      <c r="X528" s="74"/>
      <c r="Y528" s="227"/>
      <c r="Z528" s="228"/>
      <c r="AA528" s="74"/>
      <c r="AB528" s="74"/>
      <c r="AC528" s="74"/>
      <c r="AD528" s="74"/>
      <c r="AE528" s="7"/>
      <c r="AF528" s="74"/>
      <c r="AG528" s="74"/>
      <c r="AH528" s="7"/>
      <c r="AI528" s="7"/>
      <c r="AJ528" s="7"/>
      <c r="AK528" s="7"/>
      <c r="AL528" s="7"/>
      <c r="AM528" s="7"/>
      <c r="AN528" s="7"/>
      <c r="AO528" s="74"/>
      <c r="AP528" s="7"/>
      <c r="AQ528" s="74"/>
      <c r="AR528" s="101"/>
      <c r="AS528" s="7"/>
      <c r="AT528" s="101"/>
      <c r="AU528" s="7"/>
      <c r="AV528" s="101"/>
      <c r="AW528" s="7"/>
      <c r="AX528" s="183"/>
      <c r="AY528" s="107"/>
      <c r="AZ528" s="74"/>
      <c r="BA528" s="74"/>
      <c r="BB528" s="74"/>
      <c r="BC528" s="74"/>
      <c r="BD528" s="7"/>
      <c r="BE528" s="7"/>
      <c r="BF528" s="74"/>
      <c r="BG528" s="74"/>
      <c r="BH528" s="74"/>
      <c r="BI528" s="74"/>
      <c r="BJ528" s="74"/>
      <c r="BK528" s="7"/>
      <c r="BL528" s="74"/>
      <c r="BM528" s="7"/>
      <c r="BN528" s="74"/>
      <c r="BO528" s="74"/>
      <c r="BP528" s="7"/>
      <c r="BQ528" s="7"/>
      <c r="BR528" s="74"/>
      <c r="BS528" s="7"/>
      <c r="BT528" s="7"/>
      <c r="BU528" s="74"/>
      <c r="BV528" s="74"/>
      <c r="BW528" s="74"/>
      <c r="BX528" s="74"/>
      <c r="BY528" s="74"/>
      <c r="BZ528" s="74"/>
      <c r="CA528" s="74"/>
      <c r="CB528" s="74"/>
      <c r="CC528" s="74"/>
      <c r="CD528" s="74"/>
      <c r="CE528" s="7"/>
      <c r="CF528" s="74"/>
      <c r="CG528" s="74"/>
      <c r="CH528" s="7"/>
      <c r="CI528" s="74"/>
      <c r="CJ528" s="74"/>
      <c r="CK528" s="101"/>
      <c r="CL528" s="74"/>
      <c r="CM528" s="74"/>
      <c r="CN528" s="74"/>
      <c r="CO528" s="101"/>
      <c r="CP528" s="74"/>
      <c r="CQ528" s="74"/>
      <c r="CR528" s="74"/>
      <c r="CS528" s="74"/>
      <c r="CT528" s="74"/>
      <c r="CU528" s="74"/>
      <c r="CV528" s="74"/>
      <c r="CW528" s="74"/>
      <c r="CX528" s="7"/>
      <c r="CY528" s="7"/>
      <c r="CZ528" s="74"/>
      <c r="DA528" s="74"/>
      <c r="DB528" s="74"/>
      <c r="DC528" s="74"/>
      <c r="DD528" s="74"/>
      <c r="DE528" s="74"/>
      <c r="DF528" s="74"/>
      <c r="DG528" s="74"/>
      <c r="DH528" s="74"/>
      <c r="DI528" s="74"/>
      <c r="DJ528" s="74"/>
      <c r="DK528" s="74"/>
      <c r="DL528" s="74"/>
      <c r="DM528" s="74"/>
      <c r="DN528" s="74"/>
      <c r="DO528" s="74"/>
      <c r="DP528" s="74"/>
      <c r="DQ528" s="74"/>
      <c r="DR528" s="74"/>
      <c r="DS528" s="74"/>
      <c r="DT528" s="74"/>
      <c r="DU528" s="74"/>
      <c r="DV528" s="74"/>
      <c r="DW528" s="74"/>
      <c r="DX528" s="74"/>
      <c r="DY528" s="74"/>
      <c r="DZ528" s="8">
        <f t="shared" si="151"/>
        <v>0</v>
      </c>
      <c r="EA528" s="3">
        <f t="shared" si="152"/>
        <v>0</v>
      </c>
      <c r="EB528" s="2">
        <f t="shared" si="153"/>
        <v>0</v>
      </c>
      <c r="EC528" s="112">
        <f t="shared" si="161"/>
        <v>0</v>
      </c>
      <c r="ED528" s="29">
        <f t="shared" si="154"/>
        <v>0</v>
      </c>
      <c r="EE528" s="2">
        <f t="shared" si="155"/>
        <v>0</v>
      </c>
      <c r="EF528" s="46">
        <f t="shared" si="156"/>
        <v>0</v>
      </c>
      <c r="EG528" s="46">
        <f t="shared" si="157"/>
        <v>0</v>
      </c>
      <c r="EH528" s="2">
        <f t="shared" si="158"/>
        <v>0</v>
      </c>
      <c r="EI528" s="29">
        <f>IF(COUNT(I528:AD528)&lt;5,DZ528,SUMPRODUCT(LARGE(I528:AD528,{1,2,3,4,5}))/5)</f>
        <v>0</v>
      </c>
      <c r="EJ528" s="29">
        <f>IF(COUNT(I528:BE528)&lt;5,DZ528,SUMPRODUCT(LARGE(I528:BE528,{1,2,3,4,5}))/5)</f>
        <v>0</v>
      </c>
      <c r="EK528" s="29">
        <f t="shared" si="160"/>
        <v>0</v>
      </c>
      <c r="EL528" s="29">
        <f t="shared" si="150"/>
        <v>0</v>
      </c>
      <c r="EM528" s="116">
        <f t="shared" si="159"/>
        <v>0</v>
      </c>
      <c r="EQ528"/>
    </row>
    <row r="529" spans="1:147" x14ac:dyDescent="0.25">
      <c r="A529" s="59"/>
      <c r="B529" s="32"/>
      <c r="C529" s="5"/>
      <c r="D529" s="6"/>
      <c r="E529" s="6"/>
      <c r="F529" s="6"/>
      <c r="G529" s="5"/>
      <c r="H529" s="37"/>
      <c r="I529" s="107"/>
      <c r="J529" s="7"/>
      <c r="K529" s="74"/>
      <c r="L529" s="7"/>
      <c r="M529" s="74"/>
      <c r="N529" s="74"/>
      <c r="O529" s="7"/>
      <c r="P529" s="74"/>
      <c r="Q529" s="7"/>
      <c r="R529" s="74"/>
      <c r="S529" s="74"/>
      <c r="T529" s="7"/>
      <c r="U529" s="7"/>
      <c r="V529" s="74"/>
      <c r="W529" s="7"/>
      <c r="X529" s="74"/>
      <c r="Y529" s="227"/>
      <c r="Z529" s="228"/>
      <c r="AA529" s="74"/>
      <c r="AB529" s="74"/>
      <c r="AC529" s="74"/>
      <c r="AD529" s="74"/>
      <c r="AE529" s="7"/>
      <c r="AF529" s="74"/>
      <c r="AG529" s="74"/>
      <c r="AH529" s="7"/>
      <c r="AI529" s="7"/>
      <c r="AJ529" s="7"/>
      <c r="AK529" s="7"/>
      <c r="AL529" s="7"/>
      <c r="AM529" s="7"/>
      <c r="AN529" s="7"/>
      <c r="AO529" s="74"/>
      <c r="AP529" s="7"/>
      <c r="AQ529" s="74"/>
      <c r="AR529" s="101"/>
      <c r="AS529" s="7"/>
      <c r="AT529" s="101"/>
      <c r="AU529" s="7"/>
      <c r="AV529" s="101"/>
      <c r="AW529" s="7"/>
      <c r="AX529" s="8"/>
      <c r="AY529" s="36"/>
      <c r="AZ529" s="74"/>
      <c r="BA529" s="74"/>
      <c r="BB529" s="74"/>
      <c r="BC529" s="74"/>
      <c r="BD529" s="7"/>
      <c r="BE529" s="7"/>
      <c r="BF529" s="74"/>
      <c r="BG529" s="74"/>
      <c r="BH529" s="74"/>
      <c r="BI529" s="74"/>
      <c r="BJ529" s="74"/>
      <c r="BK529" s="7"/>
      <c r="BL529" s="74"/>
      <c r="BM529" s="7"/>
      <c r="BN529" s="74"/>
      <c r="BO529" s="74"/>
      <c r="BP529" s="74"/>
      <c r="BQ529" s="74"/>
      <c r="BR529" s="74"/>
      <c r="BS529" s="7"/>
      <c r="BT529" s="7"/>
      <c r="BU529" s="74"/>
      <c r="BV529" s="74"/>
      <c r="BW529" s="74"/>
      <c r="BX529" s="74"/>
      <c r="BY529" s="74"/>
      <c r="BZ529" s="74"/>
      <c r="CA529" s="74"/>
      <c r="CB529" s="74"/>
      <c r="CC529" s="74"/>
      <c r="CD529" s="74"/>
      <c r="CE529" s="7"/>
      <c r="CF529" s="74"/>
      <c r="CG529" s="74"/>
      <c r="CH529" s="7"/>
      <c r="CI529" s="74"/>
      <c r="CJ529" s="74"/>
      <c r="CK529" s="101"/>
      <c r="CL529" s="74"/>
      <c r="CM529" s="74"/>
      <c r="CN529" s="74"/>
      <c r="CO529" s="101"/>
      <c r="CP529" s="74"/>
      <c r="CQ529" s="74"/>
      <c r="CR529" s="74"/>
      <c r="CS529" s="74"/>
      <c r="CT529" s="74"/>
      <c r="CU529" s="74"/>
      <c r="CV529" s="74"/>
      <c r="CW529" s="74"/>
      <c r="CX529" s="7"/>
      <c r="CY529" s="7"/>
      <c r="CZ529" s="74"/>
      <c r="DA529" s="74"/>
      <c r="DB529" s="74"/>
      <c r="DC529" s="74"/>
      <c r="DD529" s="74"/>
      <c r="DE529" s="74"/>
      <c r="DF529" s="74"/>
      <c r="DG529" s="74"/>
      <c r="DH529" s="74"/>
      <c r="DI529" s="74"/>
      <c r="DJ529" s="74"/>
      <c r="DK529" s="74"/>
      <c r="DL529" s="74"/>
      <c r="DM529" s="74"/>
      <c r="DN529" s="74"/>
      <c r="DO529" s="74"/>
      <c r="DP529" s="74"/>
      <c r="DQ529" s="74"/>
      <c r="DR529" s="74"/>
      <c r="DS529" s="74"/>
      <c r="DT529" s="74"/>
      <c r="DU529" s="74"/>
      <c r="DV529" s="74"/>
      <c r="DW529" s="74"/>
      <c r="DX529" s="74"/>
      <c r="DY529" s="74"/>
      <c r="DZ529" s="8">
        <f t="shared" si="151"/>
        <v>0</v>
      </c>
      <c r="EA529" s="3">
        <f t="shared" si="152"/>
        <v>0</v>
      </c>
      <c r="EB529" s="2">
        <f t="shared" si="153"/>
        <v>0</v>
      </c>
      <c r="EC529" s="112">
        <f t="shared" si="161"/>
        <v>0</v>
      </c>
      <c r="ED529" s="29">
        <f t="shared" si="154"/>
        <v>0</v>
      </c>
      <c r="EE529" s="2">
        <f t="shared" si="155"/>
        <v>0</v>
      </c>
      <c r="EF529" s="46">
        <f t="shared" si="156"/>
        <v>0</v>
      </c>
      <c r="EG529" s="46">
        <f t="shared" si="157"/>
        <v>0</v>
      </c>
      <c r="EH529" s="29">
        <f t="shared" si="158"/>
        <v>0</v>
      </c>
      <c r="EI529" s="29">
        <f>IF(COUNT(I529:AD529)&lt;5,DZ529,SUMPRODUCT(LARGE(I529:AD529,{1,2,3,4,5}))/5)</f>
        <v>0</v>
      </c>
      <c r="EJ529" s="29">
        <f>IF(COUNT(I529:BE529)&lt;5,DZ529,SUMPRODUCT(LARGE(I529:BE529,{1,2,3,4,5}))/5)</f>
        <v>0</v>
      </c>
      <c r="EK529" s="29">
        <f t="shared" si="160"/>
        <v>0</v>
      </c>
      <c r="EL529" s="29">
        <f t="shared" si="150"/>
        <v>0</v>
      </c>
      <c r="EM529" s="116">
        <f t="shared" si="159"/>
        <v>0</v>
      </c>
      <c r="EQ529"/>
    </row>
    <row r="530" spans="1:147" x14ac:dyDescent="0.25">
      <c r="A530" s="59"/>
      <c r="B530" s="32"/>
      <c r="C530" s="5"/>
      <c r="D530" s="6"/>
      <c r="E530" s="6"/>
      <c r="F530" s="6"/>
      <c r="G530" s="5"/>
      <c r="H530" s="37"/>
      <c r="I530" s="107"/>
      <c r="J530" s="7"/>
      <c r="K530" s="74"/>
      <c r="L530" s="7"/>
      <c r="M530" s="74"/>
      <c r="N530" s="74"/>
      <c r="O530" s="74"/>
      <c r="P530" s="74"/>
      <c r="Q530" s="7"/>
      <c r="R530" s="74"/>
      <c r="S530" s="74"/>
      <c r="T530" s="74"/>
      <c r="U530" s="7"/>
      <c r="V530" s="74"/>
      <c r="W530" s="7"/>
      <c r="X530" s="74"/>
      <c r="Y530" s="227"/>
      <c r="Z530" s="228"/>
      <c r="AA530" s="74"/>
      <c r="AB530" s="74"/>
      <c r="AC530" s="74"/>
      <c r="AD530" s="74"/>
      <c r="AE530" s="74"/>
      <c r="AF530" s="74"/>
      <c r="AG530" s="74"/>
      <c r="AH530" s="74"/>
      <c r="AI530" s="74"/>
      <c r="AJ530" s="74"/>
      <c r="AK530" s="74"/>
      <c r="AL530" s="74"/>
      <c r="AM530" s="74"/>
      <c r="AN530" s="74"/>
      <c r="AO530" s="74"/>
      <c r="AP530" s="74"/>
      <c r="AQ530" s="74"/>
      <c r="AR530" s="101"/>
      <c r="AS530" s="7"/>
      <c r="AT530" s="101"/>
      <c r="AU530" s="7"/>
      <c r="AV530" s="101"/>
      <c r="AW530" s="7"/>
      <c r="AX530" s="183"/>
      <c r="AY530" s="107"/>
      <c r="AZ530" s="74"/>
      <c r="BA530" s="74"/>
      <c r="BB530" s="74"/>
      <c r="BC530" s="74"/>
      <c r="BD530" s="7"/>
      <c r="BE530" s="7"/>
      <c r="BF530" s="74"/>
      <c r="BG530" s="74"/>
      <c r="BH530" s="74"/>
      <c r="BI530" s="74"/>
      <c r="BJ530" s="74"/>
      <c r="BK530" s="7"/>
      <c r="BL530" s="74"/>
      <c r="BM530" s="7"/>
      <c r="BN530" s="74"/>
      <c r="BO530" s="74"/>
      <c r="BP530" s="74"/>
      <c r="BQ530" s="74"/>
      <c r="BR530" s="74"/>
      <c r="BS530" s="7"/>
      <c r="BT530" s="7"/>
      <c r="BU530" s="74"/>
      <c r="BV530" s="74"/>
      <c r="BW530" s="74"/>
      <c r="BX530" s="74"/>
      <c r="BY530" s="102"/>
      <c r="BZ530" s="74"/>
      <c r="CA530" s="74"/>
      <c r="CB530" s="74"/>
      <c r="CC530" s="74"/>
      <c r="CD530" s="74"/>
      <c r="CE530" s="74"/>
      <c r="CF530" s="74"/>
      <c r="CG530" s="74"/>
      <c r="CH530" s="74"/>
      <c r="CI530" s="74"/>
      <c r="CJ530" s="74"/>
      <c r="CK530" s="101"/>
      <c r="CL530" s="74"/>
      <c r="CM530" s="74"/>
      <c r="CN530" s="74"/>
      <c r="CO530" s="101"/>
      <c r="CP530" s="74"/>
      <c r="CQ530" s="74"/>
      <c r="CR530" s="74"/>
      <c r="CS530" s="74"/>
      <c r="CT530" s="74"/>
      <c r="CU530" s="74"/>
      <c r="CV530" s="74"/>
      <c r="CW530" s="74"/>
      <c r="CX530" s="7"/>
      <c r="CY530" s="7"/>
      <c r="CZ530" s="74"/>
      <c r="DA530" s="74"/>
      <c r="DB530" s="74"/>
      <c r="DC530" s="74"/>
      <c r="DD530" s="74"/>
      <c r="DE530" s="74"/>
      <c r="DF530" s="74"/>
      <c r="DG530" s="74"/>
      <c r="DH530" s="74"/>
      <c r="DI530" s="74"/>
      <c r="DJ530" s="74"/>
      <c r="DK530" s="74"/>
      <c r="DL530" s="74"/>
      <c r="DM530" s="74"/>
      <c r="DN530" s="74"/>
      <c r="DO530" s="74"/>
      <c r="DP530" s="74"/>
      <c r="DQ530" s="74"/>
      <c r="DR530" s="74"/>
      <c r="DS530" s="74"/>
      <c r="DT530" s="74"/>
      <c r="DU530" s="74"/>
      <c r="DV530" s="74"/>
      <c r="DW530" s="74"/>
      <c r="DX530" s="74"/>
      <c r="DY530" s="74"/>
      <c r="DZ530" s="8">
        <f t="shared" si="151"/>
        <v>0</v>
      </c>
      <c r="EA530" s="3">
        <f t="shared" si="152"/>
        <v>0</v>
      </c>
      <c r="EB530" s="2">
        <f t="shared" si="153"/>
        <v>0</v>
      </c>
      <c r="EC530" s="112">
        <f t="shared" si="161"/>
        <v>0</v>
      </c>
      <c r="ED530" s="29">
        <f t="shared" si="154"/>
        <v>0</v>
      </c>
      <c r="EE530" s="2">
        <f t="shared" si="155"/>
        <v>0</v>
      </c>
      <c r="EF530" s="46">
        <f t="shared" si="156"/>
        <v>0</v>
      </c>
      <c r="EG530" s="46">
        <f t="shared" si="157"/>
        <v>0</v>
      </c>
      <c r="EH530" s="29">
        <f t="shared" si="158"/>
        <v>0</v>
      </c>
      <c r="EI530" s="29">
        <f>IF(COUNT(I530:AD530)&lt;5,DZ530,SUMPRODUCT(LARGE(I530:AD530,{1,2,3,4,5}))/5)</f>
        <v>0</v>
      </c>
      <c r="EJ530" s="29">
        <f>IF(COUNT(I530:BE530)&lt;5,DZ530,SUMPRODUCT(LARGE(I530:BE530,{1,2,3,4,5}))/5)</f>
        <v>0</v>
      </c>
      <c r="EK530" s="29">
        <f t="shared" si="160"/>
        <v>0</v>
      </c>
      <c r="EL530" s="29">
        <f t="shared" si="150"/>
        <v>0</v>
      </c>
      <c r="EM530" s="116">
        <f t="shared" si="159"/>
        <v>0</v>
      </c>
      <c r="EQ530"/>
    </row>
    <row r="531" spans="1:147" x14ac:dyDescent="0.25">
      <c r="A531" s="59"/>
      <c r="B531" s="32"/>
      <c r="C531" s="5"/>
      <c r="D531" s="6"/>
      <c r="E531" s="6"/>
      <c r="F531" s="6"/>
      <c r="G531" s="5"/>
      <c r="H531" s="37"/>
      <c r="I531" s="107"/>
      <c r="J531" s="7"/>
      <c r="K531" s="74"/>
      <c r="L531" s="7"/>
      <c r="M531" s="74"/>
      <c r="N531" s="74"/>
      <c r="O531" s="74"/>
      <c r="P531" s="74"/>
      <c r="Q531" s="7"/>
      <c r="R531" s="74"/>
      <c r="S531" s="74"/>
      <c r="T531" s="74"/>
      <c r="U531" s="7"/>
      <c r="V531" s="74"/>
      <c r="W531" s="7"/>
      <c r="X531" s="74"/>
      <c r="Y531" s="227"/>
      <c r="Z531" s="228"/>
      <c r="AA531" s="74"/>
      <c r="AB531" s="74"/>
      <c r="AC531" s="74"/>
      <c r="AD531" s="74"/>
      <c r="AE531" s="74"/>
      <c r="AF531" s="74"/>
      <c r="AG531" s="74"/>
      <c r="AH531" s="74"/>
      <c r="AI531" s="74"/>
      <c r="AJ531" s="74"/>
      <c r="AK531" s="74"/>
      <c r="AL531" s="74"/>
      <c r="AM531" s="74"/>
      <c r="AN531" s="74"/>
      <c r="AO531" s="74"/>
      <c r="AP531" s="74"/>
      <c r="AQ531" s="74"/>
      <c r="AR531" s="101"/>
      <c r="AS531" s="7"/>
      <c r="AT531" s="101"/>
      <c r="AU531" s="7"/>
      <c r="AV531" s="101"/>
      <c r="AW531" s="7"/>
      <c r="AX531" s="183"/>
      <c r="AY531" s="107"/>
      <c r="AZ531" s="74"/>
      <c r="BA531" s="74"/>
      <c r="BB531" s="74"/>
      <c r="BC531" s="74"/>
      <c r="BD531" s="7"/>
      <c r="BE531" s="7"/>
      <c r="BF531" s="74"/>
      <c r="BG531" s="74"/>
      <c r="BH531" s="74"/>
      <c r="BI531" s="74"/>
      <c r="BJ531" s="74"/>
      <c r="BK531" s="7"/>
      <c r="BL531" s="74"/>
      <c r="BM531" s="7"/>
      <c r="BN531" s="74"/>
      <c r="BO531" s="74"/>
      <c r="BP531" s="74"/>
      <c r="BQ531" s="74"/>
      <c r="BR531" s="74"/>
      <c r="BS531" s="7"/>
      <c r="BT531" s="7"/>
      <c r="BU531" s="74"/>
      <c r="BV531" s="74"/>
      <c r="BW531" s="74"/>
      <c r="BX531" s="74"/>
      <c r="BY531" s="102"/>
      <c r="BZ531" s="74"/>
      <c r="CA531" s="74"/>
      <c r="CB531" s="74"/>
      <c r="CC531" s="74"/>
      <c r="CD531" s="74"/>
      <c r="CE531" s="74"/>
      <c r="CF531" s="74"/>
      <c r="CG531" s="74"/>
      <c r="CH531" s="74"/>
      <c r="CI531" s="74"/>
      <c r="CJ531" s="74"/>
      <c r="CK531" s="101"/>
      <c r="CL531" s="74"/>
      <c r="CM531" s="74"/>
      <c r="CN531" s="74"/>
      <c r="CO531" s="101"/>
      <c r="CP531" s="74"/>
      <c r="CQ531" s="74"/>
      <c r="CR531" s="74"/>
      <c r="CS531" s="74"/>
      <c r="CT531" s="74"/>
      <c r="CU531" s="74"/>
      <c r="CV531" s="74"/>
      <c r="CW531" s="74"/>
      <c r="CX531" s="7"/>
      <c r="CY531" s="7"/>
      <c r="CZ531" s="74"/>
      <c r="DA531" s="74"/>
      <c r="DB531" s="74"/>
      <c r="DC531" s="74"/>
      <c r="DD531" s="74"/>
      <c r="DE531" s="74"/>
      <c r="DF531" s="74"/>
      <c r="DG531" s="74"/>
      <c r="DH531" s="74"/>
      <c r="DI531" s="74"/>
      <c r="DJ531" s="74"/>
      <c r="DK531" s="74"/>
      <c r="DL531" s="74"/>
      <c r="DM531" s="74"/>
      <c r="DN531" s="100"/>
      <c r="DO531" s="74"/>
      <c r="DP531" s="74"/>
      <c r="DQ531" s="74"/>
      <c r="DR531" s="74"/>
      <c r="DS531" s="74"/>
      <c r="DT531" s="74"/>
      <c r="DU531" s="74"/>
      <c r="DV531" s="74"/>
      <c r="DW531" s="74"/>
      <c r="DX531" s="74"/>
      <c r="DY531" s="74"/>
      <c r="DZ531" s="8">
        <f t="shared" si="151"/>
        <v>0</v>
      </c>
      <c r="EA531" s="3">
        <f t="shared" si="152"/>
        <v>0</v>
      </c>
      <c r="EB531" s="2">
        <f t="shared" si="153"/>
        <v>0</v>
      </c>
      <c r="EC531" s="112">
        <f t="shared" si="161"/>
        <v>0</v>
      </c>
      <c r="ED531" s="29">
        <f t="shared" si="154"/>
        <v>0</v>
      </c>
      <c r="EE531" s="2">
        <f t="shared" si="155"/>
        <v>0</v>
      </c>
      <c r="EF531" s="46">
        <f t="shared" si="156"/>
        <v>0</v>
      </c>
      <c r="EG531" s="46">
        <f t="shared" si="157"/>
        <v>0</v>
      </c>
      <c r="EH531" s="29">
        <f t="shared" si="158"/>
        <v>0</v>
      </c>
      <c r="EI531" s="29">
        <f>IF(COUNT(I531:AD531)&lt;5,DZ531,SUMPRODUCT(LARGE(I531:AD531,{1,2,3,4,5}))/5)</f>
        <v>0</v>
      </c>
      <c r="EJ531" s="29">
        <f>IF(COUNT(I531:BE531)&lt;5,DZ531,SUMPRODUCT(LARGE(I531:BE531,{1,2,3,4,5}))/5)</f>
        <v>0</v>
      </c>
      <c r="EK531" s="29">
        <f t="shared" si="160"/>
        <v>0</v>
      </c>
      <c r="EL531" s="29">
        <f t="shared" si="150"/>
        <v>0</v>
      </c>
      <c r="EM531" s="116">
        <f t="shared" si="159"/>
        <v>0</v>
      </c>
      <c r="EQ531"/>
    </row>
    <row r="532" spans="1:147" x14ac:dyDescent="0.25">
      <c r="A532" s="59"/>
      <c r="B532" s="32"/>
      <c r="C532" s="5"/>
      <c r="D532" s="6"/>
      <c r="E532" s="6"/>
      <c r="F532" s="6"/>
      <c r="G532" s="5"/>
      <c r="H532" s="37"/>
      <c r="I532" s="107"/>
      <c r="J532" s="7"/>
      <c r="K532" s="74"/>
      <c r="L532" s="7"/>
      <c r="M532" s="74"/>
      <c r="N532" s="74"/>
      <c r="O532" s="7"/>
      <c r="P532" s="74"/>
      <c r="Q532" s="7"/>
      <c r="R532" s="74"/>
      <c r="S532" s="74"/>
      <c r="T532" s="74"/>
      <c r="U532" s="7"/>
      <c r="V532" s="74"/>
      <c r="W532" s="7"/>
      <c r="X532" s="74"/>
      <c r="Y532" s="227"/>
      <c r="Z532" s="228"/>
      <c r="AA532" s="74"/>
      <c r="AB532" s="74"/>
      <c r="AC532" s="74"/>
      <c r="AD532" s="74"/>
      <c r="AE532" s="74"/>
      <c r="AF532" s="74"/>
      <c r="AG532" s="74"/>
      <c r="AH532" s="74"/>
      <c r="AI532" s="74"/>
      <c r="AJ532" s="74"/>
      <c r="AK532" s="74"/>
      <c r="AL532" s="74"/>
      <c r="AM532" s="74"/>
      <c r="AN532" s="74"/>
      <c r="AO532" s="74"/>
      <c r="AP532" s="74"/>
      <c r="AQ532" s="74"/>
      <c r="AR532" s="101"/>
      <c r="AS532" s="7"/>
      <c r="AT532" s="101"/>
      <c r="AU532" s="7"/>
      <c r="AV532" s="101"/>
      <c r="AW532" s="7"/>
      <c r="AX532" s="183"/>
      <c r="AY532" s="107"/>
      <c r="AZ532" s="74"/>
      <c r="BA532" s="74"/>
      <c r="BB532" s="74"/>
      <c r="BC532" s="74"/>
      <c r="BD532" s="7"/>
      <c r="BE532" s="7"/>
      <c r="BF532" s="74"/>
      <c r="BG532" s="74"/>
      <c r="BH532" s="74"/>
      <c r="BI532" s="74"/>
      <c r="BJ532" s="74"/>
      <c r="BK532" s="7"/>
      <c r="BL532" s="74"/>
      <c r="BM532" s="7"/>
      <c r="BN532" s="74"/>
      <c r="BO532" s="74"/>
      <c r="BP532" s="74"/>
      <c r="BQ532" s="74"/>
      <c r="BR532" s="74"/>
      <c r="BS532" s="7"/>
      <c r="BT532" s="7"/>
      <c r="BU532" s="74"/>
      <c r="BV532" s="74"/>
      <c r="BW532" s="74"/>
      <c r="BX532" s="74"/>
      <c r="BY532" s="102"/>
      <c r="BZ532" s="74"/>
      <c r="CA532" s="74"/>
      <c r="CB532" s="74"/>
      <c r="CC532" s="74"/>
      <c r="CD532" s="74"/>
      <c r="CE532" s="74"/>
      <c r="CF532" s="74"/>
      <c r="CG532" s="74"/>
      <c r="CH532" s="74"/>
      <c r="CI532" s="74"/>
      <c r="CJ532" s="74"/>
      <c r="CK532" s="101"/>
      <c r="CL532" s="74"/>
      <c r="CM532" s="74"/>
      <c r="CN532" s="74"/>
      <c r="CO532" s="101"/>
      <c r="CP532" s="74"/>
      <c r="CQ532" s="74"/>
      <c r="CR532" s="74"/>
      <c r="CS532" s="74"/>
      <c r="CT532" s="74"/>
      <c r="CU532" s="74"/>
      <c r="CV532" s="74"/>
      <c r="CW532" s="74"/>
      <c r="CX532" s="7"/>
      <c r="CY532" s="7"/>
      <c r="CZ532" s="74"/>
      <c r="DA532" s="74"/>
      <c r="DB532" s="74"/>
      <c r="DC532" s="74"/>
      <c r="DD532" s="74"/>
      <c r="DE532" s="74"/>
      <c r="DF532" s="74"/>
      <c r="DG532" s="74"/>
      <c r="DH532" s="74"/>
      <c r="DI532" s="74"/>
      <c r="DJ532" s="100"/>
      <c r="DK532" s="74"/>
      <c r="DL532" s="74"/>
      <c r="DM532" s="74"/>
      <c r="DN532" s="74"/>
      <c r="DO532" s="74"/>
      <c r="DP532" s="74"/>
      <c r="DQ532" s="74"/>
      <c r="DR532" s="74"/>
      <c r="DS532" s="100"/>
      <c r="DT532" s="74"/>
      <c r="DU532" s="74"/>
      <c r="DV532" s="74"/>
      <c r="DW532" s="74"/>
      <c r="DX532" s="74"/>
      <c r="DY532" s="74"/>
      <c r="DZ532" s="8">
        <f t="shared" si="151"/>
        <v>0</v>
      </c>
      <c r="EA532" s="3">
        <f t="shared" si="152"/>
        <v>0</v>
      </c>
      <c r="EB532" s="2">
        <f t="shared" si="153"/>
        <v>0</v>
      </c>
      <c r="EC532" s="112">
        <f t="shared" si="161"/>
        <v>0</v>
      </c>
      <c r="ED532" s="29">
        <f t="shared" si="154"/>
        <v>0</v>
      </c>
      <c r="EE532" s="2">
        <f t="shared" si="155"/>
        <v>0</v>
      </c>
      <c r="EF532" s="46">
        <f t="shared" si="156"/>
        <v>0</v>
      </c>
      <c r="EG532" s="46">
        <f t="shared" si="157"/>
        <v>0</v>
      </c>
      <c r="EH532" s="29">
        <f t="shared" si="158"/>
        <v>0</v>
      </c>
      <c r="EI532" s="29">
        <f>IF(COUNT(I532:AD532)&lt;5,DZ532,SUMPRODUCT(LARGE(I532:AD532,{1,2,3,4,5}))/5)</f>
        <v>0</v>
      </c>
      <c r="EJ532" s="29">
        <f>IF(COUNT(I532:BE532)&lt;5,DZ532,SUMPRODUCT(LARGE(I532:BE532,{1,2,3,4,5}))/5)</f>
        <v>0</v>
      </c>
      <c r="EK532" s="29">
        <f t="shared" si="160"/>
        <v>0</v>
      </c>
      <c r="EL532" s="29">
        <f t="shared" si="150"/>
        <v>0</v>
      </c>
      <c r="EM532" s="116">
        <f t="shared" si="159"/>
        <v>0</v>
      </c>
      <c r="EQ532"/>
    </row>
    <row r="533" spans="1:147" x14ac:dyDescent="0.25">
      <c r="A533" s="59"/>
      <c r="B533" s="4"/>
      <c r="C533" s="5"/>
      <c r="D533" s="5"/>
      <c r="E533" s="6"/>
      <c r="F533" s="6"/>
      <c r="G533" s="5"/>
      <c r="H533" s="37"/>
      <c r="I533" s="107"/>
      <c r="J533" s="7"/>
      <c r="K533" s="74"/>
      <c r="L533" s="7"/>
      <c r="M533" s="74"/>
      <c r="N533" s="74"/>
      <c r="O533" s="7"/>
      <c r="P533" s="74"/>
      <c r="Q533" s="7"/>
      <c r="R533" s="74"/>
      <c r="S533" s="74"/>
      <c r="T533" s="74"/>
      <c r="U533" s="7"/>
      <c r="V533" s="74"/>
      <c r="W533" s="7"/>
      <c r="X533" s="74"/>
      <c r="Y533" s="227"/>
      <c r="Z533" s="228"/>
      <c r="AA533" s="74"/>
      <c r="AB533" s="74"/>
      <c r="AC533" s="74"/>
      <c r="AD533" s="74"/>
      <c r="AE533" s="7"/>
      <c r="AF533" s="74"/>
      <c r="AG533" s="74"/>
      <c r="AH533" s="7"/>
      <c r="AI533" s="7"/>
      <c r="AJ533" s="7"/>
      <c r="AK533" s="7"/>
      <c r="AL533" s="7"/>
      <c r="AM533" s="7"/>
      <c r="AN533" s="7"/>
      <c r="AO533" s="74"/>
      <c r="AP533" s="7"/>
      <c r="AQ533" s="74"/>
      <c r="AR533" s="101"/>
      <c r="AS533" s="7"/>
      <c r="AT533" s="101"/>
      <c r="AU533" s="7"/>
      <c r="AV533" s="101"/>
      <c r="AW533" s="7"/>
      <c r="AX533" s="183"/>
      <c r="AY533" s="107"/>
      <c r="AZ533" s="74"/>
      <c r="BA533" s="74"/>
      <c r="BB533" s="74"/>
      <c r="BC533" s="74"/>
      <c r="BD533" s="7"/>
      <c r="BE533" s="7"/>
      <c r="BF533" s="74"/>
      <c r="BG533" s="74"/>
      <c r="BH533" s="74"/>
      <c r="BI533" s="74"/>
      <c r="BJ533" s="74"/>
      <c r="BK533" s="7"/>
      <c r="BL533" s="74"/>
      <c r="BM533" s="7"/>
      <c r="BN533" s="74"/>
      <c r="BO533" s="74"/>
      <c r="BP533" s="74"/>
      <c r="BQ533" s="74"/>
      <c r="BR533" s="74"/>
      <c r="BS533" s="7"/>
      <c r="BT533" s="7"/>
      <c r="BU533" s="74"/>
      <c r="BV533" s="74"/>
      <c r="BW533" s="74"/>
      <c r="BX533" s="74"/>
      <c r="BY533" s="74"/>
      <c r="BZ533" s="74"/>
      <c r="CA533" s="74"/>
      <c r="CB533" s="74"/>
      <c r="CC533" s="74"/>
      <c r="CD533" s="74"/>
      <c r="CE533" s="74"/>
      <c r="CF533" s="74"/>
      <c r="CG533" s="74"/>
      <c r="CH533" s="74"/>
      <c r="CI533" s="74"/>
      <c r="CJ533" s="74"/>
      <c r="CK533" s="101"/>
      <c r="CL533" s="74"/>
      <c r="CM533" s="74"/>
      <c r="CN533" s="74"/>
      <c r="CO533" s="101"/>
      <c r="CP533" s="74"/>
      <c r="CQ533" s="74"/>
      <c r="CR533" s="74"/>
      <c r="CS533" s="74"/>
      <c r="CT533" s="74"/>
      <c r="CU533" s="74"/>
      <c r="CV533" s="74"/>
      <c r="CW533" s="74"/>
      <c r="CX533" s="7"/>
      <c r="CY533" s="7"/>
      <c r="CZ533" s="74"/>
      <c r="DA533" s="74"/>
      <c r="DB533" s="74"/>
      <c r="DC533" s="74"/>
      <c r="DD533" s="74"/>
      <c r="DE533" s="74"/>
      <c r="DF533" s="74"/>
      <c r="DG533" s="74"/>
      <c r="DH533" s="74"/>
      <c r="DI533" s="74"/>
      <c r="DJ533" s="74"/>
      <c r="DK533" s="74"/>
      <c r="DL533" s="74"/>
      <c r="DM533" s="74"/>
      <c r="DN533" s="74"/>
      <c r="DO533" s="74"/>
      <c r="DP533" s="74"/>
      <c r="DQ533" s="74"/>
      <c r="DR533" s="74"/>
      <c r="DS533" s="74"/>
      <c r="DT533" s="74"/>
      <c r="DU533" s="74"/>
      <c r="DV533" s="74"/>
      <c r="DW533" s="74"/>
      <c r="DX533" s="74"/>
      <c r="DY533" s="74"/>
      <c r="DZ533" s="8">
        <f t="shared" si="151"/>
        <v>0</v>
      </c>
      <c r="EA533" s="3">
        <f t="shared" si="152"/>
        <v>0</v>
      </c>
      <c r="EB533" s="2">
        <f t="shared" si="153"/>
        <v>0</v>
      </c>
      <c r="EC533" s="112">
        <f t="shared" si="161"/>
        <v>0</v>
      </c>
      <c r="ED533" s="29">
        <f t="shared" si="154"/>
        <v>0</v>
      </c>
      <c r="EE533" s="2">
        <f t="shared" si="155"/>
        <v>0</v>
      </c>
      <c r="EF533" s="46">
        <f t="shared" si="156"/>
        <v>0</v>
      </c>
      <c r="EG533" s="46">
        <f t="shared" si="157"/>
        <v>0</v>
      </c>
      <c r="EH533" s="2">
        <f t="shared" si="158"/>
        <v>0</v>
      </c>
      <c r="EI533" s="29">
        <f>IF(COUNT(I533:AD533)&lt;5,DZ533,SUMPRODUCT(LARGE(I533:AD533,{1,2,3,4,5}))/5)</f>
        <v>0</v>
      </c>
      <c r="EJ533" s="29">
        <f>IF(COUNT(I533:BE533)&lt;5,DZ533,SUMPRODUCT(LARGE(I533:BE533,{1,2,3,4,5}))/5)</f>
        <v>0</v>
      </c>
      <c r="EK533" s="29">
        <f t="shared" si="160"/>
        <v>0</v>
      </c>
      <c r="EL533" s="29">
        <f t="shared" si="150"/>
        <v>0</v>
      </c>
      <c r="EM533" s="116">
        <f t="shared" si="159"/>
        <v>0</v>
      </c>
      <c r="EQ533"/>
    </row>
    <row r="534" spans="1:147" x14ac:dyDescent="0.25">
      <c r="A534" s="59"/>
      <c r="B534" s="32"/>
      <c r="C534" s="5"/>
      <c r="D534" s="6"/>
      <c r="E534" s="6"/>
      <c r="F534" s="6"/>
      <c r="G534" s="5"/>
      <c r="H534" s="37"/>
      <c r="I534" s="107"/>
      <c r="J534" s="7"/>
      <c r="K534" s="74"/>
      <c r="L534" s="7"/>
      <c r="M534" s="74"/>
      <c r="N534" s="74"/>
      <c r="O534" s="7"/>
      <c r="P534" s="74"/>
      <c r="Q534" s="74"/>
      <c r="R534" s="74"/>
      <c r="S534" s="74"/>
      <c r="T534" s="74"/>
      <c r="U534" s="7"/>
      <c r="V534" s="74"/>
      <c r="W534" s="7"/>
      <c r="X534" s="74"/>
      <c r="Y534" s="227"/>
      <c r="Z534" s="228"/>
      <c r="AA534" s="74"/>
      <c r="AB534" s="74"/>
      <c r="AC534" s="74"/>
      <c r="AD534" s="74"/>
      <c r="AE534" s="7"/>
      <c r="AF534" s="74"/>
      <c r="AG534" s="74"/>
      <c r="AH534" s="7"/>
      <c r="AI534" s="7"/>
      <c r="AJ534" s="7"/>
      <c r="AK534" s="7"/>
      <c r="AL534" s="7"/>
      <c r="AM534" s="7"/>
      <c r="AN534" s="7"/>
      <c r="AO534" s="74"/>
      <c r="AP534" s="7"/>
      <c r="AQ534" s="74"/>
      <c r="AR534" s="101"/>
      <c r="AS534" s="7"/>
      <c r="AT534" s="101"/>
      <c r="AU534" s="7"/>
      <c r="AV534" s="101"/>
      <c r="AW534" s="7"/>
      <c r="AX534" s="183"/>
      <c r="AY534" s="107"/>
      <c r="AZ534" s="7"/>
      <c r="BA534" s="74"/>
      <c r="BB534" s="74"/>
      <c r="BC534" s="74"/>
      <c r="BD534" s="7"/>
      <c r="BE534" s="7"/>
      <c r="BF534" s="74"/>
      <c r="BG534" s="74"/>
      <c r="BH534" s="74"/>
      <c r="BI534" s="74"/>
      <c r="BJ534" s="74"/>
      <c r="BK534" s="7"/>
      <c r="BL534" s="74"/>
      <c r="BM534" s="7"/>
      <c r="BN534" s="74"/>
      <c r="BO534" s="74"/>
      <c r="BP534" s="74"/>
      <c r="BQ534" s="74"/>
      <c r="BR534" s="74"/>
      <c r="BS534" s="7"/>
      <c r="BT534" s="7"/>
      <c r="BU534" s="74"/>
      <c r="BV534" s="74"/>
      <c r="BW534" s="74"/>
      <c r="BX534" s="74"/>
      <c r="BY534" s="74"/>
      <c r="BZ534" s="74"/>
      <c r="CA534" s="74"/>
      <c r="CB534" s="74"/>
      <c r="CC534" s="74"/>
      <c r="CD534" s="74"/>
      <c r="CE534" s="74"/>
      <c r="CF534" s="74"/>
      <c r="CG534" s="74"/>
      <c r="CH534" s="74"/>
      <c r="CI534" s="74"/>
      <c r="CJ534" s="74"/>
      <c r="CK534" s="101"/>
      <c r="CL534" s="74"/>
      <c r="CM534" s="74"/>
      <c r="CN534" s="74"/>
      <c r="CO534" s="101"/>
      <c r="CP534" s="74"/>
      <c r="CQ534" s="74"/>
      <c r="CR534" s="74"/>
      <c r="CS534" s="74"/>
      <c r="CT534" s="74"/>
      <c r="CU534" s="74"/>
      <c r="CV534" s="74"/>
      <c r="CW534" s="74"/>
      <c r="CX534" s="7"/>
      <c r="CY534" s="7"/>
      <c r="CZ534" s="74"/>
      <c r="DA534" s="74"/>
      <c r="DB534" s="74"/>
      <c r="DC534" s="74"/>
      <c r="DD534" s="74"/>
      <c r="DE534" s="74"/>
      <c r="DF534" s="74"/>
      <c r="DG534" s="74"/>
      <c r="DH534" s="74"/>
      <c r="DI534" s="74"/>
      <c r="DJ534" s="74"/>
      <c r="DK534" s="74"/>
      <c r="DL534" s="74"/>
      <c r="DM534" s="74"/>
      <c r="DN534" s="74"/>
      <c r="DO534" s="74"/>
      <c r="DP534" s="74"/>
      <c r="DQ534" s="74"/>
      <c r="DR534" s="74"/>
      <c r="DS534" s="74"/>
      <c r="DT534" s="74"/>
      <c r="DU534" s="74"/>
      <c r="DV534" s="74"/>
      <c r="DW534" s="74"/>
      <c r="DX534" s="74"/>
      <c r="DY534" s="74"/>
      <c r="DZ534" s="8">
        <f t="shared" si="151"/>
        <v>0</v>
      </c>
      <c r="EA534" s="3">
        <f t="shared" si="152"/>
        <v>0</v>
      </c>
      <c r="EB534" s="2">
        <f t="shared" si="153"/>
        <v>0</v>
      </c>
      <c r="EC534" s="112">
        <f t="shared" si="161"/>
        <v>0</v>
      </c>
      <c r="ED534" s="29">
        <f t="shared" si="154"/>
        <v>0</v>
      </c>
      <c r="EE534" s="2">
        <f t="shared" si="155"/>
        <v>0</v>
      </c>
      <c r="EF534" s="46">
        <f t="shared" si="156"/>
        <v>0</v>
      </c>
      <c r="EG534" s="46">
        <f t="shared" si="157"/>
        <v>0</v>
      </c>
      <c r="EH534" s="29">
        <f t="shared" si="158"/>
        <v>0</v>
      </c>
      <c r="EI534" s="29">
        <f>IF(COUNT(I534:AD534)&lt;5,DZ534,SUMPRODUCT(LARGE(I534:AD534,{1,2,3,4,5}))/5)</f>
        <v>0</v>
      </c>
      <c r="EJ534" s="29">
        <f>IF(COUNT(I534:BE534)&lt;5,DZ534,SUMPRODUCT(LARGE(I534:BE534,{1,2,3,4,5}))/5)</f>
        <v>0</v>
      </c>
      <c r="EK534" s="29">
        <f t="shared" si="160"/>
        <v>0</v>
      </c>
      <c r="EL534" s="29">
        <f t="shared" si="150"/>
        <v>0</v>
      </c>
      <c r="EM534" s="116">
        <f t="shared" si="159"/>
        <v>0</v>
      </c>
      <c r="EQ534"/>
    </row>
    <row r="535" spans="1:147" x14ac:dyDescent="0.25">
      <c r="A535" s="59"/>
      <c r="B535" s="32"/>
      <c r="C535" s="5"/>
      <c r="D535" s="6"/>
      <c r="E535" s="6"/>
      <c r="F535" s="6"/>
      <c r="G535" s="5"/>
      <c r="H535" s="37"/>
      <c r="I535" s="36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227"/>
      <c r="Z535" s="228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4"/>
      <c r="AP535" s="7"/>
      <c r="AQ535" s="74"/>
      <c r="AR535" s="70"/>
      <c r="AS535" s="7"/>
      <c r="AT535" s="70"/>
      <c r="AU535" s="7"/>
      <c r="AV535" s="70"/>
      <c r="AW535" s="7"/>
      <c r="AX535" s="183"/>
      <c r="AY535" s="10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4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101"/>
      <c r="CL535" s="74"/>
      <c r="CM535" s="74"/>
      <c r="CN535" s="74"/>
      <c r="CO535" s="70"/>
      <c r="CP535" s="74"/>
      <c r="CQ535" s="7"/>
      <c r="CR535" s="74"/>
      <c r="CS535" s="74"/>
      <c r="CT535" s="74"/>
      <c r="CU535" s="74"/>
      <c r="CV535" s="7"/>
      <c r="CW535" s="7"/>
      <c r="CX535" s="7"/>
      <c r="CY535" s="7"/>
      <c r="CZ535" s="7"/>
      <c r="DA535" s="7"/>
      <c r="DB535" s="7"/>
      <c r="DC535" s="7"/>
      <c r="DD535" s="7"/>
      <c r="DE535" s="74"/>
      <c r="DF535" s="74"/>
      <c r="DG535" s="74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8">
        <f t="shared" si="151"/>
        <v>0</v>
      </c>
      <c r="EA535" s="22">
        <f t="shared" si="152"/>
        <v>0</v>
      </c>
      <c r="EB535" s="56">
        <f t="shared" si="153"/>
        <v>0</v>
      </c>
      <c r="EC535" s="112">
        <f t="shared" si="161"/>
        <v>0</v>
      </c>
      <c r="ED535" s="112">
        <f t="shared" si="154"/>
        <v>0</v>
      </c>
      <c r="EE535" s="56">
        <f t="shared" si="155"/>
        <v>0</v>
      </c>
      <c r="EF535" s="111">
        <f t="shared" si="156"/>
        <v>0</v>
      </c>
      <c r="EG535" s="111">
        <f t="shared" si="157"/>
        <v>0</v>
      </c>
      <c r="EH535" s="56">
        <f t="shared" si="158"/>
        <v>0</v>
      </c>
      <c r="EI535" s="112">
        <f>IF(COUNT(I535:AD535)&lt;5,DZ535,SUMPRODUCT(LARGE(I535:AD535,{1,2,3,4,5}))/5)</f>
        <v>0</v>
      </c>
      <c r="EJ535" s="112">
        <f>IF(COUNT(I535:BE535)&lt;5,DZ535,SUMPRODUCT(LARGE(I535:BE535,{1,2,3,4,5}))/5)</f>
        <v>0</v>
      </c>
      <c r="EK535" s="29">
        <f t="shared" si="160"/>
        <v>0</v>
      </c>
      <c r="EL535" s="112">
        <f>(EK535*100)/101.59</f>
        <v>0</v>
      </c>
      <c r="EM535" s="163">
        <f t="shared" si="159"/>
        <v>0</v>
      </c>
      <c r="EQ535"/>
    </row>
    <row r="536" spans="1:147" x14ac:dyDescent="0.25">
      <c r="A536" s="59"/>
      <c r="B536" s="32"/>
      <c r="C536" s="5"/>
      <c r="D536" s="6"/>
      <c r="E536" s="6"/>
      <c r="F536" s="6"/>
      <c r="G536" s="5"/>
      <c r="H536" s="37"/>
      <c r="I536" s="107"/>
      <c r="J536" s="7"/>
      <c r="K536" s="74"/>
      <c r="L536" s="7"/>
      <c r="M536" s="74"/>
      <c r="N536" s="74"/>
      <c r="O536" s="7"/>
      <c r="P536" s="74"/>
      <c r="Q536" s="7"/>
      <c r="R536" s="74"/>
      <c r="S536" s="74"/>
      <c r="T536" s="7"/>
      <c r="U536" s="7"/>
      <c r="V536" s="74"/>
      <c r="W536" s="7"/>
      <c r="X536" s="74"/>
      <c r="Y536" s="227"/>
      <c r="Z536" s="228"/>
      <c r="AA536" s="74"/>
      <c r="AB536" s="74"/>
      <c r="AC536" s="74"/>
      <c r="AD536" s="74"/>
      <c r="AE536" s="7"/>
      <c r="AF536" s="74"/>
      <c r="AG536" s="74"/>
      <c r="AH536" s="7"/>
      <c r="AI536" s="7"/>
      <c r="AJ536" s="7"/>
      <c r="AK536" s="7"/>
      <c r="AL536" s="7"/>
      <c r="AM536" s="7"/>
      <c r="AN536" s="7"/>
      <c r="AO536" s="74"/>
      <c r="AP536" s="7"/>
      <c r="AQ536" s="74"/>
      <c r="AR536" s="101"/>
      <c r="AS536" s="7"/>
      <c r="AT536" s="101"/>
      <c r="AU536" s="7"/>
      <c r="AV536" s="101"/>
      <c r="AW536" s="7"/>
      <c r="AX536" s="183"/>
      <c r="AY536" s="107"/>
      <c r="AZ536" s="74"/>
      <c r="BA536" s="74"/>
      <c r="BB536" s="74"/>
      <c r="BC536" s="74"/>
      <c r="BD536" s="7"/>
      <c r="BE536" s="7"/>
      <c r="BF536" s="74"/>
      <c r="BG536" s="74"/>
      <c r="BH536" s="74"/>
      <c r="BI536" s="74"/>
      <c r="BJ536" s="74"/>
      <c r="BK536" s="7"/>
      <c r="BL536" s="74"/>
      <c r="BM536" s="7"/>
      <c r="BN536" s="74"/>
      <c r="BO536" s="74"/>
      <c r="BP536" s="74"/>
      <c r="BQ536" s="74"/>
      <c r="BR536" s="74"/>
      <c r="BS536" s="7"/>
      <c r="BT536" s="7"/>
      <c r="BU536" s="74"/>
      <c r="BV536" s="74"/>
      <c r="BW536" s="74"/>
      <c r="BX536" s="74"/>
      <c r="BY536" s="74"/>
      <c r="BZ536" s="74"/>
      <c r="CA536" s="74"/>
      <c r="CB536" s="74"/>
      <c r="CC536" s="74"/>
      <c r="CD536" s="74"/>
      <c r="CE536" s="7"/>
      <c r="CF536" s="74"/>
      <c r="CG536" s="74"/>
      <c r="CH536" s="7"/>
      <c r="CI536" s="74"/>
      <c r="CJ536" s="74"/>
      <c r="CK536" s="101"/>
      <c r="CL536" s="74"/>
      <c r="CM536" s="74"/>
      <c r="CN536" s="74"/>
      <c r="CO536" s="101"/>
      <c r="CP536" s="74"/>
      <c r="CQ536" s="74"/>
      <c r="CR536" s="74"/>
      <c r="CS536" s="74"/>
      <c r="CT536" s="74"/>
      <c r="CU536" s="74"/>
      <c r="CV536" s="74"/>
      <c r="CW536" s="74"/>
      <c r="CX536" s="74"/>
      <c r="CY536" s="74"/>
      <c r="CZ536" s="74"/>
      <c r="DA536" s="74"/>
      <c r="DB536" s="74"/>
      <c r="DC536" s="74"/>
      <c r="DD536" s="74"/>
      <c r="DE536" s="74"/>
      <c r="DF536" s="74"/>
      <c r="DG536" s="74"/>
      <c r="DH536" s="74"/>
      <c r="DI536" s="74"/>
      <c r="DJ536" s="74"/>
      <c r="DK536" s="74"/>
      <c r="DL536" s="74"/>
      <c r="DM536" s="74"/>
      <c r="DN536" s="74"/>
      <c r="DO536" s="74"/>
      <c r="DP536" s="74"/>
      <c r="DQ536" s="74"/>
      <c r="DR536" s="74"/>
      <c r="DS536" s="74"/>
      <c r="DT536" s="74"/>
      <c r="DU536" s="74"/>
      <c r="DV536" s="74"/>
      <c r="DW536" s="74"/>
      <c r="DX536" s="74"/>
      <c r="DY536" s="74"/>
      <c r="DZ536" s="8">
        <f t="shared" si="151"/>
        <v>0</v>
      </c>
      <c r="EA536" s="3">
        <f t="shared" si="152"/>
        <v>0</v>
      </c>
      <c r="EB536" s="2">
        <f t="shared" si="153"/>
        <v>0</v>
      </c>
      <c r="EC536" s="112">
        <f t="shared" si="161"/>
        <v>0</v>
      </c>
      <c r="ED536" s="29">
        <f t="shared" si="154"/>
        <v>0</v>
      </c>
      <c r="EE536" s="2">
        <f t="shared" si="155"/>
        <v>0</v>
      </c>
      <c r="EF536" s="46">
        <f t="shared" si="156"/>
        <v>0</v>
      </c>
      <c r="EG536" s="46">
        <f t="shared" si="157"/>
        <v>0</v>
      </c>
      <c r="EH536" s="2">
        <f t="shared" si="158"/>
        <v>0</v>
      </c>
      <c r="EI536" s="29">
        <f>IF(COUNT(I536:AD536)&lt;5,DZ536,SUMPRODUCT(LARGE(I536:AD536,{1,2,3,4,5}))/5)</f>
        <v>0</v>
      </c>
      <c r="EJ536" s="29">
        <f>IF(COUNT(I536:BE536)&lt;5,DZ536,SUMPRODUCT(LARGE(I536:BE536,{1,2,3,4,5}))/5)</f>
        <v>0</v>
      </c>
      <c r="EK536" s="29">
        <f t="shared" si="160"/>
        <v>0</v>
      </c>
      <c r="EL536" s="29">
        <f>(EK536*100)/101.28</f>
        <v>0</v>
      </c>
      <c r="EM536" s="116">
        <f t="shared" si="159"/>
        <v>0</v>
      </c>
      <c r="EQ536"/>
    </row>
    <row r="537" spans="1:147" x14ac:dyDescent="0.25">
      <c r="A537" s="59"/>
      <c r="B537" s="32"/>
      <c r="C537" s="5"/>
      <c r="D537" s="6"/>
      <c r="E537" s="6"/>
      <c r="F537" s="6"/>
      <c r="G537" s="5"/>
      <c r="H537" s="37"/>
      <c r="I537" s="107"/>
      <c r="J537" s="7"/>
      <c r="K537" s="74"/>
      <c r="L537" s="7"/>
      <c r="M537" s="74"/>
      <c r="N537" s="74"/>
      <c r="O537" s="7"/>
      <c r="P537" s="74"/>
      <c r="Q537" s="7"/>
      <c r="R537" s="74"/>
      <c r="S537" s="74"/>
      <c r="T537" s="7"/>
      <c r="U537" s="7"/>
      <c r="V537" s="74"/>
      <c r="W537" s="7"/>
      <c r="X537" s="74"/>
      <c r="Y537" s="227"/>
      <c r="Z537" s="228"/>
      <c r="AA537" s="74"/>
      <c r="AB537" s="74"/>
      <c r="AC537" s="74"/>
      <c r="AD537" s="74"/>
      <c r="AE537" s="7"/>
      <c r="AF537" s="74"/>
      <c r="AG537" s="74"/>
      <c r="AH537" s="7"/>
      <c r="AI537" s="7"/>
      <c r="AJ537" s="7"/>
      <c r="AK537" s="7"/>
      <c r="AL537" s="7"/>
      <c r="AM537" s="7"/>
      <c r="AN537" s="7"/>
      <c r="AO537" s="74"/>
      <c r="AP537" s="7"/>
      <c r="AQ537" s="74"/>
      <c r="AR537" s="101"/>
      <c r="AS537" s="7"/>
      <c r="AT537" s="101"/>
      <c r="AU537" s="7"/>
      <c r="AV537" s="101"/>
      <c r="AW537" s="7"/>
      <c r="AX537" s="183"/>
      <c r="AY537" s="107"/>
      <c r="AZ537" s="74"/>
      <c r="BA537" s="74"/>
      <c r="BB537" s="74"/>
      <c r="BC537" s="74"/>
      <c r="BD537" s="7"/>
      <c r="BE537" s="7"/>
      <c r="BF537" s="74"/>
      <c r="BG537" s="74"/>
      <c r="BH537" s="74"/>
      <c r="BI537" s="74"/>
      <c r="BJ537" s="74"/>
      <c r="BK537" s="7"/>
      <c r="BL537" s="74"/>
      <c r="BM537" s="7"/>
      <c r="BN537" s="74"/>
      <c r="BO537" s="74"/>
      <c r="BP537" s="74"/>
      <c r="BQ537" s="74"/>
      <c r="BR537" s="74"/>
      <c r="BS537" s="7"/>
      <c r="BT537" s="7"/>
      <c r="BU537" s="74"/>
      <c r="BV537" s="74"/>
      <c r="BW537" s="74"/>
      <c r="BX537" s="74"/>
      <c r="BY537" s="74"/>
      <c r="BZ537" s="74"/>
      <c r="CA537" s="74"/>
      <c r="CB537" s="74"/>
      <c r="CC537" s="74"/>
      <c r="CD537" s="74"/>
      <c r="CE537" s="7"/>
      <c r="CF537" s="74"/>
      <c r="CG537" s="74"/>
      <c r="CH537" s="7"/>
      <c r="CI537" s="74"/>
      <c r="CJ537" s="74"/>
      <c r="CK537" s="101"/>
      <c r="CL537" s="74"/>
      <c r="CM537" s="74"/>
      <c r="CN537" s="74"/>
      <c r="CO537" s="101"/>
      <c r="CP537" s="74"/>
      <c r="CQ537" s="74"/>
      <c r="CR537" s="74"/>
      <c r="CS537" s="74"/>
      <c r="CT537" s="74"/>
      <c r="CU537" s="74"/>
      <c r="CV537" s="74"/>
      <c r="CW537" s="74"/>
      <c r="CX537" s="74"/>
      <c r="CY537" s="74"/>
      <c r="CZ537" s="74"/>
      <c r="DA537" s="74"/>
      <c r="DB537" s="74"/>
      <c r="DC537" s="74"/>
      <c r="DD537" s="74"/>
      <c r="DE537" s="74"/>
      <c r="DF537" s="74"/>
      <c r="DG537" s="74"/>
      <c r="DH537" s="74"/>
      <c r="DI537" s="74"/>
      <c r="DJ537" s="7"/>
      <c r="DK537" s="74"/>
      <c r="DL537" s="7"/>
      <c r="DM537" s="74"/>
      <c r="DN537" s="74"/>
      <c r="DO537" s="74"/>
      <c r="DP537" s="74"/>
      <c r="DQ537" s="74"/>
      <c r="DR537" s="74"/>
      <c r="DS537" s="74"/>
      <c r="DT537" s="74"/>
      <c r="DU537" s="74"/>
      <c r="DV537" s="74"/>
      <c r="DW537" s="74"/>
      <c r="DX537" s="74"/>
      <c r="DY537" s="74"/>
      <c r="DZ537" s="8">
        <f t="shared" si="151"/>
        <v>0</v>
      </c>
      <c r="EA537" s="3">
        <f t="shared" si="152"/>
        <v>0</v>
      </c>
      <c r="EB537" s="2">
        <f t="shared" si="153"/>
        <v>0</v>
      </c>
      <c r="EC537" s="112">
        <f t="shared" si="161"/>
        <v>0</v>
      </c>
      <c r="ED537" s="29">
        <f t="shared" si="154"/>
        <v>0</v>
      </c>
      <c r="EE537" s="2">
        <f t="shared" si="155"/>
        <v>0</v>
      </c>
      <c r="EF537" s="46">
        <f t="shared" si="156"/>
        <v>0</v>
      </c>
      <c r="EG537" s="46">
        <f t="shared" si="157"/>
        <v>0</v>
      </c>
      <c r="EH537" s="29">
        <f t="shared" si="158"/>
        <v>0</v>
      </c>
      <c r="EI537" s="29">
        <f>IF(COUNT(I537:AD537)&lt;5,DZ537,SUMPRODUCT(LARGE(I537:AD537,{1,2,3,4,5}))/5)</f>
        <v>0</v>
      </c>
      <c r="EJ537" s="29">
        <f>IF(COUNT(I537:BE537)&lt;5,DZ537,SUMPRODUCT(LARGE(I537:BE537,{1,2,3,4,5}))/5)</f>
        <v>0</v>
      </c>
      <c r="EK537" s="29">
        <f t="shared" si="160"/>
        <v>0</v>
      </c>
      <c r="EL537" s="29">
        <f>(EK537*100)/101.28</f>
        <v>0</v>
      </c>
      <c r="EM537" s="116">
        <f t="shared" si="159"/>
        <v>0</v>
      </c>
      <c r="EQ537"/>
    </row>
    <row r="538" spans="1:147" x14ac:dyDescent="0.25">
      <c r="A538" s="59"/>
      <c r="B538" s="32"/>
      <c r="C538" s="5"/>
      <c r="D538" s="6"/>
      <c r="E538" s="6"/>
      <c r="F538" s="6"/>
      <c r="G538" s="5"/>
      <c r="H538" s="37"/>
      <c r="I538" s="107"/>
      <c r="J538" s="7"/>
      <c r="K538" s="74"/>
      <c r="L538" s="7"/>
      <c r="M538" s="74"/>
      <c r="N538" s="74"/>
      <c r="O538" s="7"/>
      <c r="P538" s="74"/>
      <c r="Q538" s="7"/>
      <c r="R538" s="74"/>
      <c r="S538" s="74"/>
      <c r="T538" s="74"/>
      <c r="U538" s="7"/>
      <c r="V538" s="74"/>
      <c r="W538" s="7"/>
      <c r="X538" s="74"/>
      <c r="Y538" s="227"/>
      <c r="Z538" s="228"/>
      <c r="AA538" s="100"/>
      <c r="AB538" s="74"/>
      <c r="AC538" s="74"/>
      <c r="AD538" s="74"/>
      <c r="AE538" s="7"/>
      <c r="AF538" s="74"/>
      <c r="AG538" s="74"/>
      <c r="AH538" s="7"/>
      <c r="AI538" s="7"/>
      <c r="AJ538" s="7"/>
      <c r="AK538" s="7"/>
      <c r="AL538" s="7"/>
      <c r="AM538" s="7"/>
      <c r="AN538" s="7"/>
      <c r="AO538" s="74"/>
      <c r="AP538" s="7"/>
      <c r="AQ538" s="74"/>
      <c r="AR538" s="101"/>
      <c r="AS538" s="7"/>
      <c r="AT538" s="101"/>
      <c r="AU538" s="7"/>
      <c r="AV538" s="101"/>
      <c r="AW538" s="7"/>
      <c r="AX538" s="8"/>
      <c r="AY538" s="36"/>
      <c r="AZ538" s="101"/>
      <c r="BA538" s="74"/>
      <c r="BB538" s="74"/>
      <c r="BC538" s="74"/>
      <c r="BD538" s="7"/>
      <c r="BE538" s="7"/>
      <c r="BF538" s="74"/>
      <c r="BG538" s="74"/>
      <c r="BH538" s="74"/>
      <c r="BI538" s="74"/>
      <c r="BJ538" s="101"/>
      <c r="BK538" s="7"/>
      <c r="BL538" s="101"/>
      <c r="BM538" s="7"/>
      <c r="BN538" s="74"/>
      <c r="BO538" s="74"/>
      <c r="BP538" s="74"/>
      <c r="BQ538" s="74"/>
      <c r="BR538" s="74"/>
      <c r="BS538" s="7"/>
      <c r="BT538" s="7"/>
      <c r="BU538" s="74"/>
      <c r="BV538" s="74"/>
      <c r="BW538" s="74"/>
      <c r="BX538" s="74"/>
      <c r="BY538" s="74"/>
      <c r="BZ538" s="74"/>
      <c r="CA538" s="74"/>
      <c r="CB538" s="74"/>
      <c r="CC538" s="74"/>
      <c r="CD538" s="74"/>
      <c r="CE538" s="74"/>
      <c r="CF538" s="74"/>
      <c r="CG538" s="74"/>
      <c r="CH538" s="74"/>
      <c r="CI538" s="74"/>
      <c r="CJ538" s="74"/>
      <c r="CK538" s="101"/>
      <c r="CL538" s="74"/>
      <c r="CM538" s="74"/>
      <c r="CN538" s="74"/>
      <c r="CO538" s="101"/>
      <c r="CP538" s="74"/>
      <c r="CQ538" s="74"/>
      <c r="CR538" s="74"/>
      <c r="CS538" s="74"/>
      <c r="CT538" s="74"/>
      <c r="CU538" s="74"/>
      <c r="CV538" s="74"/>
      <c r="CW538" s="74"/>
      <c r="CX538" s="74"/>
      <c r="CY538" s="74"/>
      <c r="CZ538" s="74"/>
      <c r="DA538" s="74"/>
      <c r="DB538" s="74"/>
      <c r="DC538" s="74"/>
      <c r="DD538" s="74"/>
      <c r="DE538" s="74"/>
      <c r="DF538" s="74"/>
      <c r="DG538" s="74"/>
      <c r="DH538" s="74"/>
      <c r="DI538" s="74"/>
      <c r="DJ538" s="74"/>
      <c r="DK538" s="74"/>
      <c r="DL538" s="74"/>
      <c r="DM538" s="74"/>
      <c r="DN538" s="74"/>
      <c r="DO538" s="74"/>
      <c r="DP538" s="74"/>
      <c r="DQ538" s="74"/>
      <c r="DR538" s="74"/>
      <c r="DS538" s="74"/>
      <c r="DT538" s="74"/>
      <c r="DU538" s="74"/>
      <c r="DV538" s="74"/>
      <c r="DW538" s="74"/>
      <c r="DX538" s="74"/>
      <c r="DY538" s="74"/>
      <c r="DZ538" s="8">
        <f t="shared" si="151"/>
        <v>0</v>
      </c>
      <c r="EA538" s="3">
        <f t="shared" si="152"/>
        <v>0</v>
      </c>
      <c r="EB538" s="2">
        <f t="shared" si="153"/>
        <v>0</v>
      </c>
      <c r="EC538" s="112">
        <f t="shared" si="161"/>
        <v>0</v>
      </c>
      <c r="ED538" s="29">
        <f t="shared" si="154"/>
        <v>0</v>
      </c>
      <c r="EE538" s="2">
        <f t="shared" si="155"/>
        <v>0</v>
      </c>
      <c r="EF538" s="46">
        <f t="shared" si="156"/>
        <v>0</v>
      </c>
      <c r="EG538" s="46">
        <f t="shared" si="157"/>
        <v>0</v>
      </c>
      <c r="EH538" s="29">
        <f t="shared" si="158"/>
        <v>0</v>
      </c>
      <c r="EI538" s="29">
        <f>IF(COUNT(I538:AD538)&lt;5,DZ538,SUMPRODUCT(LARGE(I538:AD538,{1,2,3,4,5}))/5)</f>
        <v>0</v>
      </c>
      <c r="EJ538" s="29">
        <f>IF(COUNT(I538:BE538)&lt;5,DZ538,SUMPRODUCT(LARGE(I538:BE538,{1,2,3,4,5}))/5)</f>
        <v>0</v>
      </c>
      <c r="EK538" s="29">
        <f t="shared" si="160"/>
        <v>0</v>
      </c>
      <c r="EL538" s="29">
        <f>(EK538*100)/101.28</f>
        <v>0</v>
      </c>
      <c r="EM538" s="116">
        <f t="shared" si="159"/>
        <v>0</v>
      </c>
      <c r="EQ538"/>
    </row>
    <row r="539" spans="1:147" x14ac:dyDescent="0.25">
      <c r="A539" s="59"/>
      <c r="B539" s="32"/>
      <c r="C539" s="5"/>
      <c r="D539" s="6"/>
      <c r="E539" s="6"/>
      <c r="F539" s="6"/>
      <c r="G539" s="5"/>
      <c r="H539" s="37"/>
      <c r="I539" s="36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227"/>
      <c r="Z539" s="228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4"/>
      <c r="AP539" s="7"/>
      <c r="AQ539" s="74"/>
      <c r="AR539" s="70"/>
      <c r="AS539" s="7"/>
      <c r="AT539" s="70"/>
      <c r="AU539" s="7"/>
      <c r="AV539" s="70"/>
      <c r="AW539" s="7"/>
      <c r="AX539" s="183"/>
      <c r="AY539" s="10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0"/>
      <c r="BK539" s="7"/>
      <c r="BL539" s="70"/>
      <c r="BM539" s="7"/>
      <c r="BN539" s="74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101"/>
      <c r="CL539" s="74"/>
      <c r="CM539" s="74"/>
      <c r="CN539" s="74"/>
      <c r="CO539" s="70"/>
      <c r="CP539" s="74"/>
      <c r="CQ539" s="7"/>
      <c r="CR539" s="74"/>
      <c r="CS539" s="74"/>
      <c r="CT539" s="74"/>
      <c r="CU539" s="74"/>
      <c r="CV539" s="7"/>
      <c r="CW539" s="7"/>
      <c r="CX539" s="7"/>
      <c r="CY539" s="7"/>
      <c r="CZ539" s="7"/>
      <c r="DA539" s="7"/>
      <c r="DB539" s="7"/>
      <c r="DC539" s="7"/>
      <c r="DD539" s="7"/>
      <c r="DE539" s="74"/>
      <c r="DF539" s="74"/>
      <c r="DG539" s="74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8">
        <f t="shared" si="151"/>
        <v>0</v>
      </c>
      <c r="EA539" s="3">
        <f t="shared" si="152"/>
        <v>0</v>
      </c>
      <c r="EB539" s="2">
        <f t="shared" si="153"/>
        <v>0</v>
      </c>
      <c r="EC539" s="112">
        <f t="shared" si="161"/>
        <v>0</v>
      </c>
      <c r="ED539" s="29">
        <f t="shared" si="154"/>
        <v>0</v>
      </c>
      <c r="EE539" s="2">
        <f t="shared" si="155"/>
        <v>0</v>
      </c>
      <c r="EF539" s="46">
        <f t="shared" si="156"/>
        <v>0</v>
      </c>
      <c r="EG539" s="46">
        <f t="shared" si="157"/>
        <v>0</v>
      </c>
      <c r="EH539" s="2">
        <f t="shared" si="158"/>
        <v>0</v>
      </c>
      <c r="EI539" s="29">
        <f>IF(COUNT(I539:AD539)&lt;5,DZ539,SUMPRODUCT(LARGE(I539:AD539,{1,2,3,4,5}))/5)</f>
        <v>0</v>
      </c>
      <c r="EJ539" s="29">
        <f>IF(COUNT(I539:BE539)&lt;5,DZ539,SUMPRODUCT(LARGE(I539:BE539,{1,2,3,4,5}))/5)</f>
        <v>0</v>
      </c>
      <c r="EK539" s="29">
        <f t="shared" si="160"/>
        <v>0</v>
      </c>
      <c r="EL539" s="29">
        <f>(EK539*100)/101.59</f>
        <v>0</v>
      </c>
      <c r="EM539" s="116">
        <f t="shared" si="159"/>
        <v>0</v>
      </c>
      <c r="EQ539"/>
    </row>
    <row r="540" spans="1:147" x14ac:dyDescent="0.25">
      <c r="A540" s="59"/>
      <c r="B540" s="32"/>
      <c r="C540" s="5"/>
      <c r="D540" s="6"/>
      <c r="E540" s="6"/>
      <c r="F540" s="6"/>
      <c r="G540" s="5"/>
      <c r="H540" s="37"/>
      <c r="I540" s="36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227"/>
      <c r="Z540" s="228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4"/>
      <c r="AP540" s="7"/>
      <c r="AQ540" s="74"/>
      <c r="AR540" s="70"/>
      <c r="AS540" s="7"/>
      <c r="AT540" s="70"/>
      <c r="AU540" s="7"/>
      <c r="AV540" s="70"/>
      <c r="AW540" s="7"/>
      <c r="AX540" s="183"/>
      <c r="AY540" s="107"/>
      <c r="AZ540" s="70"/>
      <c r="BA540" s="7"/>
      <c r="BB540" s="7"/>
      <c r="BC540" s="7"/>
      <c r="BD540" s="7"/>
      <c r="BE540" s="7"/>
      <c r="BF540" s="7"/>
      <c r="BG540" s="7"/>
      <c r="BH540" s="7"/>
      <c r="BI540" s="7"/>
      <c r="BJ540" s="70"/>
      <c r="BK540" s="7"/>
      <c r="BL540" s="70"/>
      <c r="BM540" s="7"/>
      <c r="BN540" s="74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101"/>
      <c r="CL540" s="74"/>
      <c r="CM540" s="74"/>
      <c r="CN540" s="74"/>
      <c r="CO540" s="70"/>
      <c r="CP540" s="74"/>
      <c r="CQ540" s="7"/>
      <c r="CR540" s="74"/>
      <c r="CS540" s="74"/>
      <c r="CT540" s="74"/>
      <c r="CU540" s="74"/>
      <c r="CV540" s="7"/>
      <c r="CW540" s="7"/>
      <c r="CX540" s="7"/>
      <c r="CY540" s="7"/>
      <c r="CZ540" s="7"/>
      <c r="DA540" s="7"/>
      <c r="DB540" s="7"/>
      <c r="DC540" s="7"/>
      <c r="DD540" s="7"/>
      <c r="DE540" s="74"/>
      <c r="DF540" s="74"/>
      <c r="DG540" s="74"/>
      <c r="DH540" s="7"/>
      <c r="DI540" s="74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8">
        <f t="shared" si="151"/>
        <v>0</v>
      </c>
      <c r="EA540" s="3">
        <f t="shared" si="152"/>
        <v>0</v>
      </c>
      <c r="EB540" s="2">
        <f t="shared" si="153"/>
        <v>0</v>
      </c>
      <c r="EC540" s="112">
        <f t="shared" si="161"/>
        <v>0</v>
      </c>
      <c r="ED540" s="29">
        <f t="shared" si="154"/>
        <v>0</v>
      </c>
      <c r="EE540" s="2">
        <f t="shared" si="155"/>
        <v>0</v>
      </c>
      <c r="EF540" s="46">
        <f t="shared" si="156"/>
        <v>0</v>
      </c>
      <c r="EG540" s="46">
        <f t="shared" si="157"/>
        <v>0</v>
      </c>
      <c r="EH540" s="2">
        <f t="shared" si="158"/>
        <v>0</v>
      </c>
      <c r="EI540" s="29">
        <f>IF(COUNT(I540:AD540)&lt;5,DZ540,SUMPRODUCT(LARGE(I540:AD540,{1,2,3,4,5}))/5)</f>
        <v>0</v>
      </c>
      <c r="EJ540" s="29">
        <f>IF(COUNT(I540:BE540)&lt;5,DZ540,SUMPRODUCT(LARGE(I540:BE540,{1,2,3,4,5}))/5)</f>
        <v>0</v>
      </c>
      <c r="EK540" s="29">
        <f t="shared" si="160"/>
        <v>0</v>
      </c>
      <c r="EL540" s="29">
        <f>(EK540*100)/101.28</f>
        <v>0</v>
      </c>
      <c r="EM540" s="116">
        <f t="shared" si="159"/>
        <v>0</v>
      </c>
      <c r="EQ540"/>
    </row>
    <row r="541" spans="1:147" x14ac:dyDescent="0.25">
      <c r="A541" s="59"/>
      <c r="B541" s="32"/>
      <c r="C541" s="5"/>
      <c r="D541" s="6"/>
      <c r="E541" s="6"/>
      <c r="F541" s="6"/>
      <c r="G541" s="5"/>
      <c r="H541" s="37"/>
      <c r="I541" s="107"/>
      <c r="J541" s="7"/>
      <c r="K541" s="74"/>
      <c r="L541" s="7"/>
      <c r="M541" s="74"/>
      <c r="N541" s="74"/>
      <c r="O541" s="7"/>
      <c r="P541" s="74"/>
      <c r="Q541" s="7"/>
      <c r="R541" s="74"/>
      <c r="S541" s="74"/>
      <c r="T541" s="7"/>
      <c r="U541" s="7"/>
      <c r="V541" s="74"/>
      <c r="W541" s="7"/>
      <c r="X541" s="74"/>
      <c r="Y541" s="227"/>
      <c r="Z541" s="228"/>
      <c r="AA541" s="74"/>
      <c r="AB541" s="74"/>
      <c r="AC541" s="74"/>
      <c r="AD541" s="74"/>
      <c r="AE541" s="7"/>
      <c r="AF541" s="74"/>
      <c r="AG541" s="74"/>
      <c r="AH541" s="7"/>
      <c r="AI541" s="7"/>
      <c r="AJ541" s="7"/>
      <c r="AK541" s="7"/>
      <c r="AL541" s="7"/>
      <c r="AM541" s="7"/>
      <c r="AN541" s="7"/>
      <c r="AO541" s="74"/>
      <c r="AP541" s="7"/>
      <c r="AQ541" s="74"/>
      <c r="AR541" s="101"/>
      <c r="AS541" s="7"/>
      <c r="AT541" s="101"/>
      <c r="AU541" s="7"/>
      <c r="AV541" s="101"/>
      <c r="AW541" s="7"/>
      <c r="AX541" s="183"/>
      <c r="AY541" s="107"/>
      <c r="AZ541" s="74"/>
      <c r="BA541" s="74"/>
      <c r="BB541" s="74"/>
      <c r="BC541" s="74"/>
      <c r="BD541" s="7"/>
      <c r="BE541" s="7"/>
      <c r="BF541" s="74"/>
      <c r="BG541" s="74"/>
      <c r="BH541" s="74"/>
      <c r="BI541" s="74"/>
      <c r="BJ541" s="101"/>
      <c r="BK541" s="7"/>
      <c r="BL541" s="101"/>
      <c r="BM541" s="7"/>
      <c r="BN541" s="74"/>
      <c r="BO541" s="74"/>
      <c r="BP541" s="74"/>
      <c r="BQ541" s="74"/>
      <c r="BR541" s="74"/>
      <c r="BS541" s="7"/>
      <c r="BT541" s="7"/>
      <c r="BU541" s="74"/>
      <c r="BV541" s="74"/>
      <c r="BW541" s="74"/>
      <c r="BX541" s="74"/>
      <c r="BY541" s="74"/>
      <c r="BZ541" s="74"/>
      <c r="CA541" s="74"/>
      <c r="CB541" s="74"/>
      <c r="CC541" s="74"/>
      <c r="CD541" s="74"/>
      <c r="CE541" s="74"/>
      <c r="CF541" s="74"/>
      <c r="CG541" s="74"/>
      <c r="CH541" s="74"/>
      <c r="CI541" s="74"/>
      <c r="CJ541" s="74"/>
      <c r="CK541" s="101"/>
      <c r="CL541" s="74"/>
      <c r="CM541" s="74"/>
      <c r="CN541" s="74"/>
      <c r="CO541" s="101"/>
      <c r="CP541" s="74"/>
      <c r="CQ541" s="74"/>
      <c r="CR541" s="74"/>
      <c r="CS541" s="74"/>
      <c r="CT541" s="74"/>
      <c r="CU541" s="74"/>
      <c r="CV541" s="74"/>
      <c r="CW541" s="74"/>
      <c r="CX541" s="74"/>
      <c r="CY541" s="74"/>
      <c r="CZ541" s="74"/>
      <c r="DA541" s="74"/>
      <c r="DB541" s="74"/>
      <c r="DC541" s="74"/>
      <c r="DD541" s="74"/>
      <c r="DE541" s="74"/>
      <c r="DF541" s="74"/>
      <c r="DG541" s="74"/>
      <c r="DH541" s="74"/>
      <c r="DI541" s="74"/>
      <c r="DJ541" s="74"/>
      <c r="DK541" s="74"/>
      <c r="DL541" s="74"/>
      <c r="DM541" s="74"/>
      <c r="DN541" s="74"/>
      <c r="DO541" s="74"/>
      <c r="DP541" s="74"/>
      <c r="DQ541" s="74"/>
      <c r="DR541" s="74"/>
      <c r="DS541" s="74"/>
      <c r="DT541" s="74"/>
      <c r="DU541" s="74"/>
      <c r="DV541" s="74"/>
      <c r="DW541" s="74"/>
      <c r="DX541" s="74"/>
      <c r="DY541" s="74"/>
      <c r="DZ541" s="8">
        <f t="shared" si="151"/>
        <v>0</v>
      </c>
      <c r="EA541" s="3">
        <f t="shared" si="152"/>
        <v>0</v>
      </c>
      <c r="EB541" s="2">
        <f t="shared" si="153"/>
        <v>0</v>
      </c>
      <c r="EC541" s="112">
        <f t="shared" si="161"/>
        <v>0</v>
      </c>
      <c r="ED541" s="29">
        <f t="shared" si="154"/>
        <v>0</v>
      </c>
      <c r="EE541" s="2">
        <f t="shared" si="155"/>
        <v>0</v>
      </c>
      <c r="EF541" s="46">
        <f t="shared" si="156"/>
        <v>0</v>
      </c>
      <c r="EG541" s="46">
        <f t="shared" si="157"/>
        <v>0</v>
      </c>
      <c r="EH541" s="2">
        <f t="shared" si="158"/>
        <v>0</v>
      </c>
      <c r="EI541" s="29">
        <f>IF(COUNT(I541:AD541)&lt;5,DZ541,SUMPRODUCT(LARGE(I541:AD541,{1,2,3,4,5}))/5)</f>
        <v>0</v>
      </c>
      <c r="EJ541" s="29">
        <f>IF(COUNT(I541:BE541)&lt;5,DZ541,SUMPRODUCT(LARGE(I541:BE541,{1,2,3,4,5}))/5)</f>
        <v>0</v>
      </c>
      <c r="EK541" s="29">
        <f t="shared" si="160"/>
        <v>0</v>
      </c>
      <c r="EL541" s="29">
        <f>(EK541*100)/101.28</f>
        <v>0</v>
      </c>
      <c r="EM541" s="116">
        <f t="shared" si="159"/>
        <v>0</v>
      </c>
      <c r="EQ541"/>
    </row>
    <row r="542" spans="1:147" x14ac:dyDescent="0.25">
      <c r="A542" s="59"/>
      <c r="B542" s="32"/>
      <c r="C542" s="5"/>
      <c r="D542" s="6"/>
      <c r="E542" s="6"/>
      <c r="F542" s="6"/>
      <c r="G542" s="5"/>
      <c r="H542" s="37"/>
      <c r="I542" s="107"/>
      <c r="J542" s="7"/>
      <c r="K542" s="74"/>
      <c r="L542" s="7"/>
      <c r="M542" s="74"/>
      <c r="N542" s="74"/>
      <c r="O542" s="7"/>
      <c r="P542" s="74"/>
      <c r="Q542" s="7"/>
      <c r="R542" s="74"/>
      <c r="S542" s="74"/>
      <c r="T542" s="7"/>
      <c r="U542" s="7"/>
      <c r="V542" s="74"/>
      <c r="W542" s="7"/>
      <c r="X542" s="74"/>
      <c r="Y542" s="227"/>
      <c r="Z542" s="228"/>
      <c r="AA542" s="74"/>
      <c r="AB542" s="74"/>
      <c r="AC542" s="74"/>
      <c r="AD542" s="74"/>
      <c r="AE542" s="7"/>
      <c r="AF542" s="74"/>
      <c r="AG542" s="74"/>
      <c r="AH542" s="7"/>
      <c r="AI542" s="7"/>
      <c r="AJ542" s="7"/>
      <c r="AK542" s="7"/>
      <c r="AL542" s="7"/>
      <c r="AM542" s="7"/>
      <c r="AN542" s="7"/>
      <c r="AO542" s="74"/>
      <c r="AP542" s="7"/>
      <c r="AQ542" s="74"/>
      <c r="AR542" s="101"/>
      <c r="AS542" s="7"/>
      <c r="AT542" s="101"/>
      <c r="AU542" s="7"/>
      <c r="AV542" s="101"/>
      <c r="AW542" s="7"/>
      <c r="AX542" s="8"/>
      <c r="AY542" s="36"/>
      <c r="AZ542" s="74"/>
      <c r="BA542" s="74"/>
      <c r="BB542" s="74"/>
      <c r="BC542" s="74"/>
      <c r="BD542" s="7"/>
      <c r="BE542" s="7"/>
      <c r="BF542" s="74"/>
      <c r="BG542" s="74"/>
      <c r="BH542" s="74"/>
      <c r="BI542" s="74"/>
      <c r="BJ542" s="101"/>
      <c r="BK542" s="7"/>
      <c r="BL542" s="101"/>
      <c r="BM542" s="7"/>
      <c r="BN542" s="74"/>
      <c r="BO542" s="74"/>
      <c r="BP542" s="74"/>
      <c r="BQ542" s="74"/>
      <c r="BR542" s="74"/>
      <c r="BS542" s="7"/>
      <c r="BT542" s="7"/>
      <c r="BU542" s="74"/>
      <c r="BV542" s="74"/>
      <c r="BW542" s="74"/>
      <c r="BX542" s="74"/>
      <c r="BY542" s="74"/>
      <c r="BZ542" s="74"/>
      <c r="CA542" s="74"/>
      <c r="CB542" s="74"/>
      <c r="CC542" s="74"/>
      <c r="CD542" s="74"/>
      <c r="CE542" s="7"/>
      <c r="CF542" s="74"/>
      <c r="CG542" s="74"/>
      <c r="CH542" s="7"/>
      <c r="CI542" s="74"/>
      <c r="CJ542" s="74"/>
      <c r="CK542" s="101"/>
      <c r="CL542" s="74"/>
      <c r="CM542" s="74"/>
      <c r="CN542" s="74"/>
      <c r="CO542" s="101"/>
      <c r="CP542" s="74"/>
      <c r="CQ542" s="74"/>
      <c r="CR542" s="74"/>
      <c r="CS542" s="74"/>
      <c r="CT542" s="74"/>
      <c r="CU542" s="74"/>
      <c r="CV542" s="74"/>
      <c r="CW542" s="74"/>
      <c r="CX542" s="74"/>
      <c r="CY542" s="74"/>
      <c r="CZ542" s="74"/>
      <c r="DA542" s="74"/>
      <c r="DB542" s="74"/>
      <c r="DC542" s="74"/>
      <c r="DD542" s="74"/>
      <c r="DE542" s="74"/>
      <c r="DF542" s="74"/>
      <c r="DG542" s="74"/>
      <c r="DH542" s="74"/>
      <c r="DI542" s="74"/>
      <c r="DJ542" s="74"/>
      <c r="DK542" s="74"/>
      <c r="DL542" s="74"/>
      <c r="DM542" s="74"/>
      <c r="DN542" s="74"/>
      <c r="DO542" s="74"/>
      <c r="DP542" s="74"/>
      <c r="DQ542" s="74"/>
      <c r="DR542" s="74"/>
      <c r="DS542" s="74"/>
      <c r="DT542" s="74"/>
      <c r="DU542" s="74"/>
      <c r="DV542" s="74"/>
      <c r="DW542" s="74"/>
      <c r="DX542" s="74"/>
      <c r="DY542" s="74"/>
      <c r="DZ542" s="8">
        <f t="shared" si="151"/>
        <v>0</v>
      </c>
      <c r="EA542" s="3">
        <f t="shared" si="152"/>
        <v>0</v>
      </c>
      <c r="EB542" s="2">
        <f t="shared" si="153"/>
        <v>0</v>
      </c>
      <c r="EC542" s="112">
        <f t="shared" si="161"/>
        <v>0</v>
      </c>
      <c r="ED542" s="29">
        <f t="shared" si="154"/>
        <v>0</v>
      </c>
      <c r="EE542" s="2">
        <f t="shared" si="155"/>
        <v>0</v>
      </c>
      <c r="EF542" s="46">
        <f t="shared" si="156"/>
        <v>0</v>
      </c>
      <c r="EG542" s="46">
        <f t="shared" si="157"/>
        <v>0</v>
      </c>
      <c r="EH542" s="29">
        <f t="shared" si="158"/>
        <v>0</v>
      </c>
      <c r="EI542" s="29">
        <f>IF(COUNT(I542:AD542)&lt;5,DZ542,SUMPRODUCT(LARGE(I542:AD542,{1,2,3,4,5}))/5)</f>
        <v>0</v>
      </c>
      <c r="EJ542" s="29">
        <f>IF(COUNT(I542:BE542)&lt;5,DZ542,SUMPRODUCT(LARGE(I542:BE542,{1,2,3,4,5}))/5)</f>
        <v>0</v>
      </c>
      <c r="EK542" s="29">
        <f t="shared" si="160"/>
        <v>0</v>
      </c>
      <c r="EL542" s="29">
        <f>(EK542*100)/101.28</f>
        <v>0</v>
      </c>
      <c r="EM542" s="116">
        <f t="shared" si="159"/>
        <v>0</v>
      </c>
      <c r="EQ542"/>
    </row>
    <row r="543" spans="1:147" x14ac:dyDescent="0.25">
      <c r="A543" s="59"/>
      <c r="B543" s="32"/>
      <c r="C543" s="5"/>
      <c r="D543" s="6"/>
      <c r="E543" s="6"/>
      <c r="F543" s="6"/>
      <c r="G543" s="5"/>
      <c r="H543" s="99"/>
      <c r="I543" s="36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227"/>
      <c r="Z543" s="228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4"/>
      <c r="AP543" s="7"/>
      <c r="AQ543" s="74"/>
      <c r="AR543" s="70"/>
      <c r="AS543" s="7"/>
      <c r="AT543" s="70"/>
      <c r="AU543" s="7"/>
      <c r="AV543" s="70"/>
      <c r="AW543" s="7"/>
      <c r="AX543" s="8"/>
      <c r="AY543" s="36"/>
      <c r="AZ543" s="70"/>
      <c r="BA543" s="7"/>
      <c r="BB543" s="7"/>
      <c r="BC543" s="7"/>
      <c r="BD543" s="7"/>
      <c r="BE543" s="7"/>
      <c r="BF543" s="7"/>
      <c r="BG543" s="7"/>
      <c r="BH543" s="7"/>
      <c r="BI543" s="7"/>
      <c r="BJ543" s="70"/>
      <c r="BK543" s="7"/>
      <c r="BL543" s="70"/>
      <c r="BM543" s="7"/>
      <c r="BN543" s="74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101"/>
      <c r="CL543" s="74"/>
      <c r="CM543" s="74"/>
      <c r="CN543" s="74"/>
      <c r="CO543" s="70"/>
      <c r="CP543" s="74"/>
      <c r="CQ543" s="7"/>
      <c r="CR543" s="74"/>
      <c r="CS543" s="74"/>
      <c r="CT543" s="74"/>
      <c r="CU543" s="74"/>
      <c r="CV543" s="7"/>
      <c r="CW543" s="7"/>
      <c r="CX543" s="7"/>
      <c r="CY543" s="7"/>
      <c r="CZ543" s="7"/>
      <c r="DA543" s="7"/>
      <c r="DB543" s="7"/>
      <c r="DC543" s="7"/>
      <c r="DD543" s="7"/>
      <c r="DE543" s="74"/>
      <c r="DF543" s="74"/>
      <c r="DG543" s="74"/>
      <c r="DH543" s="7"/>
      <c r="DI543" s="74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8">
        <f t="shared" si="151"/>
        <v>0</v>
      </c>
      <c r="EA543" s="3">
        <f t="shared" si="152"/>
        <v>0</v>
      </c>
      <c r="EB543" s="2">
        <f t="shared" si="153"/>
        <v>0</v>
      </c>
      <c r="EC543" s="112">
        <f t="shared" si="161"/>
        <v>0</v>
      </c>
      <c r="ED543" s="29">
        <f t="shared" si="154"/>
        <v>0</v>
      </c>
      <c r="EE543" s="2">
        <f t="shared" si="155"/>
        <v>0</v>
      </c>
      <c r="EF543" s="46">
        <f t="shared" si="156"/>
        <v>0</v>
      </c>
      <c r="EG543" s="46">
        <f t="shared" si="157"/>
        <v>0</v>
      </c>
      <c r="EH543" s="2">
        <f t="shared" si="158"/>
        <v>0</v>
      </c>
      <c r="EI543" s="29">
        <f>IF(COUNT(I543:AD543)&lt;5,DZ543,SUMPRODUCT(LARGE(I543:AD543,{1,2,3,4,5}))/5)</f>
        <v>0</v>
      </c>
      <c r="EJ543" s="29">
        <f>IF(COUNT(I543:BE543)&lt;5,DZ543,SUMPRODUCT(LARGE(I543:BE543,{1,2,3,4,5}))/5)</f>
        <v>0</v>
      </c>
      <c r="EK543" s="29">
        <f t="shared" si="160"/>
        <v>0</v>
      </c>
      <c r="EL543" s="29">
        <f>(EK543*100)/101.59</f>
        <v>0</v>
      </c>
      <c r="EM543" s="116">
        <f t="shared" si="159"/>
        <v>0</v>
      </c>
      <c r="EQ543"/>
    </row>
    <row r="544" spans="1:147" x14ac:dyDescent="0.25">
      <c r="A544" s="59"/>
      <c r="B544" s="4"/>
      <c r="C544" s="5"/>
      <c r="D544" s="5"/>
      <c r="E544" s="6"/>
      <c r="F544" s="6"/>
      <c r="G544" s="5"/>
      <c r="H544" s="99"/>
      <c r="I544" s="107"/>
      <c r="J544" s="7"/>
      <c r="K544" s="74"/>
      <c r="L544" s="7"/>
      <c r="M544" s="74"/>
      <c r="N544" s="74"/>
      <c r="O544" s="7"/>
      <c r="P544" s="74"/>
      <c r="Q544" s="7"/>
      <c r="R544" s="74"/>
      <c r="S544" s="74"/>
      <c r="T544" s="7"/>
      <c r="U544" s="7"/>
      <c r="V544" s="74"/>
      <c r="W544" s="7"/>
      <c r="X544" s="74"/>
      <c r="Y544" s="227"/>
      <c r="Z544" s="228"/>
      <c r="AA544" s="74"/>
      <c r="AB544" s="74"/>
      <c r="AC544" s="74"/>
      <c r="AD544" s="74"/>
      <c r="AE544" s="7"/>
      <c r="AF544" s="74"/>
      <c r="AG544" s="74"/>
      <c r="AH544" s="7"/>
      <c r="AI544" s="7"/>
      <c r="AJ544" s="7"/>
      <c r="AK544" s="7"/>
      <c r="AL544" s="7"/>
      <c r="AM544" s="7"/>
      <c r="AN544" s="7"/>
      <c r="AO544" s="74"/>
      <c r="AP544" s="7"/>
      <c r="AQ544" s="74"/>
      <c r="AR544" s="101"/>
      <c r="AS544" s="7"/>
      <c r="AT544" s="101"/>
      <c r="AU544" s="7"/>
      <c r="AV544" s="101"/>
      <c r="AW544" s="7"/>
      <c r="AX544" s="183"/>
      <c r="AY544" s="107"/>
      <c r="AZ544" s="74"/>
      <c r="BA544" s="74"/>
      <c r="BB544" s="74"/>
      <c r="BC544" s="74"/>
      <c r="BD544" s="7"/>
      <c r="BE544" s="7"/>
      <c r="BF544" s="74"/>
      <c r="BG544" s="74"/>
      <c r="BH544" s="74"/>
      <c r="BI544" s="74"/>
      <c r="BJ544" s="101"/>
      <c r="BK544" s="7"/>
      <c r="BL544" s="101"/>
      <c r="BM544" s="7"/>
      <c r="BN544" s="74"/>
      <c r="BO544" s="74"/>
      <c r="BP544" s="74"/>
      <c r="BQ544" s="74"/>
      <c r="BR544" s="74"/>
      <c r="BS544" s="7"/>
      <c r="BT544" s="7"/>
      <c r="BU544" s="74"/>
      <c r="BV544" s="74"/>
      <c r="BW544" s="74"/>
      <c r="BX544" s="74"/>
      <c r="BY544" s="74"/>
      <c r="BZ544" s="74"/>
      <c r="CA544" s="74"/>
      <c r="CB544" s="74"/>
      <c r="CC544" s="74"/>
      <c r="CD544" s="74"/>
      <c r="CE544" s="74"/>
      <c r="CF544" s="74"/>
      <c r="CG544" s="74"/>
      <c r="CH544" s="74"/>
      <c r="CI544" s="74"/>
      <c r="CJ544" s="74"/>
      <c r="CK544" s="101"/>
      <c r="CL544" s="74"/>
      <c r="CM544" s="74"/>
      <c r="CN544" s="74"/>
      <c r="CO544" s="101"/>
      <c r="CP544" s="74"/>
      <c r="CQ544" s="74"/>
      <c r="CR544" s="74"/>
      <c r="CS544" s="74"/>
      <c r="CT544" s="74"/>
      <c r="CU544" s="74"/>
      <c r="CV544" s="74"/>
      <c r="CW544" s="74"/>
      <c r="CX544" s="74"/>
      <c r="CY544" s="74"/>
      <c r="CZ544" s="74"/>
      <c r="DA544" s="74"/>
      <c r="DB544" s="74"/>
      <c r="DC544" s="74"/>
      <c r="DD544" s="74"/>
      <c r="DE544" s="74"/>
      <c r="DF544" s="74"/>
      <c r="DG544" s="74"/>
      <c r="DH544" s="74"/>
      <c r="DI544" s="74"/>
      <c r="DJ544" s="74"/>
      <c r="DK544" s="74"/>
      <c r="DL544" s="74"/>
      <c r="DM544" s="74"/>
      <c r="DN544" s="74"/>
      <c r="DO544" s="74"/>
      <c r="DP544" s="74"/>
      <c r="DQ544" s="74"/>
      <c r="DR544" s="74"/>
      <c r="DS544" s="74"/>
      <c r="DT544" s="74"/>
      <c r="DU544" s="74"/>
      <c r="DV544" s="74"/>
      <c r="DW544" s="74"/>
      <c r="DX544" s="74"/>
      <c r="DY544" s="74"/>
      <c r="DZ544" s="8">
        <f t="shared" si="151"/>
        <v>0</v>
      </c>
      <c r="EA544" s="3">
        <f t="shared" si="152"/>
        <v>0</v>
      </c>
      <c r="EB544" s="2">
        <f t="shared" si="153"/>
        <v>0</v>
      </c>
      <c r="EC544" s="112">
        <f t="shared" si="161"/>
        <v>0</v>
      </c>
      <c r="ED544" s="29">
        <f t="shared" si="154"/>
        <v>0</v>
      </c>
      <c r="EE544" s="2">
        <f t="shared" si="155"/>
        <v>0</v>
      </c>
      <c r="EF544" s="46">
        <f t="shared" si="156"/>
        <v>0</v>
      </c>
      <c r="EG544" s="46">
        <f t="shared" si="157"/>
        <v>0</v>
      </c>
      <c r="EH544" s="2">
        <f t="shared" si="158"/>
        <v>0</v>
      </c>
      <c r="EI544" s="29">
        <f>IF(COUNT(I544:AD544)&lt;5,DZ544,SUMPRODUCT(LARGE(I544:AD544,{1,2,3,4,5}))/5)</f>
        <v>0</v>
      </c>
      <c r="EJ544" s="29">
        <f>IF(COUNT(I544:BE544)&lt;5,DZ544,SUMPRODUCT(LARGE(I544:BE544,{1,2,3,4,5}))/5)</f>
        <v>0</v>
      </c>
      <c r="EK544" s="29">
        <f t="shared" si="160"/>
        <v>0</v>
      </c>
      <c r="EL544" s="29">
        <f t="shared" ref="EL544:EL550" si="162">(EK544*100)/101.28</f>
        <v>0</v>
      </c>
      <c r="EM544" s="116">
        <f t="shared" si="159"/>
        <v>0</v>
      </c>
      <c r="EQ544"/>
    </row>
    <row r="545" spans="1:147" x14ac:dyDescent="0.25">
      <c r="A545" s="59"/>
      <c r="B545" s="32"/>
      <c r="C545" s="5"/>
      <c r="D545" s="6"/>
      <c r="E545" s="6"/>
      <c r="F545" s="6"/>
      <c r="G545" s="5"/>
      <c r="H545" s="99"/>
      <c r="I545" s="36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227"/>
      <c r="Z545" s="228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4"/>
      <c r="AP545" s="7"/>
      <c r="AQ545" s="74"/>
      <c r="AR545" s="70"/>
      <c r="AS545" s="7"/>
      <c r="AT545" s="70"/>
      <c r="AU545" s="7"/>
      <c r="AV545" s="70"/>
      <c r="AW545" s="7"/>
      <c r="AX545" s="183"/>
      <c r="AY545" s="10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0"/>
      <c r="BK545" s="7"/>
      <c r="BL545" s="70"/>
      <c r="BM545" s="7"/>
      <c r="BN545" s="74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101"/>
      <c r="CL545" s="74"/>
      <c r="CM545" s="74"/>
      <c r="CN545" s="74"/>
      <c r="CO545" s="70"/>
      <c r="CP545" s="74"/>
      <c r="CQ545" s="7"/>
      <c r="CR545" s="74"/>
      <c r="CS545" s="74"/>
      <c r="CT545" s="74"/>
      <c r="CU545" s="74"/>
      <c r="CV545" s="7"/>
      <c r="CW545" s="7"/>
      <c r="CX545" s="7"/>
      <c r="CY545" s="7"/>
      <c r="CZ545" s="7"/>
      <c r="DA545" s="7"/>
      <c r="DB545" s="7"/>
      <c r="DC545" s="7"/>
      <c r="DD545" s="7"/>
      <c r="DE545" s="74"/>
      <c r="DF545" s="74"/>
      <c r="DG545" s="74"/>
      <c r="DH545" s="7"/>
      <c r="DI545" s="74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8">
        <f t="shared" si="151"/>
        <v>0</v>
      </c>
      <c r="EA545" s="3">
        <f t="shared" si="152"/>
        <v>0</v>
      </c>
      <c r="EB545" s="2">
        <f t="shared" si="153"/>
        <v>0</v>
      </c>
      <c r="EC545" s="112">
        <f t="shared" si="161"/>
        <v>0</v>
      </c>
      <c r="ED545" s="29">
        <f t="shared" si="154"/>
        <v>0</v>
      </c>
      <c r="EE545" s="2">
        <f t="shared" si="155"/>
        <v>0</v>
      </c>
      <c r="EF545" s="46">
        <f t="shared" si="156"/>
        <v>0</v>
      </c>
      <c r="EG545" s="46">
        <f t="shared" si="157"/>
        <v>0</v>
      </c>
      <c r="EH545" s="2">
        <f t="shared" si="158"/>
        <v>0</v>
      </c>
      <c r="EI545" s="29">
        <f>IF(COUNT(I545:AD545)&lt;5,DZ545,SUMPRODUCT(LARGE(I545:AD545,{1,2,3,4,5}))/5)</f>
        <v>0</v>
      </c>
      <c r="EJ545" s="29">
        <f>IF(COUNT(I545:BE545)&lt;5,DZ545,SUMPRODUCT(LARGE(I545:BE545,{1,2,3,4,5}))/5)</f>
        <v>0</v>
      </c>
      <c r="EK545" s="29">
        <f t="shared" si="160"/>
        <v>0</v>
      </c>
      <c r="EL545" s="29">
        <f t="shared" si="162"/>
        <v>0</v>
      </c>
      <c r="EM545" s="116">
        <f t="shared" si="159"/>
        <v>0</v>
      </c>
      <c r="EQ545"/>
    </row>
    <row r="546" spans="1:147" x14ac:dyDescent="0.25">
      <c r="A546" s="59"/>
      <c r="B546" s="4"/>
      <c r="C546" s="5"/>
      <c r="D546" s="5"/>
      <c r="E546" s="6"/>
      <c r="F546" s="6"/>
      <c r="G546" s="5"/>
      <c r="H546" s="99"/>
      <c r="I546" s="107"/>
      <c r="J546" s="7"/>
      <c r="K546" s="74"/>
      <c r="L546" s="7"/>
      <c r="M546" s="74"/>
      <c r="N546" s="74"/>
      <c r="O546" s="7"/>
      <c r="P546" s="74"/>
      <c r="Q546" s="7"/>
      <c r="R546" s="74"/>
      <c r="S546" s="74"/>
      <c r="T546" s="7"/>
      <c r="U546" s="7"/>
      <c r="V546" s="74"/>
      <c r="W546" s="7"/>
      <c r="X546" s="74"/>
      <c r="Y546" s="227"/>
      <c r="Z546" s="228"/>
      <c r="AA546" s="74"/>
      <c r="AB546" s="74"/>
      <c r="AC546" s="74"/>
      <c r="AD546" s="74"/>
      <c r="AE546" s="7"/>
      <c r="AF546" s="74"/>
      <c r="AG546" s="74"/>
      <c r="AH546" s="7"/>
      <c r="AI546" s="7"/>
      <c r="AJ546" s="7"/>
      <c r="AK546" s="7"/>
      <c r="AL546" s="7"/>
      <c r="AM546" s="7"/>
      <c r="AN546" s="7"/>
      <c r="AO546" s="74"/>
      <c r="AP546" s="7"/>
      <c r="AQ546" s="74"/>
      <c r="AR546" s="101"/>
      <c r="AS546" s="7"/>
      <c r="AT546" s="101"/>
      <c r="AU546" s="7"/>
      <c r="AV546" s="101"/>
      <c r="AW546" s="7"/>
      <c r="AX546" s="8"/>
      <c r="AY546" s="36"/>
      <c r="AZ546" s="100"/>
      <c r="BA546" s="74"/>
      <c r="BB546" s="74"/>
      <c r="BC546" s="74"/>
      <c r="BD546" s="74"/>
      <c r="BE546" s="74"/>
      <c r="BF546" s="74"/>
      <c r="BG546" s="74"/>
      <c r="BH546" s="74"/>
      <c r="BI546" s="74"/>
      <c r="BJ546" s="101"/>
      <c r="BK546" s="7"/>
      <c r="BL546" s="101"/>
      <c r="BM546" s="7"/>
      <c r="BN546" s="74"/>
      <c r="BO546" s="74"/>
      <c r="BP546" s="74"/>
      <c r="BQ546" s="74"/>
      <c r="BR546" s="74"/>
      <c r="BS546" s="7"/>
      <c r="BT546" s="7"/>
      <c r="BU546" s="74"/>
      <c r="BV546" s="74"/>
      <c r="BW546" s="74"/>
      <c r="BX546" s="74"/>
      <c r="BY546" s="74"/>
      <c r="BZ546" s="74"/>
      <c r="CA546" s="74"/>
      <c r="CB546" s="74"/>
      <c r="CC546" s="74"/>
      <c r="CD546" s="74"/>
      <c r="CE546" s="74"/>
      <c r="CF546" s="74"/>
      <c r="CG546" s="74"/>
      <c r="CH546" s="74"/>
      <c r="CI546" s="74"/>
      <c r="CJ546" s="74"/>
      <c r="CK546" s="101"/>
      <c r="CL546" s="74"/>
      <c r="CM546" s="74"/>
      <c r="CN546" s="74"/>
      <c r="CO546" s="101"/>
      <c r="CP546" s="74"/>
      <c r="CQ546" s="74"/>
      <c r="CR546" s="74"/>
      <c r="CS546" s="74"/>
      <c r="CT546" s="74"/>
      <c r="CU546" s="74"/>
      <c r="CV546" s="74"/>
      <c r="CW546" s="74"/>
      <c r="CX546" s="74"/>
      <c r="CY546" s="74"/>
      <c r="CZ546" s="74"/>
      <c r="DA546" s="74"/>
      <c r="DB546" s="74"/>
      <c r="DC546" s="74"/>
      <c r="DD546" s="74"/>
      <c r="DE546" s="74"/>
      <c r="DF546" s="74"/>
      <c r="DG546" s="74"/>
      <c r="DH546" s="74"/>
      <c r="DI546" s="74"/>
      <c r="DJ546" s="74"/>
      <c r="DK546" s="74"/>
      <c r="DL546" s="74"/>
      <c r="DM546" s="74"/>
      <c r="DN546" s="74"/>
      <c r="DO546" s="74"/>
      <c r="DP546" s="74"/>
      <c r="DQ546" s="74"/>
      <c r="DR546" s="74"/>
      <c r="DS546" s="100"/>
      <c r="DT546" s="74"/>
      <c r="DU546" s="74"/>
      <c r="DV546" s="74"/>
      <c r="DW546" s="74"/>
      <c r="DX546" s="74"/>
      <c r="DY546" s="74"/>
      <c r="DZ546" s="8">
        <f t="shared" si="151"/>
        <v>0</v>
      </c>
      <c r="EA546" s="3">
        <f t="shared" si="152"/>
        <v>0</v>
      </c>
      <c r="EB546" s="2">
        <f t="shared" si="153"/>
        <v>0</v>
      </c>
      <c r="EC546" s="112">
        <f t="shared" si="161"/>
        <v>0</v>
      </c>
      <c r="ED546" s="29">
        <f t="shared" si="154"/>
        <v>0</v>
      </c>
      <c r="EE546" s="2">
        <f t="shared" si="155"/>
        <v>0</v>
      </c>
      <c r="EF546" s="46">
        <f t="shared" si="156"/>
        <v>0</v>
      </c>
      <c r="EG546" s="46">
        <f t="shared" si="157"/>
        <v>0</v>
      </c>
      <c r="EH546" s="29">
        <f t="shared" si="158"/>
        <v>0</v>
      </c>
      <c r="EI546" s="29">
        <f>IF(COUNT(I546:AD546)&lt;5,DZ546,SUMPRODUCT(LARGE(I546:AD546,{1,2,3,4,5}))/5)</f>
        <v>0</v>
      </c>
      <c r="EJ546" s="29">
        <f>IF(COUNT(I546:BE546)&lt;5,DZ546,SUMPRODUCT(LARGE(I546:BE546,{1,2,3,4,5}))/5)</f>
        <v>0</v>
      </c>
      <c r="EK546" s="29">
        <f t="shared" si="160"/>
        <v>0</v>
      </c>
      <c r="EL546" s="29">
        <f t="shared" si="162"/>
        <v>0</v>
      </c>
      <c r="EM546" s="116">
        <f t="shared" si="159"/>
        <v>0</v>
      </c>
      <c r="EQ546"/>
    </row>
    <row r="547" spans="1:147" x14ac:dyDescent="0.25">
      <c r="A547" s="59"/>
      <c r="B547" s="32"/>
      <c r="C547" s="5"/>
      <c r="D547" s="6"/>
      <c r="E547" s="6"/>
      <c r="F547" s="6"/>
      <c r="G547" s="5"/>
      <c r="H547" s="99"/>
      <c r="I547" s="107"/>
      <c r="J547" s="7"/>
      <c r="K547" s="74"/>
      <c r="L547" s="7"/>
      <c r="M547" s="74"/>
      <c r="N547" s="74"/>
      <c r="O547" s="7"/>
      <c r="P547" s="74"/>
      <c r="Q547" s="7"/>
      <c r="R547" s="74"/>
      <c r="S547" s="74"/>
      <c r="T547" s="7"/>
      <c r="U547" s="7"/>
      <c r="V547" s="74"/>
      <c r="W547" s="7"/>
      <c r="X547" s="74"/>
      <c r="Y547" s="227"/>
      <c r="Z547" s="228"/>
      <c r="AA547" s="74"/>
      <c r="AB547" s="74"/>
      <c r="AC547" s="74"/>
      <c r="AD547" s="74"/>
      <c r="AE547" s="7"/>
      <c r="AF547" s="74"/>
      <c r="AG547" s="74"/>
      <c r="AH547" s="7"/>
      <c r="AI547" s="7"/>
      <c r="AJ547" s="7"/>
      <c r="AK547" s="7"/>
      <c r="AL547" s="7"/>
      <c r="AM547" s="7"/>
      <c r="AN547" s="7"/>
      <c r="AO547" s="74"/>
      <c r="AP547" s="7"/>
      <c r="AQ547" s="74"/>
      <c r="AR547" s="101"/>
      <c r="AS547" s="7"/>
      <c r="AT547" s="101"/>
      <c r="AU547" s="7"/>
      <c r="AV547" s="101"/>
      <c r="AW547" s="7"/>
      <c r="AX547" s="183"/>
      <c r="AY547" s="107"/>
      <c r="AZ547" s="74"/>
      <c r="BA547" s="74"/>
      <c r="BB547" s="74"/>
      <c r="BC547" s="74"/>
      <c r="BD547" s="74"/>
      <c r="BE547" s="74"/>
      <c r="BF547" s="74"/>
      <c r="BG547" s="74"/>
      <c r="BH547" s="74"/>
      <c r="BI547" s="74"/>
      <c r="BJ547" s="101"/>
      <c r="BK547" s="7"/>
      <c r="BL547" s="101"/>
      <c r="BM547" s="7"/>
      <c r="BN547" s="74"/>
      <c r="BO547" s="74"/>
      <c r="BP547" s="74"/>
      <c r="BQ547" s="74"/>
      <c r="BR547" s="74"/>
      <c r="BS547" s="7"/>
      <c r="BT547" s="7"/>
      <c r="BU547" s="74"/>
      <c r="BV547" s="74"/>
      <c r="BW547" s="74"/>
      <c r="BX547" s="74"/>
      <c r="BY547" s="74"/>
      <c r="BZ547" s="74"/>
      <c r="CA547" s="74"/>
      <c r="CB547" s="74"/>
      <c r="CC547" s="74"/>
      <c r="CD547" s="74"/>
      <c r="CE547" s="74"/>
      <c r="CF547" s="74"/>
      <c r="CG547" s="74"/>
      <c r="CH547" s="74"/>
      <c r="CI547" s="74"/>
      <c r="CJ547" s="74"/>
      <c r="CK547" s="101"/>
      <c r="CL547" s="74"/>
      <c r="CM547" s="74"/>
      <c r="CN547" s="74"/>
      <c r="CO547" s="101"/>
      <c r="CP547" s="74"/>
      <c r="CQ547" s="74"/>
      <c r="CR547" s="74"/>
      <c r="CS547" s="74"/>
      <c r="CT547" s="74"/>
      <c r="CU547" s="74"/>
      <c r="CV547" s="74"/>
      <c r="CW547" s="74"/>
      <c r="CX547" s="74"/>
      <c r="CY547" s="74"/>
      <c r="CZ547" s="74"/>
      <c r="DA547" s="74"/>
      <c r="DB547" s="74"/>
      <c r="DC547" s="74"/>
      <c r="DD547" s="74"/>
      <c r="DE547" s="74"/>
      <c r="DF547" s="74"/>
      <c r="DG547" s="74"/>
      <c r="DH547" s="74"/>
      <c r="DI547" s="74"/>
      <c r="DJ547" s="74"/>
      <c r="DK547" s="74"/>
      <c r="DL547" s="74"/>
      <c r="DM547" s="74"/>
      <c r="DN547" s="74"/>
      <c r="DO547" s="74"/>
      <c r="DP547" s="74"/>
      <c r="DQ547" s="74"/>
      <c r="DR547" s="74"/>
      <c r="DS547" s="74"/>
      <c r="DT547" s="74"/>
      <c r="DU547" s="74"/>
      <c r="DV547" s="74"/>
      <c r="DW547" s="74"/>
      <c r="DX547" s="74"/>
      <c r="DY547" s="74"/>
      <c r="DZ547" s="8">
        <f t="shared" si="151"/>
        <v>0</v>
      </c>
      <c r="EA547" s="3">
        <f t="shared" si="152"/>
        <v>0</v>
      </c>
      <c r="EB547" s="2">
        <f t="shared" si="153"/>
        <v>0</v>
      </c>
      <c r="EC547" s="112">
        <f t="shared" si="161"/>
        <v>0</v>
      </c>
      <c r="ED547" s="29">
        <f t="shared" si="154"/>
        <v>0</v>
      </c>
      <c r="EE547" s="2">
        <f t="shared" si="155"/>
        <v>0</v>
      </c>
      <c r="EF547" s="46">
        <f t="shared" si="156"/>
        <v>0</v>
      </c>
      <c r="EG547" s="46">
        <f t="shared" si="157"/>
        <v>0</v>
      </c>
      <c r="EH547" s="29">
        <f t="shared" si="158"/>
        <v>0</v>
      </c>
      <c r="EI547" s="29">
        <f>IF(COUNT(I547:AD547)&lt;5,DZ547,SUMPRODUCT(LARGE(I547:AD547,{1,2,3,4,5}))/5)</f>
        <v>0</v>
      </c>
      <c r="EJ547" s="29">
        <f>IF(COUNT(I547:BE547)&lt;5,DZ547,SUMPRODUCT(LARGE(I547:BE547,{1,2,3,4,5}))/5)</f>
        <v>0</v>
      </c>
      <c r="EK547" s="29">
        <f t="shared" si="160"/>
        <v>0</v>
      </c>
      <c r="EL547" s="29">
        <f t="shared" si="162"/>
        <v>0</v>
      </c>
      <c r="EM547" s="116">
        <f t="shared" si="159"/>
        <v>0</v>
      </c>
      <c r="EQ547"/>
    </row>
    <row r="548" spans="1:147" x14ac:dyDescent="0.25">
      <c r="A548" s="59"/>
      <c r="B548" s="4"/>
      <c r="C548" s="5"/>
      <c r="D548" s="6"/>
      <c r="E548" s="6"/>
      <c r="F548" s="6"/>
      <c r="G548" s="5"/>
      <c r="H548" s="99"/>
      <c r="I548" s="107"/>
      <c r="J548" s="7"/>
      <c r="K548" s="74"/>
      <c r="L548" s="7"/>
      <c r="M548" s="74"/>
      <c r="N548" s="74"/>
      <c r="O548" s="7"/>
      <c r="P548" s="74"/>
      <c r="Q548" s="7"/>
      <c r="R548" s="74"/>
      <c r="S548" s="74"/>
      <c r="T548" s="7"/>
      <c r="U548" s="7"/>
      <c r="V548" s="74"/>
      <c r="W548" s="7"/>
      <c r="X548" s="74"/>
      <c r="Y548" s="227"/>
      <c r="Z548" s="228"/>
      <c r="AA548" s="74"/>
      <c r="AB548" s="74"/>
      <c r="AC548" s="7"/>
      <c r="AD548" s="7"/>
      <c r="AE548" s="7"/>
      <c r="AF548" s="74"/>
      <c r="AG548" s="74"/>
      <c r="AH548" s="7"/>
      <c r="AI548" s="7"/>
      <c r="AJ548" s="7"/>
      <c r="AK548" s="7"/>
      <c r="AL548" s="7"/>
      <c r="AM548" s="7"/>
      <c r="AN548" s="7"/>
      <c r="AO548" s="74"/>
      <c r="AP548" s="7"/>
      <c r="AQ548" s="74"/>
      <c r="AR548" s="101"/>
      <c r="AS548" s="7"/>
      <c r="AT548" s="101"/>
      <c r="AU548" s="7"/>
      <c r="AV548" s="101"/>
      <c r="AW548" s="7"/>
      <c r="AX548" s="8"/>
      <c r="AY548" s="36"/>
      <c r="AZ548" s="74"/>
      <c r="BA548" s="74"/>
      <c r="BB548" s="74"/>
      <c r="BC548" s="74"/>
      <c r="BD548" s="74"/>
      <c r="BE548" s="74"/>
      <c r="BF548" s="74"/>
      <c r="BG548" s="74"/>
      <c r="BH548" s="74"/>
      <c r="BI548" s="74"/>
      <c r="BJ548" s="101"/>
      <c r="BK548" s="7"/>
      <c r="BL548" s="101"/>
      <c r="BM548" s="7"/>
      <c r="BN548" s="74"/>
      <c r="BO548" s="74"/>
      <c r="BP548" s="74"/>
      <c r="BQ548" s="74"/>
      <c r="BR548" s="74"/>
      <c r="BS548" s="7"/>
      <c r="BT548" s="7"/>
      <c r="BU548" s="74"/>
      <c r="BV548" s="74"/>
      <c r="BW548" s="74"/>
      <c r="BX548" s="74"/>
      <c r="BY548" s="74"/>
      <c r="BZ548" s="74"/>
      <c r="CA548" s="74"/>
      <c r="CB548" s="74"/>
      <c r="CC548" s="74"/>
      <c r="CD548" s="74"/>
      <c r="CE548" s="7"/>
      <c r="CF548" s="74"/>
      <c r="CG548" s="74"/>
      <c r="CH548" s="7"/>
      <c r="CI548" s="74"/>
      <c r="CJ548" s="74"/>
      <c r="CK548" s="101"/>
      <c r="CL548" s="74"/>
      <c r="CM548" s="7"/>
      <c r="CN548" s="74"/>
      <c r="CO548" s="101"/>
      <c r="CP548" s="74"/>
      <c r="CQ548" s="74"/>
      <c r="CR548" s="74"/>
      <c r="CS548" s="74"/>
      <c r="CT548" s="74"/>
      <c r="CU548" s="74"/>
      <c r="CV548" s="74"/>
      <c r="CW548" s="74"/>
      <c r="CX548" s="74"/>
      <c r="CY548" s="74"/>
      <c r="CZ548" s="74"/>
      <c r="DA548" s="74"/>
      <c r="DB548" s="74"/>
      <c r="DC548" s="74"/>
      <c r="DD548" s="74"/>
      <c r="DE548" s="74"/>
      <c r="DF548" s="74"/>
      <c r="DG548" s="74"/>
      <c r="DH548" s="74"/>
      <c r="DI548" s="74"/>
      <c r="DJ548" s="74"/>
      <c r="DK548" s="74"/>
      <c r="DL548" s="74"/>
      <c r="DM548" s="74"/>
      <c r="DN548" s="74"/>
      <c r="DO548" s="74"/>
      <c r="DP548" s="74"/>
      <c r="DQ548" s="74"/>
      <c r="DR548" s="74"/>
      <c r="DS548" s="74"/>
      <c r="DT548" s="74"/>
      <c r="DU548" s="74"/>
      <c r="DV548" s="74"/>
      <c r="DW548" s="74"/>
      <c r="DX548" s="74"/>
      <c r="DY548" s="74"/>
      <c r="DZ548" s="8">
        <f t="shared" si="151"/>
        <v>0</v>
      </c>
      <c r="EA548" s="3">
        <f t="shared" si="152"/>
        <v>0</v>
      </c>
      <c r="EB548" s="2">
        <f t="shared" si="153"/>
        <v>0</v>
      </c>
      <c r="EC548" s="112">
        <f t="shared" si="161"/>
        <v>0</v>
      </c>
      <c r="ED548" s="29">
        <f t="shared" si="154"/>
        <v>0</v>
      </c>
      <c r="EE548" s="2">
        <f t="shared" si="155"/>
        <v>0</v>
      </c>
      <c r="EF548" s="46">
        <f t="shared" si="156"/>
        <v>0</v>
      </c>
      <c r="EG548" s="46">
        <f t="shared" si="157"/>
        <v>0</v>
      </c>
      <c r="EH548" s="29">
        <f t="shared" si="158"/>
        <v>0</v>
      </c>
      <c r="EI548" s="29">
        <f>IF(COUNT(I548:AD548)&lt;5,DZ548,SUMPRODUCT(LARGE(I548:AD548,{1,2,3,4,5}))/5)</f>
        <v>0</v>
      </c>
      <c r="EJ548" s="29">
        <f>IF(COUNT(I548:BE548)&lt;5,DZ548,SUMPRODUCT(LARGE(I548:BE548,{1,2,3,4,5}))/5)</f>
        <v>0</v>
      </c>
      <c r="EK548" s="29">
        <f t="shared" si="160"/>
        <v>0</v>
      </c>
      <c r="EL548" s="29">
        <f t="shared" si="162"/>
        <v>0</v>
      </c>
      <c r="EM548" s="116">
        <f t="shared" si="159"/>
        <v>0</v>
      </c>
      <c r="EQ548"/>
    </row>
    <row r="549" spans="1:147" x14ac:dyDescent="0.25">
      <c r="A549" s="59"/>
      <c r="B549" s="32"/>
      <c r="C549" s="5"/>
      <c r="D549" s="6"/>
      <c r="E549" s="6"/>
      <c r="F549" s="6"/>
      <c r="G549" s="5"/>
      <c r="H549" s="37"/>
      <c r="I549" s="107"/>
      <c r="J549" s="7"/>
      <c r="K549" s="74"/>
      <c r="L549" s="7"/>
      <c r="M549" s="74"/>
      <c r="N549" s="74"/>
      <c r="O549" s="7"/>
      <c r="P549" s="74"/>
      <c r="Q549" s="7"/>
      <c r="R549" s="74"/>
      <c r="S549" s="74"/>
      <c r="T549" s="7"/>
      <c r="U549" s="7"/>
      <c r="V549" s="74"/>
      <c r="W549" s="7"/>
      <c r="X549" s="74"/>
      <c r="Y549" s="227"/>
      <c r="Z549" s="228"/>
      <c r="AA549" s="74"/>
      <c r="AB549" s="74"/>
      <c r="AC549" s="74"/>
      <c r="AD549" s="74"/>
      <c r="AE549" s="7"/>
      <c r="AF549" s="74"/>
      <c r="AG549" s="74"/>
      <c r="AH549" s="7"/>
      <c r="AI549" s="7"/>
      <c r="AJ549" s="7"/>
      <c r="AK549" s="7"/>
      <c r="AL549" s="7"/>
      <c r="AM549" s="7"/>
      <c r="AN549" s="7"/>
      <c r="AO549" s="74"/>
      <c r="AP549" s="7"/>
      <c r="AQ549" s="74"/>
      <c r="AR549" s="101"/>
      <c r="AS549" s="7"/>
      <c r="AT549" s="101"/>
      <c r="AU549" s="7"/>
      <c r="AV549" s="101"/>
      <c r="AW549" s="7"/>
      <c r="AX549" s="183"/>
      <c r="AY549" s="107"/>
      <c r="AZ549" s="74"/>
      <c r="BA549" s="74"/>
      <c r="BB549" s="74"/>
      <c r="BC549" s="74"/>
      <c r="BD549" s="74"/>
      <c r="BE549" s="74"/>
      <c r="BF549" s="74"/>
      <c r="BG549" s="74"/>
      <c r="BH549" s="74"/>
      <c r="BI549" s="74"/>
      <c r="BJ549" s="101"/>
      <c r="BK549" s="7"/>
      <c r="BL549" s="101"/>
      <c r="BM549" s="7"/>
      <c r="BN549" s="74"/>
      <c r="BO549" s="74"/>
      <c r="BP549" s="74"/>
      <c r="BQ549" s="74"/>
      <c r="BR549" s="74"/>
      <c r="BS549" s="7"/>
      <c r="BT549" s="7"/>
      <c r="BU549" s="74"/>
      <c r="BV549" s="74"/>
      <c r="BW549" s="74"/>
      <c r="BX549" s="74"/>
      <c r="BY549" s="74"/>
      <c r="BZ549" s="74"/>
      <c r="CA549" s="74"/>
      <c r="CB549" s="74"/>
      <c r="CC549" s="74"/>
      <c r="CD549" s="74"/>
      <c r="CE549" s="74"/>
      <c r="CF549" s="74"/>
      <c r="CG549" s="74"/>
      <c r="CH549" s="74"/>
      <c r="CI549" s="74"/>
      <c r="CJ549" s="74"/>
      <c r="CK549" s="101"/>
      <c r="CL549" s="74"/>
      <c r="CM549" s="74"/>
      <c r="CN549" s="74"/>
      <c r="CO549" s="101"/>
      <c r="CP549" s="74"/>
      <c r="CQ549" s="74"/>
      <c r="CR549" s="74"/>
      <c r="CS549" s="74"/>
      <c r="CT549" s="74"/>
      <c r="CU549" s="74"/>
      <c r="CV549" s="74"/>
      <c r="CW549" s="74"/>
      <c r="CX549" s="74"/>
      <c r="CY549" s="74"/>
      <c r="CZ549" s="74"/>
      <c r="DA549" s="74"/>
      <c r="DB549" s="74"/>
      <c r="DC549" s="74"/>
      <c r="DD549" s="74"/>
      <c r="DE549" s="74"/>
      <c r="DF549" s="74"/>
      <c r="DG549" s="74"/>
      <c r="DH549" s="74"/>
      <c r="DI549" s="74"/>
      <c r="DJ549" s="74"/>
      <c r="DK549" s="74"/>
      <c r="DL549" s="74"/>
      <c r="DM549" s="74"/>
      <c r="DN549" s="100"/>
      <c r="DO549" s="74"/>
      <c r="DP549" s="74"/>
      <c r="DQ549" s="74"/>
      <c r="DR549" s="74"/>
      <c r="DS549" s="74"/>
      <c r="DT549" s="74"/>
      <c r="DU549" s="74"/>
      <c r="DV549" s="74"/>
      <c r="DW549" s="74"/>
      <c r="DX549" s="74"/>
      <c r="DY549" s="74"/>
      <c r="DZ549" s="8">
        <f t="shared" si="151"/>
        <v>0</v>
      </c>
      <c r="EA549" s="3">
        <f t="shared" si="152"/>
        <v>0</v>
      </c>
      <c r="EB549" s="2">
        <f t="shared" si="153"/>
        <v>0</v>
      </c>
      <c r="EC549" s="112">
        <f t="shared" si="161"/>
        <v>0</v>
      </c>
      <c r="ED549" s="29">
        <f t="shared" si="154"/>
        <v>0</v>
      </c>
      <c r="EE549" s="2">
        <f t="shared" si="155"/>
        <v>0</v>
      </c>
      <c r="EF549" s="46">
        <f t="shared" si="156"/>
        <v>0</v>
      </c>
      <c r="EG549" s="46">
        <f t="shared" si="157"/>
        <v>0</v>
      </c>
      <c r="EH549" s="29">
        <f t="shared" si="158"/>
        <v>0</v>
      </c>
      <c r="EI549" s="29">
        <f>IF(COUNT(I549:AD549)&lt;5,DZ549,SUMPRODUCT(LARGE(I549:AD549,{1,2,3,4,5}))/5)</f>
        <v>0</v>
      </c>
      <c r="EJ549" s="29">
        <f>IF(COUNT(I549:BE549)&lt;5,DZ549,SUMPRODUCT(LARGE(I549:BE549,{1,2,3,4,5}))/5)</f>
        <v>0</v>
      </c>
      <c r="EK549" s="29">
        <f t="shared" si="160"/>
        <v>0</v>
      </c>
      <c r="EL549" s="29">
        <f t="shared" si="162"/>
        <v>0</v>
      </c>
      <c r="EM549" s="116">
        <f t="shared" si="159"/>
        <v>0</v>
      </c>
      <c r="EQ549"/>
    </row>
    <row r="550" spans="1:147" x14ac:dyDescent="0.25">
      <c r="A550" s="59"/>
      <c r="B550" s="32"/>
      <c r="C550" s="5"/>
      <c r="D550" s="6"/>
      <c r="E550" s="6"/>
      <c r="F550" s="6"/>
      <c r="G550" s="5"/>
      <c r="H550" s="99"/>
      <c r="I550" s="107"/>
      <c r="J550" s="7"/>
      <c r="K550" s="74"/>
      <c r="L550" s="7"/>
      <c r="M550" s="74"/>
      <c r="N550" s="74"/>
      <c r="O550" s="7"/>
      <c r="P550" s="74"/>
      <c r="Q550" s="7"/>
      <c r="R550" s="74"/>
      <c r="S550" s="74"/>
      <c r="T550" s="7"/>
      <c r="U550" s="7"/>
      <c r="V550" s="74"/>
      <c r="W550" s="7"/>
      <c r="X550" s="74"/>
      <c r="Y550" s="227"/>
      <c r="Z550" s="228"/>
      <c r="AA550" s="74"/>
      <c r="AB550" s="74"/>
      <c r="AC550" s="74"/>
      <c r="AD550" s="74"/>
      <c r="AE550" s="7"/>
      <c r="AF550" s="74"/>
      <c r="AG550" s="74"/>
      <c r="AH550" s="7"/>
      <c r="AI550" s="7"/>
      <c r="AJ550" s="7"/>
      <c r="AK550" s="7"/>
      <c r="AL550" s="7"/>
      <c r="AM550" s="7"/>
      <c r="AN550" s="7"/>
      <c r="AO550" s="74"/>
      <c r="AP550" s="7"/>
      <c r="AQ550" s="74"/>
      <c r="AR550" s="101"/>
      <c r="AS550" s="7"/>
      <c r="AT550" s="101"/>
      <c r="AU550" s="7"/>
      <c r="AV550" s="101"/>
      <c r="AW550" s="7"/>
      <c r="AX550" s="183"/>
      <c r="AY550" s="107"/>
      <c r="AZ550" s="74"/>
      <c r="BA550" s="74"/>
      <c r="BB550" s="74"/>
      <c r="BC550" s="74"/>
      <c r="BD550" s="74"/>
      <c r="BE550" s="74"/>
      <c r="BF550" s="74"/>
      <c r="BG550" s="74"/>
      <c r="BH550" s="74"/>
      <c r="BI550" s="74"/>
      <c r="BJ550" s="101"/>
      <c r="BK550" s="7"/>
      <c r="BL550" s="101"/>
      <c r="BM550" s="7"/>
      <c r="BN550" s="74"/>
      <c r="BO550" s="74"/>
      <c r="BP550" s="74"/>
      <c r="BQ550" s="74"/>
      <c r="BR550" s="74"/>
      <c r="BS550" s="7"/>
      <c r="BT550" s="7"/>
      <c r="BU550" s="74"/>
      <c r="BV550" s="74"/>
      <c r="BW550" s="74"/>
      <c r="BX550" s="74"/>
      <c r="BY550" s="74"/>
      <c r="BZ550" s="74"/>
      <c r="CA550" s="74"/>
      <c r="CB550" s="74"/>
      <c r="CC550" s="74"/>
      <c r="CD550" s="74"/>
      <c r="CE550" s="74"/>
      <c r="CF550" s="74"/>
      <c r="CG550" s="74"/>
      <c r="CH550" s="74"/>
      <c r="CI550" s="74"/>
      <c r="CJ550" s="74"/>
      <c r="CK550" s="101"/>
      <c r="CL550" s="74"/>
      <c r="CM550" s="74"/>
      <c r="CN550" s="74"/>
      <c r="CO550" s="101"/>
      <c r="CP550" s="74"/>
      <c r="CQ550" s="74"/>
      <c r="CR550" s="74"/>
      <c r="CS550" s="74"/>
      <c r="CT550" s="74"/>
      <c r="CU550" s="74"/>
      <c r="CV550" s="74"/>
      <c r="CW550" s="74"/>
      <c r="CX550" s="74"/>
      <c r="CY550" s="74"/>
      <c r="CZ550" s="74"/>
      <c r="DA550" s="74"/>
      <c r="DB550" s="74"/>
      <c r="DC550" s="74"/>
      <c r="DD550" s="74"/>
      <c r="DE550" s="74"/>
      <c r="DF550" s="74"/>
      <c r="DG550" s="74"/>
      <c r="DH550" s="74"/>
      <c r="DI550" s="74"/>
      <c r="DJ550" s="74"/>
      <c r="DK550" s="74"/>
      <c r="DL550" s="74"/>
      <c r="DM550" s="74"/>
      <c r="DN550" s="74"/>
      <c r="DO550" s="74"/>
      <c r="DP550" s="74"/>
      <c r="DQ550" s="74"/>
      <c r="DR550" s="74"/>
      <c r="DS550" s="74"/>
      <c r="DT550" s="74"/>
      <c r="DU550" s="74"/>
      <c r="DV550" s="74"/>
      <c r="DW550" s="74"/>
      <c r="DX550" s="74"/>
      <c r="DY550" s="74"/>
      <c r="DZ550" s="8">
        <f t="shared" si="151"/>
        <v>0</v>
      </c>
      <c r="EA550" s="3">
        <f t="shared" si="152"/>
        <v>0</v>
      </c>
      <c r="EB550" s="2">
        <f t="shared" si="153"/>
        <v>0</v>
      </c>
      <c r="EC550" s="112">
        <f t="shared" si="161"/>
        <v>0</v>
      </c>
      <c r="ED550" s="29">
        <f t="shared" si="154"/>
        <v>0</v>
      </c>
      <c r="EE550" s="2">
        <f t="shared" si="155"/>
        <v>0</v>
      </c>
      <c r="EF550" s="46">
        <f t="shared" si="156"/>
        <v>0</v>
      </c>
      <c r="EG550" s="46">
        <f t="shared" si="157"/>
        <v>0</v>
      </c>
      <c r="EH550" s="29">
        <f t="shared" si="158"/>
        <v>0</v>
      </c>
      <c r="EI550" s="29">
        <f>IF(COUNT(I550:AD550)&lt;5,DZ550,SUMPRODUCT(LARGE(I550:AD550,{1,2,3,4,5}))/5)</f>
        <v>0</v>
      </c>
      <c r="EJ550" s="29">
        <f>IF(COUNT(I550:BE550)&lt;5,DZ550,SUMPRODUCT(LARGE(I550:BE550,{1,2,3,4,5}))/5)</f>
        <v>0</v>
      </c>
      <c r="EK550" s="29">
        <f t="shared" si="160"/>
        <v>0</v>
      </c>
      <c r="EL550" s="29">
        <f t="shared" si="162"/>
        <v>0</v>
      </c>
      <c r="EM550" s="116">
        <f t="shared" si="159"/>
        <v>0</v>
      </c>
      <c r="EQ550"/>
    </row>
    <row r="551" spans="1:147" x14ac:dyDescent="0.25">
      <c r="A551" s="59"/>
      <c r="B551" s="32"/>
      <c r="C551" s="5"/>
      <c r="D551" s="6"/>
      <c r="E551" s="6"/>
      <c r="F551" s="6"/>
      <c r="G551" s="5"/>
      <c r="H551" s="37"/>
      <c r="I551" s="107"/>
      <c r="J551" s="7"/>
      <c r="K551" s="74"/>
      <c r="L551" s="7"/>
      <c r="M551" s="74"/>
      <c r="N551" s="74"/>
      <c r="O551" s="7"/>
      <c r="P551" s="74"/>
      <c r="Q551" s="7"/>
      <c r="R551" s="74"/>
      <c r="S551" s="74"/>
      <c r="T551" s="7"/>
      <c r="U551" s="7"/>
      <c r="V551" s="74"/>
      <c r="W551" s="7"/>
      <c r="X551" s="74"/>
      <c r="Y551" s="227"/>
      <c r="Z551" s="228"/>
      <c r="AA551" s="74"/>
      <c r="AB551" s="74"/>
      <c r="AC551" s="74"/>
      <c r="AD551" s="74"/>
      <c r="AE551" s="7"/>
      <c r="AF551" s="74"/>
      <c r="AG551" s="74"/>
      <c r="AH551" s="7"/>
      <c r="AI551" s="7"/>
      <c r="AJ551" s="7"/>
      <c r="AK551" s="7"/>
      <c r="AL551" s="7"/>
      <c r="AM551" s="7"/>
      <c r="AN551" s="7"/>
      <c r="AO551" s="74"/>
      <c r="AP551" s="7"/>
      <c r="AQ551" s="74"/>
      <c r="AR551" s="101"/>
      <c r="AS551" s="7"/>
      <c r="AT551" s="101"/>
      <c r="AU551" s="7"/>
      <c r="AV551" s="101"/>
      <c r="AW551" s="7"/>
      <c r="AX551" s="183"/>
      <c r="AY551" s="107"/>
      <c r="AZ551" s="7"/>
      <c r="BA551" s="74"/>
      <c r="BB551" s="7"/>
      <c r="BC551" s="74"/>
      <c r="BD551" s="74"/>
      <c r="BE551" s="74"/>
      <c r="BF551" s="74"/>
      <c r="BG551" s="7"/>
      <c r="BH551" s="7"/>
      <c r="BI551" s="74"/>
      <c r="BJ551" s="101"/>
      <c r="BK551" s="7"/>
      <c r="BL551" s="101"/>
      <c r="BM551" s="7"/>
      <c r="BN551" s="74"/>
      <c r="BO551" s="74"/>
      <c r="BP551" s="74"/>
      <c r="BQ551" s="74"/>
      <c r="BR551" s="74"/>
      <c r="BS551" s="7"/>
      <c r="BT551" s="7"/>
      <c r="BU551" s="74"/>
      <c r="BV551" s="74"/>
      <c r="BW551" s="74"/>
      <c r="BX551" s="74"/>
      <c r="BY551" s="74"/>
      <c r="BZ551" s="74"/>
      <c r="CA551" s="7"/>
      <c r="CB551" s="74"/>
      <c r="CC551" s="74"/>
      <c r="CD551" s="74"/>
      <c r="CE551" s="7"/>
      <c r="CF551" s="74"/>
      <c r="CG551" s="74"/>
      <c r="CH551" s="7"/>
      <c r="CI551" s="74"/>
      <c r="CJ551" s="74"/>
      <c r="CK551" s="101"/>
      <c r="CL551" s="7"/>
      <c r="CM551" s="74"/>
      <c r="CN551" s="74"/>
      <c r="CO551" s="101"/>
      <c r="CP551" s="74"/>
      <c r="CQ551" s="74"/>
      <c r="CR551" s="74"/>
      <c r="CS551" s="74"/>
      <c r="CT551" s="74"/>
      <c r="CU551" s="74"/>
      <c r="CV551" s="74"/>
      <c r="CW551" s="74"/>
      <c r="CX551" s="74"/>
      <c r="CY551" s="74"/>
      <c r="CZ551" s="74"/>
      <c r="DA551" s="74"/>
      <c r="DB551" s="74"/>
      <c r="DC551" s="74"/>
      <c r="DD551" s="74"/>
      <c r="DE551" s="74"/>
      <c r="DF551" s="74"/>
      <c r="DG551" s="74"/>
      <c r="DH551" s="74"/>
      <c r="DI551" s="74"/>
      <c r="DJ551" s="74"/>
      <c r="DK551" s="74"/>
      <c r="DL551" s="74"/>
      <c r="DM551" s="74"/>
      <c r="DN551" s="74"/>
      <c r="DO551" s="74"/>
      <c r="DP551" s="74"/>
      <c r="DQ551" s="74"/>
      <c r="DR551" s="74"/>
      <c r="DS551" s="74"/>
      <c r="DT551" s="74"/>
      <c r="DU551" s="74"/>
      <c r="DV551" s="74"/>
      <c r="DW551" s="74"/>
      <c r="DX551" s="74"/>
      <c r="DY551" s="74"/>
      <c r="DZ551" s="8">
        <f t="shared" si="151"/>
        <v>0</v>
      </c>
      <c r="EA551" s="3">
        <f t="shared" si="152"/>
        <v>0</v>
      </c>
      <c r="EB551" s="2">
        <f t="shared" si="153"/>
        <v>0</v>
      </c>
      <c r="EC551" s="112">
        <f t="shared" si="161"/>
        <v>0</v>
      </c>
      <c r="ED551" s="29">
        <f t="shared" si="154"/>
        <v>0</v>
      </c>
      <c r="EE551" s="2">
        <f t="shared" si="155"/>
        <v>0</v>
      </c>
      <c r="EF551" s="46">
        <f t="shared" si="156"/>
        <v>0</v>
      </c>
      <c r="EG551" s="46">
        <f t="shared" si="157"/>
        <v>0</v>
      </c>
      <c r="EH551" s="29">
        <f t="shared" si="158"/>
        <v>0</v>
      </c>
      <c r="EI551" s="29">
        <f>IF(COUNT(I551:AD551)&lt;5,DZ551,SUMPRODUCT(LARGE(I551:AD551,{1,2,3,4,5}))/5)</f>
        <v>0</v>
      </c>
      <c r="EJ551" s="29">
        <f>IF(COUNT(I551:BE551)&lt;5,DZ551,SUMPRODUCT(LARGE(I551:BE551,{1,2,3,4,5}))/5)</f>
        <v>0</v>
      </c>
      <c r="EK551" s="29">
        <f t="shared" si="160"/>
        <v>0</v>
      </c>
      <c r="EL551" s="29">
        <f>(EK551*100)/101.59</f>
        <v>0</v>
      </c>
      <c r="EM551" s="116">
        <f t="shared" si="159"/>
        <v>0</v>
      </c>
      <c r="EQ551"/>
    </row>
    <row r="552" spans="1:147" x14ac:dyDescent="0.25">
      <c r="A552" s="59"/>
      <c r="B552" s="32"/>
      <c r="C552" s="5"/>
      <c r="D552" s="6"/>
      <c r="E552" s="6"/>
      <c r="F552" s="6"/>
      <c r="G552" s="5"/>
      <c r="H552" s="99"/>
      <c r="I552" s="36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227"/>
      <c r="Z552" s="228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4"/>
      <c r="AP552" s="7"/>
      <c r="AQ552" s="74"/>
      <c r="AR552" s="70"/>
      <c r="AS552" s="7"/>
      <c r="AT552" s="70"/>
      <c r="AU552" s="7"/>
      <c r="AV552" s="70"/>
      <c r="AW552" s="7"/>
      <c r="AX552" s="183"/>
      <c r="AY552" s="10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0"/>
      <c r="BK552" s="7"/>
      <c r="BL552" s="70"/>
      <c r="BM552" s="7"/>
      <c r="BN552" s="74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101"/>
      <c r="CL552" s="74"/>
      <c r="CM552" s="74"/>
      <c r="CN552" s="74"/>
      <c r="CO552" s="70"/>
      <c r="CP552" s="74"/>
      <c r="CQ552" s="7"/>
      <c r="CR552" s="74"/>
      <c r="CS552" s="74"/>
      <c r="CT552" s="74"/>
      <c r="CU552" s="74"/>
      <c r="CV552" s="7"/>
      <c r="CW552" s="7"/>
      <c r="CX552" s="7"/>
      <c r="CY552" s="7"/>
      <c r="CZ552" s="7"/>
      <c r="DA552" s="7"/>
      <c r="DB552" s="7"/>
      <c r="DC552" s="7"/>
      <c r="DD552" s="7"/>
      <c r="DE552" s="74"/>
      <c r="DF552" s="74"/>
      <c r="DG552" s="74"/>
      <c r="DH552" s="7"/>
      <c r="DI552" s="74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8">
        <f t="shared" si="151"/>
        <v>0</v>
      </c>
      <c r="EA552" s="3">
        <f t="shared" si="152"/>
        <v>0</v>
      </c>
      <c r="EB552" s="2">
        <f t="shared" si="153"/>
        <v>0</v>
      </c>
      <c r="EC552" s="112">
        <f t="shared" si="161"/>
        <v>0</v>
      </c>
      <c r="ED552" s="29">
        <f t="shared" si="154"/>
        <v>0</v>
      </c>
      <c r="EE552" s="2">
        <f t="shared" si="155"/>
        <v>0</v>
      </c>
      <c r="EF552" s="46">
        <f t="shared" si="156"/>
        <v>0</v>
      </c>
      <c r="EG552" s="46">
        <f t="shared" si="157"/>
        <v>0</v>
      </c>
      <c r="EH552" s="2">
        <f t="shared" si="158"/>
        <v>0</v>
      </c>
      <c r="EI552" s="29">
        <f>IF(COUNT(I552:AD552)&lt;5,DZ552,SUMPRODUCT(LARGE(I552:AD552,{1,2,3,4,5}))/5)</f>
        <v>0</v>
      </c>
      <c r="EJ552" s="29">
        <f>IF(COUNT(I552:BE552)&lt;5,DZ552,SUMPRODUCT(LARGE(I552:BE552,{1,2,3,4,5}))/5)</f>
        <v>0</v>
      </c>
      <c r="EK552" s="29">
        <f t="shared" si="160"/>
        <v>0</v>
      </c>
      <c r="EL552" s="29">
        <f>(EK552*100)/101.28</f>
        <v>0</v>
      </c>
      <c r="EM552" s="116">
        <f t="shared" si="159"/>
        <v>0</v>
      </c>
      <c r="EQ552"/>
    </row>
    <row r="553" spans="1:147" x14ac:dyDescent="0.25">
      <c r="A553" s="59"/>
      <c r="B553" s="32"/>
      <c r="C553" s="5"/>
      <c r="D553" s="6"/>
      <c r="E553" s="6"/>
      <c r="F553" s="6"/>
      <c r="G553" s="5"/>
      <c r="H553" s="37"/>
      <c r="I553" s="107"/>
      <c r="J553" s="7"/>
      <c r="K553" s="74"/>
      <c r="L553" s="7"/>
      <c r="M553" s="74"/>
      <c r="N553" s="74"/>
      <c r="O553" s="7"/>
      <c r="P553" s="74"/>
      <c r="Q553" s="7"/>
      <c r="R553" s="74"/>
      <c r="S553" s="74"/>
      <c r="T553" s="7"/>
      <c r="U553" s="7"/>
      <c r="V553" s="74"/>
      <c r="W553" s="7"/>
      <c r="X553" s="74"/>
      <c r="Y553" s="227"/>
      <c r="Z553" s="228"/>
      <c r="AA553" s="74"/>
      <c r="AB553" s="74"/>
      <c r="AC553" s="74"/>
      <c r="AD553" s="74"/>
      <c r="AE553" s="7"/>
      <c r="AF553" s="74"/>
      <c r="AG553" s="74"/>
      <c r="AH553" s="7"/>
      <c r="AI553" s="7"/>
      <c r="AJ553" s="7"/>
      <c r="AK553" s="7"/>
      <c r="AL553" s="7"/>
      <c r="AM553" s="7"/>
      <c r="AN553" s="7"/>
      <c r="AO553" s="74"/>
      <c r="AP553" s="7"/>
      <c r="AQ553" s="74"/>
      <c r="AR553" s="101"/>
      <c r="AS553" s="7"/>
      <c r="AT553" s="101"/>
      <c r="AU553" s="7"/>
      <c r="AV553" s="101"/>
      <c r="AW553" s="7"/>
      <c r="AX553" s="183"/>
      <c r="AY553" s="107"/>
      <c r="AZ553" s="74"/>
      <c r="BA553" s="74"/>
      <c r="BB553" s="74"/>
      <c r="BC553" s="74"/>
      <c r="BD553" s="74"/>
      <c r="BE553" s="74"/>
      <c r="BF553" s="74"/>
      <c r="BG553" s="74"/>
      <c r="BH553" s="74"/>
      <c r="BI553" s="101"/>
      <c r="BJ553" s="74"/>
      <c r="BK553" s="7"/>
      <c r="BL553" s="74"/>
      <c r="BM553" s="7"/>
      <c r="BN553" s="74"/>
      <c r="BO553" s="74"/>
      <c r="BP553" s="74"/>
      <c r="BQ553" s="74"/>
      <c r="BR553" s="74"/>
      <c r="BS553" s="7"/>
      <c r="BT553" s="7"/>
      <c r="BU553" s="74"/>
      <c r="BV553" s="74"/>
      <c r="BW553" s="74"/>
      <c r="BX553" s="74"/>
      <c r="BY553" s="74"/>
      <c r="BZ553" s="74"/>
      <c r="CA553" s="74"/>
      <c r="CB553" s="74"/>
      <c r="CC553" s="74"/>
      <c r="CD553" s="74"/>
      <c r="CE553" s="74"/>
      <c r="CF553" s="74"/>
      <c r="CG553" s="74"/>
      <c r="CH553" s="74"/>
      <c r="CI553" s="74"/>
      <c r="CJ553" s="74"/>
      <c r="CK553" s="101"/>
      <c r="CL553" s="74"/>
      <c r="CM553" s="74"/>
      <c r="CN553" s="74"/>
      <c r="CO553" s="101"/>
      <c r="CP553" s="74"/>
      <c r="CQ553" s="74"/>
      <c r="CR553" s="74"/>
      <c r="CS553" s="74"/>
      <c r="CT553" s="74"/>
      <c r="CU553" s="74"/>
      <c r="CV553" s="74"/>
      <c r="CW553" s="74"/>
      <c r="CX553" s="74"/>
      <c r="CY553" s="74"/>
      <c r="CZ553" s="74"/>
      <c r="DA553" s="74"/>
      <c r="DB553" s="74"/>
      <c r="DC553" s="74"/>
      <c r="DD553" s="74"/>
      <c r="DE553" s="74"/>
      <c r="DF553" s="74"/>
      <c r="DG553" s="74"/>
      <c r="DH553" s="74"/>
      <c r="DI553" s="74"/>
      <c r="DJ553" s="74"/>
      <c r="DK553" s="74"/>
      <c r="DL553" s="74"/>
      <c r="DM553" s="74"/>
      <c r="DN553" s="74"/>
      <c r="DO553" s="74"/>
      <c r="DP553" s="74"/>
      <c r="DQ553" s="74"/>
      <c r="DR553" s="74"/>
      <c r="DS553" s="74"/>
      <c r="DT553" s="74"/>
      <c r="DU553" s="74"/>
      <c r="DV553" s="74"/>
      <c r="DW553" s="74"/>
      <c r="DX553" s="74"/>
      <c r="DY553" s="74"/>
      <c r="DZ553" s="8">
        <f t="shared" si="151"/>
        <v>0</v>
      </c>
      <c r="EA553" s="3">
        <f t="shared" si="152"/>
        <v>0</v>
      </c>
      <c r="EB553" s="2">
        <f t="shared" si="153"/>
        <v>0</v>
      </c>
      <c r="EC553" s="112">
        <f t="shared" si="161"/>
        <v>0</v>
      </c>
      <c r="ED553" s="29">
        <f t="shared" si="154"/>
        <v>0</v>
      </c>
      <c r="EE553" s="2">
        <f t="shared" si="155"/>
        <v>0</v>
      </c>
      <c r="EF553" s="46">
        <f t="shared" si="156"/>
        <v>0</v>
      </c>
      <c r="EG553" s="46">
        <f t="shared" si="157"/>
        <v>0</v>
      </c>
      <c r="EH553" s="29">
        <f t="shared" si="158"/>
        <v>0</v>
      </c>
      <c r="EI553" s="29">
        <f>IF(COUNT(I553:AD553)&lt;5,DZ553,SUMPRODUCT(LARGE(I553:AD553,{1,2,3,4,5}))/5)</f>
        <v>0</v>
      </c>
      <c r="EJ553" s="29">
        <f>IF(COUNT(I553:BE553)&lt;5,DZ553,SUMPRODUCT(LARGE(I553:BE553,{1,2,3,4,5}))/5)</f>
        <v>0</v>
      </c>
      <c r="EK553" s="29">
        <f t="shared" si="160"/>
        <v>0</v>
      </c>
      <c r="EL553" s="29">
        <f>(EK553*100)/101.28</f>
        <v>0</v>
      </c>
      <c r="EM553" s="116">
        <f t="shared" si="159"/>
        <v>0</v>
      </c>
      <c r="EQ553"/>
    </row>
    <row r="554" spans="1:147" x14ac:dyDescent="0.25">
      <c r="A554" s="59"/>
      <c r="B554" s="32"/>
      <c r="C554" s="5"/>
      <c r="D554" s="6"/>
      <c r="E554" s="6"/>
      <c r="F554" s="6"/>
      <c r="G554" s="5"/>
      <c r="H554" s="37"/>
      <c r="I554" s="107"/>
      <c r="J554" s="7"/>
      <c r="K554" s="74"/>
      <c r="L554" s="7"/>
      <c r="M554" s="74"/>
      <c r="N554" s="74"/>
      <c r="O554" s="7"/>
      <c r="P554" s="74"/>
      <c r="Q554" s="7"/>
      <c r="R554" s="74"/>
      <c r="S554" s="74"/>
      <c r="T554" s="7"/>
      <c r="U554" s="7"/>
      <c r="V554" s="74"/>
      <c r="W554" s="7"/>
      <c r="X554" s="74"/>
      <c r="Y554" s="227"/>
      <c r="Z554" s="228"/>
      <c r="AA554" s="74"/>
      <c r="AB554" s="74"/>
      <c r="AC554" s="74"/>
      <c r="AD554" s="74"/>
      <c r="AE554" s="7"/>
      <c r="AF554" s="74"/>
      <c r="AG554" s="74"/>
      <c r="AH554" s="7"/>
      <c r="AI554" s="7"/>
      <c r="AJ554" s="7"/>
      <c r="AK554" s="7"/>
      <c r="AL554" s="7"/>
      <c r="AM554" s="7"/>
      <c r="AN554" s="7"/>
      <c r="AO554" s="74"/>
      <c r="AP554" s="7"/>
      <c r="AQ554" s="74"/>
      <c r="AR554" s="101"/>
      <c r="AS554" s="7"/>
      <c r="AT554" s="101"/>
      <c r="AU554" s="7"/>
      <c r="AV554" s="101"/>
      <c r="AW554" s="7"/>
      <c r="AX554" s="8"/>
      <c r="AY554" s="36"/>
      <c r="AZ554" s="74"/>
      <c r="BA554" s="74"/>
      <c r="BB554" s="74"/>
      <c r="BC554" s="74"/>
      <c r="BD554" s="74"/>
      <c r="BE554" s="74"/>
      <c r="BF554" s="74"/>
      <c r="BG554" s="74"/>
      <c r="BH554" s="74"/>
      <c r="BI554" s="74"/>
      <c r="BJ554" s="74"/>
      <c r="BK554" s="7"/>
      <c r="BL554" s="74"/>
      <c r="BM554" s="7"/>
      <c r="BN554" s="74"/>
      <c r="BO554" s="74"/>
      <c r="BP554" s="74"/>
      <c r="BQ554" s="74"/>
      <c r="BR554" s="74"/>
      <c r="BS554" s="7"/>
      <c r="BT554" s="7"/>
      <c r="BU554" s="74"/>
      <c r="BV554" s="74"/>
      <c r="BW554" s="74"/>
      <c r="BX554" s="74"/>
      <c r="BY554" s="74"/>
      <c r="BZ554" s="74"/>
      <c r="CA554" s="74"/>
      <c r="CB554" s="74"/>
      <c r="CC554" s="74"/>
      <c r="CD554" s="74"/>
      <c r="CE554" s="74"/>
      <c r="CF554" s="74"/>
      <c r="CG554" s="74"/>
      <c r="CH554" s="74"/>
      <c r="CI554" s="74"/>
      <c r="CJ554" s="74"/>
      <c r="CK554" s="101"/>
      <c r="CL554" s="74"/>
      <c r="CM554" s="74"/>
      <c r="CN554" s="74"/>
      <c r="CO554" s="101"/>
      <c r="CP554" s="74"/>
      <c r="CQ554" s="74"/>
      <c r="CR554" s="74"/>
      <c r="CS554" s="74"/>
      <c r="CT554" s="74"/>
      <c r="CU554" s="74"/>
      <c r="CV554" s="74"/>
      <c r="CW554" s="74"/>
      <c r="CX554" s="74"/>
      <c r="CY554" s="74"/>
      <c r="CZ554" s="74"/>
      <c r="DA554" s="74"/>
      <c r="DB554" s="74"/>
      <c r="DC554" s="74"/>
      <c r="DD554" s="74"/>
      <c r="DE554" s="74"/>
      <c r="DF554" s="74"/>
      <c r="DG554" s="74"/>
      <c r="DH554" s="74"/>
      <c r="DI554" s="74"/>
      <c r="DJ554" s="74"/>
      <c r="DK554" s="74"/>
      <c r="DL554" s="74"/>
      <c r="DM554" s="74"/>
      <c r="DN554" s="74"/>
      <c r="DO554" s="74"/>
      <c r="DP554" s="74"/>
      <c r="DQ554" s="74"/>
      <c r="DR554" s="74"/>
      <c r="DS554" s="74"/>
      <c r="DT554" s="74"/>
      <c r="DU554" s="74"/>
      <c r="DV554" s="74"/>
      <c r="DW554" s="74"/>
      <c r="DX554" s="74"/>
      <c r="DY554" s="74"/>
      <c r="DZ554" s="8">
        <f t="shared" si="151"/>
        <v>0</v>
      </c>
      <c r="EA554" s="3">
        <f t="shared" si="152"/>
        <v>0</v>
      </c>
      <c r="EB554" s="2">
        <f t="shared" si="153"/>
        <v>0</v>
      </c>
      <c r="EC554" s="112">
        <f t="shared" si="161"/>
        <v>0</v>
      </c>
      <c r="ED554" s="29">
        <f t="shared" si="154"/>
        <v>0</v>
      </c>
      <c r="EE554" s="2">
        <f t="shared" si="155"/>
        <v>0</v>
      </c>
      <c r="EF554" s="46">
        <f t="shared" si="156"/>
        <v>0</v>
      </c>
      <c r="EG554" s="46">
        <f t="shared" si="157"/>
        <v>0</v>
      </c>
      <c r="EH554" s="29">
        <f t="shared" si="158"/>
        <v>0</v>
      </c>
      <c r="EI554" s="29">
        <f>IF(COUNT(I554:AD554)&lt;5,DZ554,SUMPRODUCT(LARGE(I554:AD554,{1,2,3,4,5}))/5)</f>
        <v>0</v>
      </c>
      <c r="EJ554" s="29">
        <f>IF(COUNT(I554:BE554)&lt;5,DZ554,SUMPRODUCT(LARGE(I554:BE554,{1,2,3,4,5}))/5)</f>
        <v>0</v>
      </c>
      <c r="EK554" s="29">
        <f t="shared" si="160"/>
        <v>0</v>
      </c>
      <c r="EL554" s="29">
        <f>(EK554*100)/101.28</f>
        <v>0</v>
      </c>
      <c r="EM554" s="116">
        <f t="shared" si="159"/>
        <v>0</v>
      </c>
      <c r="EQ554"/>
    </row>
    <row r="555" spans="1:147" x14ac:dyDescent="0.25">
      <c r="A555" s="59"/>
      <c r="B555" s="4"/>
      <c r="C555" s="5"/>
      <c r="D555" s="5"/>
      <c r="E555" s="6"/>
      <c r="F555" s="6"/>
      <c r="G555" s="5"/>
      <c r="H555" s="99"/>
      <c r="I555" s="107"/>
      <c r="J555" s="7"/>
      <c r="K555" s="74"/>
      <c r="L555" s="7"/>
      <c r="M555" s="74"/>
      <c r="N555" s="74"/>
      <c r="O555" s="7"/>
      <c r="P555" s="74"/>
      <c r="Q555" s="7"/>
      <c r="R555" s="74"/>
      <c r="S555" s="74"/>
      <c r="T555" s="7"/>
      <c r="U555" s="7"/>
      <c r="V555" s="74"/>
      <c r="W555" s="7"/>
      <c r="X555" s="74"/>
      <c r="Y555" s="227"/>
      <c r="Z555" s="228"/>
      <c r="AA555" s="74"/>
      <c r="AB555" s="74"/>
      <c r="AC555" s="74"/>
      <c r="AD555" s="74"/>
      <c r="AE555" s="7"/>
      <c r="AF555" s="74"/>
      <c r="AG555" s="74"/>
      <c r="AH555" s="7"/>
      <c r="AI555" s="7"/>
      <c r="AJ555" s="7"/>
      <c r="AK555" s="7"/>
      <c r="AL555" s="7"/>
      <c r="AM555" s="7"/>
      <c r="AN555" s="7"/>
      <c r="AO555" s="74"/>
      <c r="AP555" s="7"/>
      <c r="AQ555" s="74"/>
      <c r="AR555" s="101"/>
      <c r="AS555" s="7"/>
      <c r="AT555" s="101"/>
      <c r="AU555" s="7"/>
      <c r="AV555" s="101"/>
      <c r="AW555" s="7"/>
      <c r="AX555" s="8"/>
      <c r="AY555" s="36"/>
      <c r="AZ555" s="74"/>
      <c r="BA555" s="74"/>
      <c r="BB555" s="74"/>
      <c r="BC555" s="74"/>
      <c r="BD555" s="74"/>
      <c r="BE555" s="74"/>
      <c r="BF555" s="74"/>
      <c r="BG555" s="74"/>
      <c r="BH555" s="74"/>
      <c r="BI555" s="74"/>
      <c r="BJ555" s="74"/>
      <c r="BK555" s="7"/>
      <c r="BL555" s="74"/>
      <c r="BM555" s="7"/>
      <c r="BN555" s="74"/>
      <c r="BO555" s="74"/>
      <c r="BP555" s="74"/>
      <c r="BQ555" s="74"/>
      <c r="BR555" s="74"/>
      <c r="BS555" s="7"/>
      <c r="BT555" s="7"/>
      <c r="BU555" s="74"/>
      <c r="BV555" s="74"/>
      <c r="BW555" s="74"/>
      <c r="BX555" s="74"/>
      <c r="BY555" s="74"/>
      <c r="BZ555" s="74"/>
      <c r="CA555" s="74"/>
      <c r="CB555" s="74"/>
      <c r="CC555" s="74"/>
      <c r="CD555" s="74"/>
      <c r="CE555" s="74"/>
      <c r="CF555" s="74"/>
      <c r="CG555" s="74"/>
      <c r="CH555" s="74"/>
      <c r="CI555" s="74"/>
      <c r="CJ555" s="74"/>
      <c r="CK555" s="101"/>
      <c r="CL555" s="74"/>
      <c r="CM555" s="74"/>
      <c r="CN555" s="74"/>
      <c r="CO555" s="101"/>
      <c r="CP555" s="74"/>
      <c r="CQ555" s="74"/>
      <c r="CR555" s="74"/>
      <c r="CS555" s="74"/>
      <c r="CT555" s="74"/>
      <c r="CU555" s="74"/>
      <c r="CV555" s="74"/>
      <c r="CW555" s="74"/>
      <c r="CX555" s="74"/>
      <c r="CY555" s="74"/>
      <c r="CZ555" s="74"/>
      <c r="DA555" s="74"/>
      <c r="DB555" s="74"/>
      <c r="DC555" s="74"/>
      <c r="DD555" s="74"/>
      <c r="DE555" s="74"/>
      <c r="DF555" s="74"/>
      <c r="DG555" s="74"/>
      <c r="DH555" s="74"/>
      <c r="DI555" s="74"/>
      <c r="DJ555" s="74"/>
      <c r="DK555" s="74"/>
      <c r="DL555" s="74"/>
      <c r="DM555" s="74"/>
      <c r="DN555" s="74"/>
      <c r="DO555" s="74"/>
      <c r="DP555" s="74"/>
      <c r="DQ555" s="74"/>
      <c r="DR555" s="74"/>
      <c r="DS555" s="74"/>
      <c r="DT555" s="74"/>
      <c r="DU555" s="74"/>
      <c r="DV555" s="74"/>
      <c r="DW555" s="74"/>
      <c r="DX555" s="74"/>
      <c r="DY555" s="74"/>
      <c r="DZ555" s="8">
        <f t="shared" si="151"/>
        <v>0</v>
      </c>
      <c r="EA555" s="3">
        <f t="shared" si="152"/>
        <v>0</v>
      </c>
      <c r="EB555" s="2">
        <f t="shared" si="153"/>
        <v>0</v>
      </c>
      <c r="EC555" s="112">
        <f t="shared" si="161"/>
        <v>0</v>
      </c>
      <c r="ED555" s="29">
        <f t="shared" si="154"/>
        <v>0</v>
      </c>
      <c r="EE555" s="2">
        <f t="shared" si="155"/>
        <v>0</v>
      </c>
      <c r="EF555" s="46">
        <f t="shared" si="156"/>
        <v>0</v>
      </c>
      <c r="EG555" s="46">
        <f t="shared" si="157"/>
        <v>0</v>
      </c>
      <c r="EH555" s="2">
        <f t="shared" si="158"/>
        <v>0</v>
      </c>
      <c r="EI555" s="29">
        <f>IF(COUNT(I555:AD555)&lt;5,DZ555,SUMPRODUCT(LARGE(I555:AD555,{1,2,3,4,5}))/5)</f>
        <v>0</v>
      </c>
      <c r="EJ555" s="29">
        <f>IF(COUNT(I555:BE555)&lt;5,DZ555,SUMPRODUCT(LARGE(I555:BE555,{1,2,3,4,5}))/5)</f>
        <v>0</v>
      </c>
      <c r="EK555" s="29">
        <f t="shared" si="160"/>
        <v>0</v>
      </c>
      <c r="EL555" s="29">
        <f>(EK555*100)/101.28</f>
        <v>0</v>
      </c>
      <c r="EM555" s="116">
        <f t="shared" si="159"/>
        <v>0</v>
      </c>
      <c r="EQ555"/>
    </row>
    <row r="556" spans="1:147" x14ac:dyDescent="0.25">
      <c r="A556" s="59"/>
      <c r="B556" s="32"/>
      <c r="C556" s="5"/>
      <c r="D556" s="6"/>
      <c r="E556" s="6"/>
      <c r="F556" s="6"/>
      <c r="G556" s="5"/>
      <c r="H556" s="99"/>
      <c r="I556" s="107"/>
      <c r="J556" s="7"/>
      <c r="K556" s="74"/>
      <c r="L556" s="7"/>
      <c r="M556" s="74"/>
      <c r="N556" s="74"/>
      <c r="O556" s="7"/>
      <c r="P556" s="74"/>
      <c r="Q556" s="7"/>
      <c r="R556" s="74"/>
      <c r="S556" s="74"/>
      <c r="T556" s="7"/>
      <c r="U556" s="7"/>
      <c r="V556" s="74"/>
      <c r="W556" s="7"/>
      <c r="X556" s="74"/>
      <c r="Y556" s="227"/>
      <c r="Z556" s="228"/>
      <c r="AA556" s="74"/>
      <c r="AB556" s="74"/>
      <c r="AC556" s="74"/>
      <c r="AD556" s="74"/>
      <c r="AE556" s="7"/>
      <c r="AF556" s="74"/>
      <c r="AG556" s="74"/>
      <c r="AH556" s="7"/>
      <c r="AI556" s="7"/>
      <c r="AJ556" s="7"/>
      <c r="AK556" s="7"/>
      <c r="AL556" s="7"/>
      <c r="AM556" s="7"/>
      <c r="AN556" s="7"/>
      <c r="AO556" s="74"/>
      <c r="AP556" s="7"/>
      <c r="AQ556" s="74"/>
      <c r="AR556" s="101"/>
      <c r="AS556" s="7"/>
      <c r="AT556" s="101"/>
      <c r="AU556" s="7"/>
      <c r="AV556" s="101"/>
      <c r="AW556" s="7"/>
      <c r="AX556" s="183"/>
      <c r="AY556" s="107"/>
      <c r="AZ556" s="74"/>
      <c r="BA556" s="74"/>
      <c r="BB556" s="74"/>
      <c r="BC556" s="74"/>
      <c r="BD556" s="74"/>
      <c r="BE556" s="74"/>
      <c r="BF556" s="74"/>
      <c r="BG556" s="74"/>
      <c r="BH556" s="74"/>
      <c r="BI556" s="74"/>
      <c r="BJ556" s="74"/>
      <c r="BK556" s="7"/>
      <c r="BL556" s="74"/>
      <c r="BM556" s="7"/>
      <c r="BN556" s="74"/>
      <c r="BO556" s="74"/>
      <c r="BP556" s="74"/>
      <c r="BQ556" s="74"/>
      <c r="BR556" s="74"/>
      <c r="BS556" s="7"/>
      <c r="BT556" s="7"/>
      <c r="BU556" s="74"/>
      <c r="BV556" s="74"/>
      <c r="BW556" s="74"/>
      <c r="BX556" s="74"/>
      <c r="BY556" s="74"/>
      <c r="BZ556" s="74"/>
      <c r="CA556" s="74"/>
      <c r="CB556" s="74"/>
      <c r="CC556" s="74"/>
      <c r="CD556" s="74"/>
      <c r="CE556" s="74"/>
      <c r="CF556" s="74"/>
      <c r="CG556" s="74"/>
      <c r="CH556" s="74"/>
      <c r="CI556" s="74"/>
      <c r="CJ556" s="74"/>
      <c r="CK556" s="101"/>
      <c r="CL556" s="74"/>
      <c r="CM556" s="74"/>
      <c r="CN556" s="74"/>
      <c r="CO556" s="101"/>
      <c r="CP556" s="74"/>
      <c r="CQ556" s="74"/>
      <c r="CR556" s="74"/>
      <c r="CS556" s="74"/>
      <c r="CT556" s="74"/>
      <c r="CU556" s="74"/>
      <c r="CV556" s="74"/>
      <c r="CW556" s="74"/>
      <c r="CX556" s="74"/>
      <c r="CY556" s="74"/>
      <c r="CZ556" s="74"/>
      <c r="DA556" s="74"/>
      <c r="DB556" s="74"/>
      <c r="DC556" s="74"/>
      <c r="DD556" s="74"/>
      <c r="DE556" s="74"/>
      <c r="DF556" s="74"/>
      <c r="DG556" s="74"/>
      <c r="DH556" s="74"/>
      <c r="DI556" s="74"/>
      <c r="DJ556" s="74"/>
      <c r="DK556" s="74"/>
      <c r="DL556" s="74"/>
      <c r="DM556" s="74"/>
      <c r="DN556" s="74"/>
      <c r="DO556" s="74"/>
      <c r="DP556" s="74"/>
      <c r="DQ556" s="74"/>
      <c r="DR556" s="74"/>
      <c r="DS556" s="74"/>
      <c r="DT556" s="74"/>
      <c r="DU556" s="74"/>
      <c r="DV556" s="74"/>
      <c r="DW556" s="74"/>
      <c r="DX556" s="74"/>
      <c r="DY556" s="74"/>
      <c r="DZ556" s="8">
        <f t="shared" si="151"/>
        <v>0</v>
      </c>
      <c r="EA556" s="3">
        <f t="shared" si="152"/>
        <v>0</v>
      </c>
      <c r="EB556" s="2">
        <f t="shared" si="153"/>
        <v>0</v>
      </c>
      <c r="EC556" s="112">
        <f t="shared" si="161"/>
        <v>0</v>
      </c>
      <c r="ED556" s="29">
        <f t="shared" si="154"/>
        <v>0</v>
      </c>
      <c r="EE556" s="2">
        <f t="shared" si="155"/>
        <v>0</v>
      </c>
      <c r="EF556" s="46">
        <f t="shared" si="156"/>
        <v>0</v>
      </c>
      <c r="EG556" s="46">
        <f t="shared" si="157"/>
        <v>0</v>
      </c>
      <c r="EH556" s="29">
        <f t="shared" si="158"/>
        <v>0</v>
      </c>
      <c r="EI556" s="29">
        <f>IF(COUNT(I556:AD556)&lt;5,DZ556,SUMPRODUCT(LARGE(I556:AD556,{1,2,3,4,5}))/5)</f>
        <v>0</v>
      </c>
      <c r="EJ556" s="29">
        <f>IF(COUNT(I556:BE556)&lt;5,DZ556,SUMPRODUCT(LARGE(I556:BE556,{1,2,3,4,5}))/5)</f>
        <v>0</v>
      </c>
      <c r="EK556" s="29">
        <f t="shared" si="160"/>
        <v>0</v>
      </c>
      <c r="EL556" s="29">
        <f>(EK556*100)/101.28</f>
        <v>0</v>
      </c>
      <c r="EM556" s="116">
        <f t="shared" si="159"/>
        <v>0</v>
      </c>
      <c r="EQ556"/>
    </row>
    <row r="557" spans="1:147" x14ac:dyDescent="0.25">
      <c r="A557" s="59"/>
      <c r="B557" s="32"/>
      <c r="C557" s="5"/>
      <c r="D557" s="6"/>
      <c r="E557" s="6"/>
      <c r="F557" s="6"/>
      <c r="G557" s="5"/>
      <c r="H557" s="37"/>
      <c r="I557" s="36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227"/>
      <c r="Z557" s="228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4"/>
      <c r="AP557" s="7"/>
      <c r="AQ557" s="74"/>
      <c r="AR557" s="70"/>
      <c r="AS557" s="7"/>
      <c r="AT557" s="70"/>
      <c r="AU557" s="7"/>
      <c r="AV557" s="70"/>
      <c r="AW557" s="7"/>
      <c r="AX557" s="183"/>
      <c r="AY557" s="10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4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4"/>
      <c r="CG557" s="7"/>
      <c r="CH557" s="7"/>
      <c r="CI557" s="7"/>
      <c r="CJ557" s="7"/>
      <c r="CK557" s="101"/>
      <c r="CL557" s="74"/>
      <c r="CM557" s="74"/>
      <c r="CN557" s="74"/>
      <c r="CO557" s="70"/>
      <c r="CP557" s="74"/>
      <c r="CQ557" s="7"/>
      <c r="CR557" s="74"/>
      <c r="CS557" s="74"/>
      <c r="CT557" s="74"/>
      <c r="CU557" s="74"/>
      <c r="CV557" s="7"/>
      <c r="CW557" s="7"/>
      <c r="CX557" s="7"/>
      <c r="CY557" s="7"/>
      <c r="CZ557" s="7"/>
      <c r="DA557" s="7"/>
      <c r="DB557" s="7"/>
      <c r="DC557" s="7"/>
      <c r="DD557" s="7"/>
      <c r="DE557" s="74"/>
      <c r="DF557" s="74"/>
      <c r="DG557" s="74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8">
        <f t="shared" si="151"/>
        <v>0</v>
      </c>
      <c r="EA557" s="3">
        <f t="shared" si="152"/>
        <v>0</v>
      </c>
      <c r="EB557" s="2">
        <f t="shared" si="153"/>
        <v>0</v>
      </c>
      <c r="EC557" s="112">
        <f t="shared" si="161"/>
        <v>0</v>
      </c>
      <c r="ED557" s="29">
        <f t="shared" si="154"/>
        <v>0</v>
      </c>
      <c r="EE557" s="2">
        <f t="shared" si="155"/>
        <v>0</v>
      </c>
      <c r="EF557" s="46">
        <f t="shared" si="156"/>
        <v>0</v>
      </c>
      <c r="EG557" s="46">
        <f t="shared" si="157"/>
        <v>0</v>
      </c>
      <c r="EH557" s="2">
        <f t="shared" si="158"/>
        <v>0</v>
      </c>
      <c r="EI557" s="29">
        <f>IF(COUNT(I557:AD557)&lt;5,DZ557,SUMPRODUCT(LARGE(I557:AD557,{1,2,3,4,5}))/5)</f>
        <v>0</v>
      </c>
      <c r="EJ557" s="29">
        <f>IF(COUNT(I557:BE557)&lt;5,DZ557,SUMPRODUCT(LARGE(I557:BE557,{1,2,3,4,5}))/5)</f>
        <v>0</v>
      </c>
      <c r="EK557" s="29">
        <f t="shared" si="160"/>
        <v>0</v>
      </c>
      <c r="EL557" s="29">
        <f>(EK557*100)/101.59</f>
        <v>0</v>
      </c>
      <c r="EM557" s="116">
        <f t="shared" si="159"/>
        <v>0</v>
      </c>
      <c r="EQ557"/>
    </row>
    <row r="558" spans="1:147" x14ac:dyDescent="0.25">
      <c r="A558" s="59"/>
      <c r="B558" s="4"/>
      <c r="C558" s="5"/>
      <c r="D558" s="5"/>
      <c r="E558" s="6"/>
      <c r="F558" s="6"/>
      <c r="G558" s="5"/>
      <c r="H558" s="99"/>
      <c r="I558" s="107"/>
      <c r="J558" s="7"/>
      <c r="K558" s="74"/>
      <c r="L558" s="7"/>
      <c r="M558" s="74"/>
      <c r="N558" s="74"/>
      <c r="O558" s="7"/>
      <c r="P558" s="74"/>
      <c r="Q558" s="7"/>
      <c r="R558" s="74"/>
      <c r="S558" s="74"/>
      <c r="T558" s="7"/>
      <c r="U558" s="7"/>
      <c r="V558" s="74"/>
      <c r="W558" s="7"/>
      <c r="X558" s="74"/>
      <c r="Y558" s="227"/>
      <c r="Z558" s="228"/>
      <c r="AA558" s="74"/>
      <c r="AB558" s="74"/>
      <c r="AC558" s="74"/>
      <c r="AD558" s="74"/>
      <c r="AE558" s="7"/>
      <c r="AF558" s="74"/>
      <c r="AG558" s="74"/>
      <c r="AH558" s="7"/>
      <c r="AI558" s="7"/>
      <c r="AJ558" s="7"/>
      <c r="AK558" s="7"/>
      <c r="AL558" s="7"/>
      <c r="AM558" s="7"/>
      <c r="AN558" s="7"/>
      <c r="AO558" s="74"/>
      <c r="AP558" s="7"/>
      <c r="AQ558" s="74"/>
      <c r="AR558" s="101"/>
      <c r="AS558" s="7"/>
      <c r="AT558" s="101"/>
      <c r="AU558" s="7"/>
      <c r="AV558" s="101"/>
      <c r="AW558" s="7"/>
      <c r="AX558" s="183"/>
      <c r="AY558" s="107"/>
      <c r="AZ558" s="74"/>
      <c r="BA558" s="74"/>
      <c r="BB558" s="74"/>
      <c r="BC558" s="74"/>
      <c r="BD558" s="74"/>
      <c r="BE558" s="74"/>
      <c r="BF558" s="74"/>
      <c r="BG558" s="74"/>
      <c r="BH558" s="74"/>
      <c r="BI558" s="74"/>
      <c r="BJ558" s="74"/>
      <c r="BK558" s="7"/>
      <c r="BL558" s="74"/>
      <c r="BM558" s="7"/>
      <c r="BN558" s="74"/>
      <c r="BO558" s="74"/>
      <c r="BP558" s="74"/>
      <c r="BQ558" s="74"/>
      <c r="BR558" s="74"/>
      <c r="BS558" s="7"/>
      <c r="BT558" s="7"/>
      <c r="BU558" s="74"/>
      <c r="BV558" s="74"/>
      <c r="BW558" s="74"/>
      <c r="BX558" s="74"/>
      <c r="BY558" s="74"/>
      <c r="BZ558" s="74"/>
      <c r="CA558" s="74"/>
      <c r="CB558" s="74"/>
      <c r="CC558" s="74"/>
      <c r="CD558" s="74"/>
      <c r="CE558" s="74"/>
      <c r="CF558" s="74"/>
      <c r="CG558" s="74"/>
      <c r="CH558" s="74"/>
      <c r="CI558" s="74"/>
      <c r="CJ558" s="74"/>
      <c r="CK558" s="101"/>
      <c r="CL558" s="74"/>
      <c r="CM558" s="74"/>
      <c r="CN558" s="74"/>
      <c r="CO558" s="101"/>
      <c r="CP558" s="74"/>
      <c r="CQ558" s="74"/>
      <c r="CR558" s="74"/>
      <c r="CS558" s="74"/>
      <c r="CT558" s="74"/>
      <c r="CU558" s="74"/>
      <c r="CV558" s="74"/>
      <c r="CW558" s="74"/>
      <c r="CX558" s="74"/>
      <c r="CY558" s="74"/>
      <c r="CZ558" s="74"/>
      <c r="DA558" s="74"/>
      <c r="DB558" s="74"/>
      <c r="DC558" s="74"/>
      <c r="DD558" s="74"/>
      <c r="DE558" s="74"/>
      <c r="DF558" s="74"/>
      <c r="DG558" s="74"/>
      <c r="DH558" s="74"/>
      <c r="DI558" s="74"/>
      <c r="DJ558" s="74"/>
      <c r="DK558" s="74"/>
      <c r="DL558" s="74"/>
      <c r="DM558" s="74"/>
      <c r="DN558" s="74"/>
      <c r="DO558" s="74"/>
      <c r="DP558" s="74"/>
      <c r="DQ558" s="74"/>
      <c r="DR558" s="74"/>
      <c r="DS558" s="74"/>
      <c r="DT558" s="74"/>
      <c r="DU558" s="74"/>
      <c r="DV558" s="74"/>
      <c r="DW558" s="74"/>
      <c r="DX558" s="74"/>
      <c r="DY558" s="74"/>
      <c r="DZ558" s="8">
        <f t="shared" si="151"/>
        <v>0</v>
      </c>
      <c r="EA558" s="3">
        <f t="shared" si="152"/>
        <v>0</v>
      </c>
      <c r="EB558" s="2">
        <f t="shared" si="153"/>
        <v>0</v>
      </c>
      <c r="EC558" s="112">
        <f t="shared" si="161"/>
        <v>0</v>
      </c>
      <c r="ED558" s="29">
        <f t="shared" si="154"/>
        <v>0</v>
      </c>
      <c r="EE558" s="2">
        <f t="shared" si="155"/>
        <v>0</v>
      </c>
      <c r="EF558" s="46">
        <f t="shared" si="156"/>
        <v>0</v>
      </c>
      <c r="EG558" s="46">
        <f t="shared" si="157"/>
        <v>0</v>
      </c>
      <c r="EH558" s="2">
        <f t="shared" si="158"/>
        <v>0</v>
      </c>
      <c r="EI558" s="29">
        <f>IF(COUNT(I558:AD558)&lt;5,DZ558,SUMPRODUCT(LARGE(I558:AD558,{1,2,3,4,5}))/5)</f>
        <v>0</v>
      </c>
      <c r="EJ558" s="29">
        <f>IF(COUNT(I558:BE558)&lt;5,DZ558,SUMPRODUCT(LARGE(I558:BE558,{1,2,3,4,5}))/5)</f>
        <v>0</v>
      </c>
      <c r="EK558" s="29">
        <f t="shared" si="160"/>
        <v>0</v>
      </c>
      <c r="EL558" s="29">
        <f t="shared" ref="EL558:EL570" si="163">(EK558*100)/101.28</f>
        <v>0</v>
      </c>
      <c r="EM558" s="116">
        <f t="shared" si="159"/>
        <v>0</v>
      </c>
      <c r="EQ558"/>
    </row>
    <row r="559" spans="1:147" x14ac:dyDescent="0.25">
      <c r="A559" s="59"/>
      <c r="B559" s="32"/>
      <c r="C559" s="5"/>
      <c r="D559" s="6"/>
      <c r="E559" s="6"/>
      <c r="F559" s="6"/>
      <c r="G559" s="5"/>
      <c r="H559" s="37"/>
      <c r="I559" s="107"/>
      <c r="J559" s="7"/>
      <c r="K559" s="74"/>
      <c r="L559" s="7"/>
      <c r="M559" s="74"/>
      <c r="N559" s="74"/>
      <c r="O559" s="7"/>
      <c r="P559" s="74"/>
      <c r="Q559" s="7"/>
      <c r="R559" s="74"/>
      <c r="S559" s="74"/>
      <c r="T559" s="7"/>
      <c r="U559" s="7"/>
      <c r="V559" s="74"/>
      <c r="W559" s="7"/>
      <c r="X559" s="74"/>
      <c r="Y559" s="227"/>
      <c r="Z559" s="228"/>
      <c r="AA559" s="74"/>
      <c r="AB559" s="74"/>
      <c r="AC559" s="74"/>
      <c r="AD559" s="74"/>
      <c r="AE559" s="7"/>
      <c r="AF559" s="74"/>
      <c r="AG559" s="74"/>
      <c r="AH559" s="7"/>
      <c r="AI559" s="7"/>
      <c r="AJ559" s="7"/>
      <c r="AK559" s="7"/>
      <c r="AL559" s="7"/>
      <c r="AM559" s="7"/>
      <c r="AN559" s="7"/>
      <c r="AO559" s="74"/>
      <c r="AP559" s="7"/>
      <c r="AQ559" s="74"/>
      <c r="AR559" s="101"/>
      <c r="AS559" s="7"/>
      <c r="AT559" s="101"/>
      <c r="AU559" s="7"/>
      <c r="AV559" s="101"/>
      <c r="AW559" s="7"/>
      <c r="AX559" s="183"/>
      <c r="AY559" s="107"/>
      <c r="AZ559" s="74"/>
      <c r="BA559" s="74"/>
      <c r="BB559" s="74"/>
      <c r="BC559" s="74"/>
      <c r="BD559" s="74"/>
      <c r="BE559" s="74"/>
      <c r="BF559" s="74"/>
      <c r="BG559" s="74"/>
      <c r="BH559" s="74"/>
      <c r="BI559" s="74"/>
      <c r="BJ559" s="74"/>
      <c r="BK559" s="7"/>
      <c r="BL559" s="74"/>
      <c r="BM559" s="7"/>
      <c r="BN559" s="74"/>
      <c r="BO559" s="74"/>
      <c r="BP559" s="74"/>
      <c r="BQ559" s="74"/>
      <c r="BR559" s="74"/>
      <c r="BS559" s="7"/>
      <c r="BT559" s="7"/>
      <c r="BU559" s="74"/>
      <c r="BV559" s="74"/>
      <c r="BW559" s="74"/>
      <c r="BX559" s="74"/>
      <c r="BY559" s="74"/>
      <c r="BZ559" s="74"/>
      <c r="CA559" s="74"/>
      <c r="CB559" s="74"/>
      <c r="CC559" s="74"/>
      <c r="CD559" s="74"/>
      <c r="CE559" s="74"/>
      <c r="CF559" s="74"/>
      <c r="CG559" s="74"/>
      <c r="CH559" s="74"/>
      <c r="CI559" s="74"/>
      <c r="CJ559" s="74"/>
      <c r="CK559" s="101"/>
      <c r="CL559" s="74"/>
      <c r="CM559" s="74"/>
      <c r="CN559" s="74"/>
      <c r="CO559" s="101"/>
      <c r="CP559" s="74"/>
      <c r="CQ559" s="74"/>
      <c r="CR559" s="74"/>
      <c r="CS559" s="74"/>
      <c r="CT559" s="74"/>
      <c r="CU559" s="74"/>
      <c r="CV559" s="74"/>
      <c r="CW559" s="74"/>
      <c r="CX559" s="74"/>
      <c r="CY559" s="74"/>
      <c r="CZ559" s="74"/>
      <c r="DA559" s="74"/>
      <c r="DB559" s="74"/>
      <c r="DC559" s="74"/>
      <c r="DD559" s="74"/>
      <c r="DE559" s="74"/>
      <c r="DF559" s="74"/>
      <c r="DG559" s="74"/>
      <c r="DH559" s="74"/>
      <c r="DI559" s="74"/>
      <c r="DJ559" s="74"/>
      <c r="DK559" s="74"/>
      <c r="DL559" s="74"/>
      <c r="DM559" s="74"/>
      <c r="DN559" s="74"/>
      <c r="DO559" s="74"/>
      <c r="DP559" s="74"/>
      <c r="DQ559" s="74"/>
      <c r="DR559" s="74"/>
      <c r="DS559" s="74"/>
      <c r="DT559" s="74"/>
      <c r="DU559" s="74"/>
      <c r="DV559" s="74"/>
      <c r="DW559" s="74"/>
      <c r="DX559" s="74"/>
      <c r="DY559" s="74"/>
      <c r="DZ559" s="8">
        <f t="shared" si="151"/>
        <v>0</v>
      </c>
      <c r="EA559" s="3">
        <f t="shared" si="152"/>
        <v>0</v>
      </c>
      <c r="EB559" s="2">
        <f t="shared" si="153"/>
        <v>0</v>
      </c>
      <c r="EC559" s="112">
        <f t="shared" si="161"/>
        <v>0</v>
      </c>
      <c r="ED559" s="29">
        <f t="shared" si="154"/>
        <v>0</v>
      </c>
      <c r="EE559" s="2">
        <f t="shared" si="155"/>
        <v>0</v>
      </c>
      <c r="EF559" s="46">
        <f t="shared" si="156"/>
        <v>0</v>
      </c>
      <c r="EG559" s="46">
        <f t="shared" si="157"/>
        <v>0</v>
      </c>
      <c r="EH559" s="2">
        <f t="shared" si="158"/>
        <v>0</v>
      </c>
      <c r="EI559" s="29">
        <f>IF(COUNT(I559:AD559)&lt;5,DZ559,SUMPRODUCT(LARGE(I559:AD559,{1,2,3,4,5}))/5)</f>
        <v>0</v>
      </c>
      <c r="EJ559" s="29">
        <f>IF(COUNT(I559:BE559)&lt;5,DZ559,SUMPRODUCT(LARGE(I559:BE559,{1,2,3,4,5}))/5)</f>
        <v>0</v>
      </c>
      <c r="EK559" s="29">
        <f t="shared" si="160"/>
        <v>0</v>
      </c>
      <c r="EL559" s="29">
        <f t="shared" si="163"/>
        <v>0</v>
      </c>
      <c r="EM559" s="116">
        <f t="shared" si="159"/>
        <v>0</v>
      </c>
      <c r="EQ559"/>
    </row>
    <row r="560" spans="1:147" x14ac:dyDescent="0.25">
      <c r="A560" s="59"/>
      <c r="B560" s="32"/>
      <c r="C560" s="5"/>
      <c r="D560" s="6"/>
      <c r="E560" s="6"/>
      <c r="F560" s="6"/>
      <c r="G560" s="5"/>
      <c r="H560" s="37"/>
      <c r="I560" s="107"/>
      <c r="J560" s="7"/>
      <c r="K560" s="74"/>
      <c r="L560" s="7"/>
      <c r="M560" s="74"/>
      <c r="N560" s="74"/>
      <c r="O560" s="7"/>
      <c r="P560" s="74"/>
      <c r="Q560" s="7"/>
      <c r="R560" s="74"/>
      <c r="S560" s="74"/>
      <c r="T560" s="7"/>
      <c r="U560" s="7"/>
      <c r="V560" s="74"/>
      <c r="W560" s="7"/>
      <c r="X560" s="74"/>
      <c r="Y560" s="227"/>
      <c r="Z560" s="228"/>
      <c r="AA560" s="74"/>
      <c r="AB560" s="74"/>
      <c r="AC560" s="74"/>
      <c r="AD560" s="74"/>
      <c r="AE560" s="7"/>
      <c r="AF560" s="74"/>
      <c r="AG560" s="74"/>
      <c r="AH560" s="7"/>
      <c r="AI560" s="7"/>
      <c r="AJ560" s="7"/>
      <c r="AK560" s="7"/>
      <c r="AL560" s="7"/>
      <c r="AM560" s="7"/>
      <c r="AN560" s="7"/>
      <c r="AO560" s="74"/>
      <c r="AP560" s="7"/>
      <c r="AQ560" s="74"/>
      <c r="AR560" s="101"/>
      <c r="AS560" s="7"/>
      <c r="AT560" s="101"/>
      <c r="AU560" s="7"/>
      <c r="AV560" s="101"/>
      <c r="AW560" s="7"/>
      <c r="AX560" s="8"/>
      <c r="AY560" s="36"/>
      <c r="AZ560" s="74"/>
      <c r="BA560" s="74"/>
      <c r="BB560" s="74"/>
      <c r="BC560" s="74"/>
      <c r="BD560" s="74"/>
      <c r="BE560" s="74"/>
      <c r="BF560" s="74"/>
      <c r="BG560" s="74"/>
      <c r="BH560" s="74"/>
      <c r="BI560" s="74"/>
      <c r="BJ560" s="74"/>
      <c r="BK560" s="7"/>
      <c r="BL560" s="74"/>
      <c r="BM560" s="7"/>
      <c r="BN560" s="74"/>
      <c r="BO560" s="74"/>
      <c r="BP560" s="74"/>
      <c r="BQ560" s="74"/>
      <c r="BR560" s="74"/>
      <c r="BS560" s="7"/>
      <c r="BT560" s="7"/>
      <c r="BU560" s="74"/>
      <c r="BV560" s="74"/>
      <c r="BW560" s="74"/>
      <c r="BX560" s="74"/>
      <c r="BY560" s="74"/>
      <c r="BZ560" s="74"/>
      <c r="CA560" s="74"/>
      <c r="CB560" s="74"/>
      <c r="CC560" s="74"/>
      <c r="CD560" s="74"/>
      <c r="CE560" s="7"/>
      <c r="CF560" s="74"/>
      <c r="CG560" s="74"/>
      <c r="CH560" s="74"/>
      <c r="CI560" s="74"/>
      <c r="CJ560" s="74"/>
      <c r="CK560" s="101"/>
      <c r="CL560" s="74"/>
      <c r="CM560" s="74"/>
      <c r="CN560" s="74"/>
      <c r="CO560" s="101"/>
      <c r="CP560" s="74"/>
      <c r="CQ560" s="74"/>
      <c r="CR560" s="74"/>
      <c r="CS560" s="74"/>
      <c r="CT560" s="74"/>
      <c r="CU560" s="74"/>
      <c r="CV560" s="74"/>
      <c r="CW560" s="74"/>
      <c r="CX560" s="74"/>
      <c r="CY560" s="74"/>
      <c r="CZ560" s="74"/>
      <c r="DA560" s="74"/>
      <c r="DB560" s="74"/>
      <c r="DC560" s="74"/>
      <c r="DD560" s="74"/>
      <c r="DE560" s="74"/>
      <c r="DF560" s="74"/>
      <c r="DG560" s="74"/>
      <c r="DH560" s="74"/>
      <c r="DI560" s="74"/>
      <c r="DJ560" s="74"/>
      <c r="DK560" s="74"/>
      <c r="DL560" s="74"/>
      <c r="DM560" s="74"/>
      <c r="DN560" s="74"/>
      <c r="DO560" s="74"/>
      <c r="DP560" s="74"/>
      <c r="DQ560" s="74"/>
      <c r="DR560" s="74"/>
      <c r="DS560" s="74"/>
      <c r="DT560" s="74"/>
      <c r="DU560" s="74"/>
      <c r="DV560" s="74"/>
      <c r="DW560" s="74"/>
      <c r="DX560" s="74"/>
      <c r="DY560" s="74"/>
      <c r="DZ560" s="8">
        <f t="shared" si="151"/>
        <v>0</v>
      </c>
      <c r="EA560" s="3">
        <f t="shared" si="152"/>
        <v>0</v>
      </c>
      <c r="EB560" s="2">
        <f t="shared" si="153"/>
        <v>0</v>
      </c>
      <c r="EC560" s="112">
        <f t="shared" si="161"/>
        <v>0</v>
      </c>
      <c r="ED560" s="29">
        <f t="shared" si="154"/>
        <v>0</v>
      </c>
      <c r="EE560" s="2">
        <f t="shared" si="155"/>
        <v>0</v>
      </c>
      <c r="EF560" s="46">
        <f t="shared" si="156"/>
        <v>0</v>
      </c>
      <c r="EG560" s="46">
        <f t="shared" si="157"/>
        <v>0</v>
      </c>
      <c r="EH560" s="29">
        <f t="shared" si="158"/>
        <v>0</v>
      </c>
      <c r="EI560" s="29">
        <f>IF(COUNT(I560:AD560)&lt;5,DZ560,SUMPRODUCT(LARGE(I560:AD560,{1,2,3,4,5}))/5)</f>
        <v>0</v>
      </c>
      <c r="EJ560" s="29">
        <f>IF(COUNT(I560:BE560)&lt;5,DZ560,SUMPRODUCT(LARGE(I560:BE560,{1,2,3,4,5}))/5)</f>
        <v>0</v>
      </c>
      <c r="EK560" s="29">
        <f t="shared" si="160"/>
        <v>0</v>
      </c>
      <c r="EL560" s="29">
        <f t="shared" si="163"/>
        <v>0</v>
      </c>
      <c r="EM560" s="116">
        <f t="shared" si="159"/>
        <v>0</v>
      </c>
      <c r="EQ560"/>
    </row>
    <row r="561" spans="1:147" x14ac:dyDescent="0.25">
      <c r="A561" s="59"/>
      <c r="B561" s="32"/>
      <c r="C561" s="5"/>
      <c r="D561" s="6"/>
      <c r="E561" s="6"/>
      <c r="F561" s="6"/>
      <c r="G561" s="5"/>
      <c r="H561" s="37"/>
      <c r="I561" s="107"/>
      <c r="J561" s="7"/>
      <c r="K561" s="74"/>
      <c r="L561" s="7"/>
      <c r="M561" s="74"/>
      <c r="N561" s="74"/>
      <c r="O561" s="7"/>
      <c r="P561" s="74"/>
      <c r="Q561" s="7"/>
      <c r="R561" s="74"/>
      <c r="S561" s="74"/>
      <c r="T561" s="7"/>
      <c r="U561" s="7"/>
      <c r="V561" s="74"/>
      <c r="W561" s="74"/>
      <c r="X561" s="74"/>
      <c r="Y561" s="227"/>
      <c r="Z561" s="228"/>
      <c r="AA561" s="74"/>
      <c r="AB561" s="74"/>
      <c r="AC561" s="74"/>
      <c r="AD561" s="74"/>
      <c r="AE561" s="7"/>
      <c r="AF561" s="74"/>
      <c r="AG561" s="74"/>
      <c r="AH561" s="7"/>
      <c r="AI561" s="7"/>
      <c r="AJ561" s="7"/>
      <c r="AK561" s="7"/>
      <c r="AL561" s="7"/>
      <c r="AM561" s="7"/>
      <c r="AN561" s="7"/>
      <c r="AO561" s="74"/>
      <c r="AP561" s="7"/>
      <c r="AQ561" s="74"/>
      <c r="AR561" s="101"/>
      <c r="AS561" s="7"/>
      <c r="AT561" s="101"/>
      <c r="AU561" s="7"/>
      <c r="AV561" s="101"/>
      <c r="AW561" s="7"/>
      <c r="AX561" s="183"/>
      <c r="AY561" s="107"/>
      <c r="AZ561" s="74"/>
      <c r="BA561" s="74"/>
      <c r="BB561" s="74"/>
      <c r="BC561" s="74"/>
      <c r="BD561" s="74"/>
      <c r="BE561" s="74"/>
      <c r="BF561" s="74"/>
      <c r="BG561" s="74"/>
      <c r="BH561" s="74"/>
      <c r="BI561" s="74"/>
      <c r="BJ561" s="101"/>
      <c r="BK561" s="7"/>
      <c r="BL561" s="101"/>
      <c r="BM561" s="7"/>
      <c r="BN561" s="74"/>
      <c r="BO561" s="74"/>
      <c r="BP561" s="74"/>
      <c r="BQ561" s="74"/>
      <c r="BR561" s="74"/>
      <c r="BS561" s="7"/>
      <c r="BT561" s="7"/>
      <c r="BU561" s="74"/>
      <c r="BV561" s="74"/>
      <c r="BW561" s="74"/>
      <c r="BX561" s="74"/>
      <c r="BY561" s="74"/>
      <c r="BZ561" s="74"/>
      <c r="CA561" s="74"/>
      <c r="CB561" s="74"/>
      <c r="CC561" s="74"/>
      <c r="CD561" s="74"/>
      <c r="CE561" s="7"/>
      <c r="CF561" s="74"/>
      <c r="CG561" s="74"/>
      <c r="CH561" s="7"/>
      <c r="CI561" s="74"/>
      <c r="CJ561" s="74"/>
      <c r="CK561" s="101"/>
      <c r="CL561" s="74"/>
      <c r="CM561" s="74"/>
      <c r="CN561" s="74"/>
      <c r="CO561" s="101"/>
      <c r="CP561" s="74"/>
      <c r="CQ561" s="74"/>
      <c r="CR561" s="74"/>
      <c r="CS561" s="74"/>
      <c r="CT561" s="74"/>
      <c r="CU561" s="74"/>
      <c r="CV561" s="74"/>
      <c r="CW561" s="74"/>
      <c r="CX561" s="74"/>
      <c r="CY561" s="74"/>
      <c r="CZ561" s="74"/>
      <c r="DA561" s="74"/>
      <c r="DB561" s="74"/>
      <c r="DC561" s="74"/>
      <c r="DD561" s="74"/>
      <c r="DE561" s="74"/>
      <c r="DF561" s="74"/>
      <c r="DG561" s="74"/>
      <c r="DH561" s="74"/>
      <c r="DI561" s="74"/>
      <c r="DJ561" s="74"/>
      <c r="DK561" s="74"/>
      <c r="DL561" s="74"/>
      <c r="DM561" s="74"/>
      <c r="DN561" s="74"/>
      <c r="DO561" s="74"/>
      <c r="DP561" s="74"/>
      <c r="DQ561" s="74"/>
      <c r="DR561" s="74"/>
      <c r="DS561" s="74"/>
      <c r="DT561" s="74"/>
      <c r="DU561" s="74"/>
      <c r="DV561" s="74"/>
      <c r="DW561" s="74"/>
      <c r="DX561" s="74"/>
      <c r="DY561" s="74"/>
      <c r="DZ561" s="8">
        <f t="shared" si="151"/>
        <v>0</v>
      </c>
      <c r="EA561" s="3">
        <f t="shared" si="152"/>
        <v>0</v>
      </c>
      <c r="EB561" s="2">
        <f t="shared" si="153"/>
        <v>0</v>
      </c>
      <c r="EC561" s="112">
        <f t="shared" si="161"/>
        <v>0</v>
      </c>
      <c r="ED561" s="29">
        <f t="shared" si="154"/>
        <v>0</v>
      </c>
      <c r="EE561" s="2">
        <f t="shared" si="155"/>
        <v>0</v>
      </c>
      <c r="EF561" s="46">
        <f t="shared" si="156"/>
        <v>0</v>
      </c>
      <c r="EG561" s="46">
        <f t="shared" si="157"/>
        <v>0</v>
      </c>
      <c r="EH561" s="29">
        <f t="shared" si="158"/>
        <v>0</v>
      </c>
      <c r="EI561" s="29">
        <f>IF(COUNT(I561:AD561)&lt;5,DZ561,SUMPRODUCT(LARGE(I561:AD561,{1,2,3,4,5}))/5)</f>
        <v>0</v>
      </c>
      <c r="EJ561" s="29">
        <f>IF(COUNT(I561:BE561)&lt;5,DZ561,SUMPRODUCT(LARGE(I561:BE561,{1,2,3,4,5}))/5)</f>
        <v>0</v>
      </c>
      <c r="EK561" s="29">
        <f t="shared" si="160"/>
        <v>0</v>
      </c>
      <c r="EL561" s="29">
        <f t="shared" si="163"/>
        <v>0</v>
      </c>
      <c r="EM561" s="116">
        <f t="shared" si="159"/>
        <v>0</v>
      </c>
      <c r="EQ561"/>
    </row>
    <row r="562" spans="1:147" x14ac:dyDescent="0.25">
      <c r="A562" s="59"/>
      <c r="B562" s="32"/>
      <c r="C562" s="5"/>
      <c r="D562" s="6"/>
      <c r="E562" s="6"/>
      <c r="F562" s="6"/>
      <c r="G562" s="5"/>
      <c r="H562" s="37"/>
      <c r="I562" s="107"/>
      <c r="J562" s="7"/>
      <c r="K562" s="74"/>
      <c r="L562" s="7"/>
      <c r="M562" s="74"/>
      <c r="N562" s="74"/>
      <c r="O562" s="7"/>
      <c r="P562" s="74"/>
      <c r="Q562" s="7"/>
      <c r="R562" s="74"/>
      <c r="S562" s="74"/>
      <c r="T562" s="7"/>
      <c r="U562" s="7"/>
      <c r="V562" s="74"/>
      <c r="W562" s="74"/>
      <c r="X562" s="74"/>
      <c r="Y562" s="227"/>
      <c r="Z562" s="228"/>
      <c r="AA562" s="74"/>
      <c r="AB562" s="74"/>
      <c r="AC562" s="74"/>
      <c r="AD562" s="74"/>
      <c r="AE562" s="7"/>
      <c r="AF562" s="74"/>
      <c r="AG562" s="74"/>
      <c r="AH562" s="7"/>
      <c r="AI562" s="7"/>
      <c r="AJ562" s="7"/>
      <c r="AK562" s="7"/>
      <c r="AL562" s="7"/>
      <c r="AM562" s="7"/>
      <c r="AN562" s="7"/>
      <c r="AO562" s="74"/>
      <c r="AP562" s="7"/>
      <c r="AQ562" s="74"/>
      <c r="AR562" s="101"/>
      <c r="AS562" s="7"/>
      <c r="AT562" s="101"/>
      <c r="AU562" s="7"/>
      <c r="AV562" s="101"/>
      <c r="AW562" s="7"/>
      <c r="AX562" s="183"/>
      <c r="AY562" s="107"/>
      <c r="AZ562" s="74"/>
      <c r="BA562" s="74"/>
      <c r="BB562" s="74"/>
      <c r="BC562" s="74"/>
      <c r="BD562" s="74"/>
      <c r="BE562" s="74"/>
      <c r="BF562" s="74"/>
      <c r="BG562" s="74"/>
      <c r="BH562" s="74"/>
      <c r="BI562" s="74"/>
      <c r="BJ562" s="101"/>
      <c r="BK562" s="7"/>
      <c r="BL562" s="101"/>
      <c r="BM562" s="7"/>
      <c r="BN562" s="74"/>
      <c r="BO562" s="74"/>
      <c r="BP562" s="74"/>
      <c r="BQ562" s="74"/>
      <c r="BR562" s="74"/>
      <c r="BS562" s="7"/>
      <c r="BT562" s="7"/>
      <c r="BU562" s="74"/>
      <c r="BV562" s="74"/>
      <c r="BW562" s="74"/>
      <c r="BX562" s="74"/>
      <c r="BY562" s="74"/>
      <c r="BZ562" s="74"/>
      <c r="CA562" s="74"/>
      <c r="CB562" s="74"/>
      <c r="CC562" s="74"/>
      <c r="CD562" s="74"/>
      <c r="CE562" s="7"/>
      <c r="CF562" s="74"/>
      <c r="CG562" s="74"/>
      <c r="CH562" s="7"/>
      <c r="CI562" s="74"/>
      <c r="CJ562" s="74"/>
      <c r="CK562" s="101"/>
      <c r="CL562" s="74"/>
      <c r="CM562" s="74"/>
      <c r="CN562" s="74"/>
      <c r="CO562" s="101"/>
      <c r="CP562" s="74"/>
      <c r="CQ562" s="74"/>
      <c r="CR562" s="74"/>
      <c r="CS562" s="74"/>
      <c r="CT562" s="74"/>
      <c r="CU562" s="74"/>
      <c r="CV562" s="74"/>
      <c r="CW562" s="74"/>
      <c r="CX562" s="74"/>
      <c r="CY562" s="74"/>
      <c r="CZ562" s="74"/>
      <c r="DA562" s="74"/>
      <c r="DB562" s="74"/>
      <c r="DC562" s="74"/>
      <c r="DD562" s="74"/>
      <c r="DE562" s="74"/>
      <c r="DF562" s="74"/>
      <c r="DG562" s="74"/>
      <c r="DH562" s="74"/>
      <c r="DI562" s="74"/>
      <c r="DJ562" s="74"/>
      <c r="DK562" s="74"/>
      <c r="DL562" s="74"/>
      <c r="DM562" s="74"/>
      <c r="DN562" s="74"/>
      <c r="DO562" s="74"/>
      <c r="DP562" s="74"/>
      <c r="DQ562" s="74"/>
      <c r="DR562" s="74"/>
      <c r="DS562" s="74"/>
      <c r="DT562" s="74"/>
      <c r="DU562" s="74"/>
      <c r="DV562" s="74"/>
      <c r="DW562" s="74"/>
      <c r="DX562" s="74"/>
      <c r="DY562" s="74"/>
      <c r="DZ562" s="8">
        <f t="shared" si="151"/>
        <v>0</v>
      </c>
      <c r="EA562" s="3">
        <f t="shared" si="152"/>
        <v>0</v>
      </c>
      <c r="EB562" s="2">
        <f t="shared" si="153"/>
        <v>0</v>
      </c>
      <c r="EC562" s="112">
        <f t="shared" si="161"/>
        <v>0</v>
      </c>
      <c r="ED562" s="29">
        <f t="shared" si="154"/>
        <v>0</v>
      </c>
      <c r="EE562" s="2">
        <f t="shared" si="155"/>
        <v>0</v>
      </c>
      <c r="EF562" s="46">
        <f t="shared" si="156"/>
        <v>0</v>
      </c>
      <c r="EG562" s="46">
        <f t="shared" si="157"/>
        <v>0</v>
      </c>
      <c r="EH562" s="2">
        <f t="shared" si="158"/>
        <v>0</v>
      </c>
      <c r="EI562" s="29">
        <f>IF(COUNT(I562:AD562)&lt;5,DZ562,SUMPRODUCT(LARGE(I562:AD562,{1,2,3,4,5}))/5)</f>
        <v>0</v>
      </c>
      <c r="EJ562" s="29">
        <f>IF(COUNT(I562:BE562)&lt;5,DZ562,SUMPRODUCT(LARGE(I562:BE562,{1,2,3,4,5}))/5)</f>
        <v>0</v>
      </c>
      <c r="EK562" s="29">
        <f t="shared" si="160"/>
        <v>0</v>
      </c>
      <c r="EL562" s="29">
        <f t="shared" si="163"/>
        <v>0</v>
      </c>
      <c r="EM562" s="116">
        <f t="shared" si="159"/>
        <v>0</v>
      </c>
      <c r="EQ562"/>
    </row>
    <row r="563" spans="1:147" x14ac:dyDescent="0.25">
      <c r="A563" s="59"/>
      <c r="B563" s="32"/>
      <c r="C563" s="5"/>
      <c r="D563" s="6"/>
      <c r="E563" s="6"/>
      <c r="F563" s="6"/>
      <c r="G563" s="5"/>
      <c r="H563" s="37"/>
      <c r="I563" s="107"/>
      <c r="J563" s="7"/>
      <c r="K563" s="74"/>
      <c r="L563" s="7"/>
      <c r="M563" s="74"/>
      <c r="N563" s="74"/>
      <c r="O563" s="7"/>
      <c r="P563" s="74"/>
      <c r="Q563" s="7"/>
      <c r="R563" s="74"/>
      <c r="S563" s="74"/>
      <c r="T563" s="7"/>
      <c r="U563" s="7"/>
      <c r="V563" s="74"/>
      <c r="W563" s="74"/>
      <c r="X563" s="74"/>
      <c r="Y563" s="227"/>
      <c r="Z563" s="228"/>
      <c r="AA563" s="74"/>
      <c r="AB563" s="74"/>
      <c r="AC563" s="74"/>
      <c r="AD563" s="74"/>
      <c r="AE563" s="7"/>
      <c r="AF563" s="74"/>
      <c r="AG563" s="74"/>
      <c r="AH563" s="7"/>
      <c r="AI563" s="7"/>
      <c r="AJ563" s="7"/>
      <c r="AK563" s="7"/>
      <c r="AL563" s="7"/>
      <c r="AM563" s="7"/>
      <c r="AN563" s="7"/>
      <c r="AO563" s="74"/>
      <c r="AP563" s="7"/>
      <c r="AQ563" s="74"/>
      <c r="AR563" s="101"/>
      <c r="AS563" s="7"/>
      <c r="AT563" s="101"/>
      <c r="AU563" s="7"/>
      <c r="AV563" s="101"/>
      <c r="AW563" s="7"/>
      <c r="AX563" s="183"/>
      <c r="AY563" s="107"/>
      <c r="AZ563" s="74"/>
      <c r="BA563" s="74"/>
      <c r="BB563" s="74"/>
      <c r="BC563" s="74"/>
      <c r="BD563" s="74"/>
      <c r="BE563" s="74"/>
      <c r="BF563" s="74"/>
      <c r="BG563" s="74"/>
      <c r="BH563" s="74"/>
      <c r="BI563" s="74"/>
      <c r="BJ563" s="74"/>
      <c r="BK563" s="7"/>
      <c r="BL563" s="74"/>
      <c r="BM563" s="7"/>
      <c r="BN563" s="74"/>
      <c r="BO563" s="74"/>
      <c r="BP563" s="74"/>
      <c r="BQ563" s="74"/>
      <c r="BR563" s="74"/>
      <c r="BS563" s="7"/>
      <c r="BT563" s="7"/>
      <c r="BU563" s="74"/>
      <c r="BV563" s="74"/>
      <c r="BW563" s="74"/>
      <c r="BX563" s="74"/>
      <c r="BY563" s="74"/>
      <c r="BZ563" s="74"/>
      <c r="CA563" s="74"/>
      <c r="CB563" s="74"/>
      <c r="CC563" s="74"/>
      <c r="CD563" s="74"/>
      <c r="CE563" s="7"/>
      <c r="CF563" s="74"/>
      <c r="CG563" s="74"/>
      <c r="CH563" s="7"/>
      <c r="CI563" s="74"/>
      <c r="CJ563" s="74"/>
      <c r="CK563" s="101"/>
      <c r="CL563" s="74"/>
      <c r="CM563" s="74"/>
      <c r="CN563" s="74"/>
      <c r="CO563" s="101"/>
      <c r="CP563" s="74"/>
      <c r="CQ563" s="74"/>
      <c r="CR563" s="74"/>
      <c r="CS563" s="74"/>
      <c r="CT563" s="74"/>
      <c r="CU563" s="74"/>
      <c r="CV563" s="74"/>
      <c r="CW563" s="74"/>
      <c r="CX563" s="74"/>
      <c r="CY563" s="74"/>
      <c r="CZ563" s="74"/>
      <c r="DA563" s="74"/>
      <c r="DB563" s="74"/>
      <c r="DC563" s="74"/>
      <c r="DD563" s="74"/>
      <c r="DE563" s="74"/>
      <c r="DF563" s="74"/>
      <c r="DG563" s="74"/>
      <c r="DH563" s="74"/>
      <c r="DI563" s="74"/>
      <c r="DJ563" s="74"/>
      <c r="DK563" s="74"/>
      <c r="DL563" s="74"/>
      <c r="DM563" s="74"/>
      <c r="DN563" s="74"/>
      <c r="DO563" s="74"/>
      <c r="DP563" s="74"/>
      <c r="DQ563" s="74"/>
      <c r="DR563" s="74"/>
      <c r="DS563" s="74"/>
      <c r="DT563" s="74"/>
      <c r="DU563" s="74"/>
      <c r="DV563" s="74"/>
      <c r="DW563" s="74"/>
      <c r="DX563" s="74"/>
      <c r="DY563" s="74"/>
      <c r="DZ563" s="8">
        <f t="shared" si="151"/>
        <v>0</v>
      </c>
      <c r="EA563" s="3">
        <f t="shared" si="152"/>
        <v>0</v>
      </c>
      <c r="EB563" s="2">
        <f t="shared" si="153"/>
        <v>0</v>
      </c>
      <c r="EC563" s="112">
        <f t="shared" si="161"/>
        <v>0</v>
      </c>
      <c r="ED563" s="29">
        <f t="shared" si="154"/>
        <v>0</v>
      </c>
      <c r="EE563" s="2">
        <f t="shared" si="155"/>
        <v>0</v>
      </c>
      <c r="EF563" s="46">
        <f t="shared" si="156"/>
        <v>0</v>
      </c>
      <c r="EG563" s="46">
        <f t="shared" si="157"/>
        <v>0</v>
      </c>
      <c r="EH563" s="29">
        <f t="shared" si="158"/>
        <v>0</v>
      </c>
      <c r="EI563" s="29">
        <f>IF(COUNT(I563:AD563)&lt;5,DZ563,SUMPRODUCT(LARGE(I563:AD563,{1,2,3,4,5}))/5)</f>
        <v>0</v>
      </c>
      <c r="EJ563" s="29">
        <f>IF(COUNT(I563:BE563)&lt;5,DZ563,SUMPRODUCT(LARGE(I563:BE563,{1,2,3,4,5}))/5)</f>
        <v>0</v>
      </c>
      <c r="EK563" s="29">
        <f t="shared" si="160"/>
        <v>0</v>
      </c>
      <c r="EL563" s="29">
        <f t="shared" si="163"/>
        <v>0</v>
      </c>
      <c r="EM563" s="116">
        <f t="shared" si="159"/>
        <v>0</v>
      </c>
      <c r="EQ563"/>
    </row>
    <row r="564" spans="1:147" x14ac:dyDescent="0.25">
      <c r="A564" s="59"/>
      <c r="B564" s="4"/>
      <c r="C564" s="5"/>
      <c r="D564" s="5"/>
      <c r="E564" s="6"/>
      <c r="F564" s="6"/>
      <c r="G564" s="5"/>
      <c r="H564" s="99"/>
      <c r="I564" s="107"/>
      <c r="J564" s="7"/>
      <c r="K564" s="74"/>
      <c r="L564" s="7"/>
      <c r="M564" s="74"/>
      <c r="N564" s="74"/>
      <c r="O564" s="7"/>
      <c r="P564" s="7"/>
      <c r="Q564" s="7"/>
      <c r="R564" s="74"/>
      <c r="S564" s="74"/>
      <c r="T564" s="7"/>
      <c r="U564" s="7"/>
      <c r="V564" s="74"/>
      <c r="W564" s="74"/>
      <c r="X564" s="74"/>
      <c r="Y564" s="227"/>
      <c r="Z564" s="228"/>
      <c r="AA564" s="74"/>
      <c r="AB564" s="74"/>
      <c r="AC564" s="74"/>
      <c r="AD564" s="74"/>
      <c r="AE564" s="7"/>
      <c r="AF564" s="74"/>
      <c r="AG564" s="74"/>
      <c r="AH564" s="7"/>
      <c r="AI564" s="7"/>
      <c r="AJ564" s="7"/>
      <c r="AK564" s="7"/>
      <c r="AL564" s="7"/>
      <c r="AM564" s="7"/>
      <c r="AN564" s="7"/>
      <c r="AO564" s="74"/>
      <c r="AP564" s="7"/>
      <c r="AQ564" s="74"/>
      <c r="AR564" s="101"/>
      <c r="AS564" s="7"/>
      <c r="AT564" s="101"/>
      <c r="AU564" s="7"/>
      <c r="AV564" s="101"/>
      <c r="AW564" s="7"/>
      <c r="AX564" s="183"/>
      <c r="AY564" s="107"/>
      <c r="AZ564" s="74"/>
      <c r="BA564" s="74"/>
      <c r="BB564" s="74"/>
      <c r="BC564" s="74"/>
      <c r="BD564" s="74"/>
      <c r="BE564" s="74"/>
      <c r="BF564" s="74"/>
      <c r="BG564" s="74"/>
      <c r="BH564" s="74"/>
      <c r="BI564" s="74"/>
      <c r="BJ564" s="74"/>
      <c r="BK564" s="7"/>
      <c r="BL564" s="74"/>
      <c r="BM564" s="7"/>
      <c r="BN564" s="74"/>
      <c r="BO564" s="74"/>
      <c r="BP564" s="74"/>
      <c r="BQ564" s="74"/>
      <c r="BR564" s="74"/>
      <c r="BS564" s="7"/>
      <c r="BT564" s="7"/>
      <c r="BU564" s="74"/>
      <c r="BV564" s="74"/>
      <c r="BW564" s="74"/>
      <c r="BX564" s="74"/>
      <c r="BY564" s="74"/>
      <c r="BZ564" s="74"/>
      <c r="CA564" s="74"/>
      <c r="CB564" s="74"/>
      <c r="CC564" s="74"/>
      <c r="CD564" s="74"/>
      <c r="CE564" s="7"/>
      <c r="CF564" s="74"/>
      <c r="CG564" s="74"/>
      <c r="CH564" s="7"/>
      <c r="CI564" s="74"/>
      <c r="CJ564" s="74"/>
      <c r="CK564" s="101"/>
      <c r="CL564" s="74"/>
      <c r="CM564" s="74"/>
      <c r="CN564" s="74"/>
      <c r="CO564" s="101"/>
      <c r="CP564" s="74"/>
      <c r="CQ564" s="74"/>
      <c r="CR564" s="74"/>
      <c r="CS564" s="74"/>
      <c r="CT564" s="74"/>
      <c r="CU564" s="74"/>
      <c r="CV564" s="74"/>
      <c r="CW564" s="74"/>
      <c r="CX564" s="74"/>
      <c r="CY564" s="74"/>
      <c r="CZ564" s="74"/>
      <c r="DA564" s="74"/>
      <c r="DB564" s="74"/>
      <c r="DC564" s="74"/>
      <c r="DD564" s="74"/>
      <c r="DE564" s="74"/>
      <c r="DF564" s="74"/>
      <c r="DG564" s="74"/>
      <c r="DH564" s="74"/>
      <c r="DI564" s="74"/>
      <c r="DJ564" s="74"/>
      <c r="DK564" s="74"/>
      <c r="DL564" s="74"/>
      <c r="DM564" s="74"/>
      <c r="DN564" s="74"/>
      <c r="DO564" s="74"/>
      <c r="DP564" s="74"/>
      <c r="DQ564" s="74"/>
      <c r="DR564" s="74"/>
      <c r="DS564" s="74"/>
      <c r="DT564" s="74"/>
      <c r="DU564" s="74"/>
      <c r="DV564" s="74"/>
      <c r="DW564" s="74"/>
      <c r="DX564" s="74"/>
      <c r="DY564" s="74"/>
      <c r="DZ564" s="8">
        <f t="shared" si="151"/>
        <v>0</v>
      </c>
      <c r="EA564" s="3">
        <f t="shared" si="152"/>
        <v>0</v>
      </c>
      <c r="EB564" s="2">
        <f t="shared" si="153"/>
        <v>0</v>
      </c>
      <c r="EC564" s="112">
        <f t="shared" si="161"/>
        <v>0</v>
      </c>
      <c r="ED564" s="29">
        <f t="shared" si="154"/>
        <v>0</v>
      </c>
      <c r="EE564" s="2">
        <f t="shared" si="155"/>
        <v>0</v>
      </c>
      <c r="EF564" s="46">
        <f t="shared" si="156"/>
        <v>0</v>
      </c>
      <c r="EG564" s="46">
        <f t="shared" si="157"/>
        <v>0</v>
      </c>
      <c r="EH564" s="29">
        <f t="shared" si="158"/>
        <v>0</v>
      </c>
      <c r="EI564" s="29">
        <f>IF(COUNT(I564:AD564)&lt;5,DZ564,SUMPRODUCT(LARGE(I564:AD564,{1,2,3,4,5}))/5)</f>
        <v>0</v>
      </c>
      <c r="EJ564" s="29">
        <f>IF(COUNT(I564:BE564)&lt;5,DZ564,SUMPRODUCT(LARGE(I564:BE564,{1,2,3,4,5}))/5)</f>
        <v>0</v>
      </c>
      <c r="EK564" s="29">
        <f t="shared" si="160"/>
        <v>0</v>
      </c>
      <c r="EL564" s="29">
        <f t="shared" si="163"/>
        <v>0</v>
      </c>
      <c r="EM564" s="116">
        <f t="shared" si="159"/>
        <v>0</v>
      </c>
      <c r="EQ564"/>
    </row>
    <row r="565" spans="1:147" x14ac:dyDescent="0.25">
      <c r="A565" s="59"/>
      <c r="B565" s="32"/>
      <c r="C565" s="5"/>
      <c r="D565" s="6"/>
      <c r="E565" s="6"/>
      <c r="F565" s="6"/>
      <c r="G565" s="5"/>
      <c r="H565" s="37"/>
      <c r="I565" s="107"/>
      <c r="J565" s="7"/>
      <c r="K565" s="74"/>
      <c r="L565" s="7"/>
      <c r="M565" s="74"/>
      <c r="N565" s="74"/>
      <c r="O565" s="7"/>
      <c r="P565" s="7"/>
      <c r="Q565" s="7"/>
      <c r="R565" s="74"/>
      <c r="S565" s="74"/>
      <c r="T565" s="7"/>
      <c r="U565" s="7"/>
      <c r="V565" s="74"/>
      <c r="W565" s="74"/>
      <c r="X565" s="74"/>
      <c r="Y565" s="227"/>
      <c r="Z565" s="228"/>
      <c r="AA565" s="74"/>
      <c r="AB565" s="74"/>
      <c r="AC565" s="74"/>
      <c r="AD565" s="74"/>
      <c r="AE565" s="7"/>
      <c r="AF565" s="74"/>
      <c r="AG565" s="74"/>
      <c r="AH565" s="7"/>
      <c r="AI565" s="7"/>
      <c r="AJ565" s="7"/>
      <c r="AK565" s="7"/>
      <c r="AL565" s="7"/>
      <c r="AM565" s="7"/>
      <c r="AN565" s="7"/>
      <c r="AO565" s="74"/>
      <c r="AP565" s="7"/>
      <c r="AQ565" s="74"/>
      <c r="AR565" s="101"/>
      <c r="AS565" s="7"/>
      <c r="AT565" s="101"/>
      <c r="AU565" s="7"/>
      <c r="AV565" s="101"/>
      <c r="AW565" s="7"/>
      <c r="AX565" s="183"/>
      <c r="AY565" s="107"/>
      <c r="AZ565" s="74"/>
      <c r="BA565" s="74"/>
      <c r="BB565" s="74"/>
      <c r="BC565" s="74"/>
      <c r="BD565" s="74"/>
      <c r="BE565" s="74"/>
      <c r="BF565" s="74"/>
      <c r="BG565" s="74"/>
      <c r="BH565" s="74"/>
      <c r="BI565" s="74"/>
      <c r="BJ565" s="74"/>
      <c r="BK565" s="7"/>
      <c r="BL565" s="74"/>
      <c r="BM565" s="7"/>
      <c r="BN565" s="74"/>
      <c r="BO565" s="74"/>
      <c r="BP565" s="74"/>
      <c r="BQ565" s="74"/>
      <c r="BR565" s="74"/>
      <c r="BS565" s="7"/>
      <c r="BT565" s="7"/>
      <c r="BU565" s="74"/>
      <c r="BV565" s="74"/>
      <c r="BW565" s="74"/>
      <c r="BX565" s="74"/>
      <c r="BY565" s="74"/>
      <c r="BZ565" s="74"/>
      <c r="CA565" s="74"/>
      <c r="CB565" s="74"/>
      <c r="CC565" s="74"/>
      <c r="CD565" s="74"/>
      <c r="CE565" s="7"/>
      <c r="CF565" s="74"/>
      <c r="CG565" s="74"/>
      <c r="CH565" s="7"/>
      <c r="CI565" s="74"/>
      <c r="CJ565" s="74"/>
      <c r="CK565" s="101"/>
      <c r="CL565" s="74"/>
      <c r="CM565" s="74"/>
      <c r="CN565" s="74"/>
      <c r="CO565" s="101"/>
      <c r="CP565" s="74"/>
      <c r="CQ565" s="74"/>
      <c r="CR565" s="74"/>
      <c r="CS565" s="74"/>
      <c r="CT565" s="74"/>
      <c r="CU565" s="74"/>
      <c r="CV565" s="74"/>
      <c r="CW565" s="74"/>
      <c r="CX565" s="74"/>
      <c r="CY565" s="74"/>
      <c r="CZ565" s="74"/>
      <c r="DA565" s="74"/>
      <c r="DB565" s="74"/>
      <c r="DC565" s="74"/>
      <c r="DD565" s="74"/>
      <c r="DE565" s="74"/>
      <c r="DF565" s="74"/>
      <c r="DG565" s="74"/>
      <c r="DH565" s="74"/>
      <c r="DI565" s="74"/>
      <c r="DJ565" s="74"/>
      <c r="DK565" s="74"/>
      <c r="DL565" s="74"/>
      <c r="DM565" s="74"/>
      <c r="DN565" s="74"/>
      <c r="DO565" s="74"/>
      <c r="DP565" s="74"/>
      <c r="DQ565" s="74"/>
      <c r="DR565" s="74"/>
      <c r="DS565" s="74"/>
      <c r="DT565" s="74"/>
      <c r="DU565" s="74"/>
      <c r="DV565" s="74"/>
      <c r="DW565" s="74"/>
      <c r="DX565" s="74"/>
      <c r="DY565" s="74"/>
      <c r="DZ565" s="8">
        <f t="shared" si="151"/>
        <v>0</v>
      </c>
      <c r="EA565" s="3">
        <f t="shared" si="152"/>
        <v>0</v>
      </c>
      <c r="EB565" s="2">
        <f t="shared" si="153"/>
        <v>0</v>
      </c>
      <c r="EC565" s="112">
        <f t="shared" si="161"/>
        <v>0</v>
      </c>
      <c r="ED565" s="29">
        <f t="shared" si="154"/>
        <v>0</v>
      </c>
      <c r="EE565" s="2">
        <f t="shared" si="155"/>
        <v>0</v>
      </c>
      <c r="EF565" s="46">
        <f t="shared" si="156"/>
        <v>0</v>
      </c>
      <c r="EG565" s="46">
        <f t="shared" si="157"/>
        <v>0</v>
      </c>
      <c r="EH565" s="2">
        <f t="shared" si="158"/>
        <v>0</v>
      </c>
      <c r="EI565" s="29">
        <f>IF(COUNT(I565:AD565)&lt;5,DZ565,SUMPRODUCT(LARGE(I565:AD565,{1,2,3,4,5}))/5)</f>
        <v>0</v>
      </c>
      <c r="EJ565" s="29">
        <f>IF(COUNT(I565:BE565)&lt;5,DZ565,SUMPRODUCT(LARGE(I565:BE565,{1,2,3,4,5}))/5)</f>
        <v>0</v>
      </c>
      <c r="EK565" s="29">
        <f t="shared" si="160"/>
        <v>0</v>
      </c>
      <c r="EL565" s="29">
        <f t="shared" si="163"/>
        <v>0</v>
      </c>
      <c r="EM565" s="116">
        <f t="shared" si="159"/>
        <v>0</v>
      </c>
      <c r="EQ565"/>
    </row>
    <row r="566" spans="1:147" x14ac:dyDescent="0.25">
      <c r="A566" s="59"/>
      <c r="B566" s="4"/>
      <c r="C566" s="5"/>
      <c r="D566" s="5"/>
      <c r="E566" s="6"/>
      <c r="F566" s="6"/>
      <c r="G566" s="5"/>
      <c r="H566" s="37"/>
      <c r="I566" s="107"/>
      <c r="J566" s="7"/>
      <c r="K566" s="74"/>
      <c r="L566" s="7"/>
      <c r="M566" s="74"/>
      <c r="N566" s="74"/>
      <c r="O566" s="7"/>
      <c r="P566" s="7"/>
      <c r="Q566" s="7"/>
      <c r="R566" s="74"/>
      <c r="S566" s="74"/>
      <c r="T566" s="7"/>
      <c r="U566" s="7"/>
      <c r="V566" s="74"/>
      <c r="W566" s="74"/>
      <c r="X566" s="74"/>
      <c r="Y566" s="227"/>
      <c r="Z566" s="228"/>
      <c r="AA566" s="74"/>
      <c r="AB566" s="74"/>
      <c r="AC566" s="74"/>
      <c r="AD566" s="74"/>
      <c r="AE566" s="7"/>
      <c r="AF566" s="74"/>
      <c r="AG566" s="74"/>
      <c r="AH566" s="7"/>
      <c r="AI566" s="7"/>
      <c r="AJ566" s="7"/>
      <c r="AK566" s="7"/>
      <c r="AL566" s="7"/>
      <c r="AM566" s="7"/>
      <c r="AN566" s="7"/>
      <c r="AO566" s="74"/>
      <c r="AP566" s="7"/>
      <c r="AQ566" s="74"/>
      <c r="AR566" s="101"/>
      <c r="AS566" s="7"/>
      <c r="AT566" s="101"/>
      <c r="AU566" s="7"/>
      <c r="AV566" s="101"/>
      <c r="AW566" s="7"/>
      <c r="AX566" s="183"/>
      <c r="AY566" s="107"/>
      <c r="AZ566" s="74"/>
      <c r="BA566" s="74"/>
      <c r="BB566" s="74"/>
      <c r="BC566" s="74"/>
      <c r="BD566" s="74"/>
      <c r="BE566" s="74"/>
      <c r="BF566" s="74"/>
      <c r="BG566" s="74"/>
      <c r="BH566" s="74"/>
      <c r="BI566" s="74"/>
      <c r="BJ566" s="74"/>
      <c r="BK566" s="7"/>
      <c r="BL566" s="74"/>
      <c r="BM566" s="7"/>
      <c r="BN566" s="74"/>
      <c r="BO566" s="74"/>
      <c r="BP566" s="74"/>
      <c r="BQ566" s="74"/>
      <c r="BR566" s="74"/>
      <c r="BS566" s="7"/>
      <c r="BT566" s="7"/>
      <c r="BU566" s="74"/>
      <c r="BV566" s="74"/>
      <c r="BW566" s="74"/>
      <c r="BX566" s="74"/>
      <c r="BY566" s="74"/>
      <c r="BZ566" s="74"/>
      <c r="CA566" s="74"/>
      <c r="CB566" s="74"/>
      <c r="CC566" s="74"/>
      <c r="CD566" s="74"/>
      <c r="CE566" s="7"/>
      <c r="CF566" s="74"/>
      <c r="CG566" s="74"/>
      <c r="CH566" s="7"/>
      <c r="CI566" s="74"/>
      <c r="CJ566" s="74"/>
      <c r="CK566" s="101"/>
      <c r="CL566" s="74"/>
      <c r="CM566" s="74"/>
      <c r="CN566" s="74"/>
      <c r="CO566" s="101"/>
      <c r="CP566" s="74"/>
      <c r="CQ566" s="74"/>
      <c r="CR566" s="74"/>
      <c r="CS566" s="74"/>
      <c r="CT566" s="74"/>
      <c r="CU566" s="74"/>
      <c r="CV566" s="74"/>
      <c r="CW566" s="74"/>
      <c r="CX566" s="74"/>
      <c r="CY566" s="74"/>
      <c r="CZ566" s="74"/>
      <c r="DA566" s="74"/>
      <c r="DB566" s="74"/>
      <c r="DC566" s="74"/>
      <c r="DD566" s="74"/>
      <c r="DE566" s="74"/>
      <c r="DF566" s="74"/>
      <c r="DG566" s="74"/>
      <c r="DH566" s="74"/>
      <c r="DI566" s="74"/>
      <c r="DJ566" s="74"/>
      <c r="DK566" s="74"/>
      <c r="DL566" s="74"/>
      <c r="DM566" s="74"/>
      <c r="DN566" s="74"/>
      <c r="DO566" s="74"/>
      <c r="DP566" s="74"/>
      <c r="DQ566" s="74"/>
      <c r="DR566" s="74"/>
      <c r="DS566" s="74"/>
      <c r="DT566" s="74"/>
      <c r="DU566" s="74"/>
      <c r="DV566" s="74"/>
      <c r="DW566" s="74"/>
      <c r="DX566" s="74"/>
      <c r="DY566" s="74"/>
      <c r="DZ566" s="8">
        <f t="shared" si="151"/>
        <v>0</v>
      </c>
      <c r="EA566" s="3">
        <f t="shared" si="152"/>
        <v>0</v>
      </c>
      <c r="EB566" s="2">
        <f t="shared" si="153"/>
        <v>0</v>
      </c>
      <c r="EC566" s="112">
        <f t="shared" si="161"/>
        <v>0</v>
      </c>
      <c r="ED566" s="29">
        <f t="shared" si="154"/>
        <v>0</v>
      </c>
      <c r="EE566" s="2">
        <f t="shared" si="155"/>
        <v>0</v>
      </c>
      <c r="EF566" s="46">
        <f t="shared" si="156"/>
        <v>0</v>
      </c>
      <c r="EG566" s="46">
        <f t="shared" si="157"/>
        <v>0</v>
      </c>
      <c r="EH566" s="29">
        <f t="shared" si="158"/>
        <v>0</v>
      </c>
      <c r="EI566" s="29">
        <f>IF(COUNT(I566:AD566)&lt;5,DZ566,SUMPRODUCT(LARGE(I566:AD566,{1,2,3,4,5}))/5)</f>
        <v>0</v>
      </c>
      <c r="EJ566" s="29">
        <f>IF(COUNT(I566:BE566)&lt;5,DZ566,SUMPRODUCT(LARGE(I566:BE566,{1,2,3,4,5}))/5)</f>
        <v>0</v>
      </c>
      <c r="EK566" s="29">
        <f t="shared" si="160"/>
        <v>0</v>
      </c>
      <c r="EL566" s="29">
        <f t="shared" si="163"/>
        <v>0</v>
      </c>
      <c r="EM566" s="116">
        <f t="shared" si="159"/>
        <v>0</v>
      </c>
      <c r="EQ566"/>
    </row>
    <row r="567" spans="1:147" x14ac:dyDescent="0.25">
      <c r="A567" s="59"/>
      <c r="B567" s="32"/>
      <c r="C567" s="5"/>
      <c r="D567" s="6"/>
      <c r="E567" s="6"/>
      <c r="F567" s="6"/>
      <c r="G567" s="5"/>
      <c r="H567" s="99"/>
      <c r="I567" s="36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227"/>
      <c r="Z567" s="228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4"/>
      <c r="AP567" s="7"/>
      <c r="AQ567" s="74"/>
      <c r="AR567" s="70"/>
      <c r="AS567" s="7"/>
      <c r="AT567" s="70"/>
      <c r="AU567" s="7"/>
      <c r="AV567" s="70"/>
      <c r="AW567" s="7"/>
      <c r="AX567" s="183"/>
      <c r="AY567" s="10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4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101"/>
      <c r="CL567" s="74"/>
      <c r="CM567" s="74"/>
      <c r="CN567" s="74"/>
      <c r="CO567" s="70"/>
      <c r="CP567" s="74"/>
      <c r="CQ567" s="7"/>
      <c r="CR567" s="74"/>
      <c r="CS567" s="74"/>
      <c r="CT567" s="74"/>
      <c r="CU567" s="74"/>
      <c r="CV567" s="7"/>
      <c r="CW567" s="7"/>
      <c r="CX567" s="7"/>
      <c r="CY567" s="7"/>
      <c r="CZ567" s="7"/>
      <c r="DA567" s="7"/>
      <c r="DB567" s="7"/>
      <c r="DC567" s="7"/>
      <c r="DD567" s="7"/>
      <c r="DE567" s="74"/>
      <c r="DF567" s="74"/>
      <c r="DG567" s="74"/>
      <c r="DH567" s="7"/>
      <c r="DI567" s="74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8">
        <f t="shared" si="151"/>
        <v>0</v>
      </c>
      <c r="EA567" s="3">
        <f t="shared" si="152"/>
        <v>0</v>
      </c>
      <c r="EB567" s="2">
        <f t="shared" si="153"/>
        <v>0</v>
      </c>
      <c r="EC567" s="112">
        <f t="shared" si="161"/>
        <v>0</v>
      </c>
      <c r="ED567" s="29">
        <f t="shared" si="154"/>
        <v>0</v>
      </c>
      <c r="EE567" s="2">
        <f t="shared" si="155"/>
        <v>0</v>
      </c>
      <c r="EF567" s="46">
        <f t="shared" si="156"/>
        <v>0</v>
      </c>
      <c r="EG567" s="46">
        <f t="shared" si="157"/>
        <v>0</v>
      </c>
      <c r="EH567" s="2">
        <f t="shared" si="158"/>
        <v>0</v>
      </c>
      <c r="EI567" s="29">
        <f>IF(COUNT(I567:AD567)&lt;5,DZ567,SUMPRODUCT(LARGE(I567:AD567,{1,2,3,4,5}))/5)</f>
        <v>0</v>
      </c>
      <c r="EJ567" s="29">
        <f>IF(COUNT(I567:BE567)&lt;5,DZ567,SUMPRODUCT(LARGE(I567:BE567,{1,2,3,4,5}))/5)</f>
        <v>0</v>
      </c>
      <c r="EK567" s="29">
        <f t="shared" si="160"/>
        <v>0</v>
      </c>
      <c r="EL567" s="29">
        <f t="shared" si="163"/>
        <v>0</v>
      </c>
      <c r="EM567" s="116">
        <f t="shared" si="159"/>
        <v>0</v>
      </c>
      <c r="EQ567"/>
    </row>
    <row r="568" spans="1:147" x14ac:dyDescent="0.25">
      <c r="A568" s="59"/>
      <c r="B568" s="32"/>
      <c r="C568" s="5"/>
      <c r="D568" s="6"/>
      <c r="E568" s="6"/>
      <c r="F568" s="6"/>
      <c r="G568" s="5"/>
      <c r="H568" s="37"/>
      <c r="I568" s="107"/>
      <c r="J568" s="7"/>
      <c r="K568" s="74"/>
      <c r="L568" s="7"/>
      <c r="M568" s="74"/>
      <c r="N568" s="74"/>
      <c r="O568" s="7"/>
      <c r="P568" s="7"/>
      <c r="Q568" s="7"/>
      <c r="R568" s="74"/>
      <c r="S568" s="74"/>
      <c r="T568" s="7"/>
      <c r="U568" s="7"/>
      <c r="V568" s="74"/>
      <c r="W568" s="74"/>
      <c r="X568" s="74"/>
      <c r="Y568" s="227"/>
      <c r="Z568" s="228"/>
      <c r="AA568" s="74"/>
      <c r="AB568" s="74"/>
      <c r="AC568" s="74"/>
      <c r="AD568" s="74"/>
      <c r="AE568" s="7"/>
      <c r="AF568" s="74"/>
      <c r="AG568" s="74"/>
      <c r="AH568" s="7"/>
      <c r="AI568" s="7"/>
      <c r="AJ568" s="7"/>
      <c r="AK568" s="7"/>
      <c r="AL568" s="7"/>
      <c r="AM568" s="7"/>
      <c r="AN568" s="7"/>
      <c r="AO568" s="74"/>
      <c r="AP568" s="7"/>
      <c r="AQ568" s="74"/>
      <c r="AR568" s="101"/>
      <c r="AS568" s="7"/>
      <c r="AT568" s="101"/>
      <c r="AU568" s="7"/>
      <c r="AV568" s="101"/>
      <c r="AW568" s="7"/>
      <c r="AX568" s="183"/>
      <c r="AY568" s="107"/>
      <c r="AZ568" s="74"/>
      <c r="BA568" s="74"/>
      <c r="BB568" s="74"/>
      <c r="BC568" s="74"/>
      <c r="BD568" s="74"/>
      <c r="BE568" s="74"/>
      <c r="BF568" s="74"/>
      <c r="BG568" s="74"/>
      <c r="BH568" s="74"/>
      <c r="BI568" s="74"/>
      <c r="BJ568" s="74"/>
      <c r="BK568" s="7"/>
      <c r="BL568" s="74"/>
      <c r="BM568" s="7"/>
      <c r="BN568" s="74"/>
      <c r="BO568" s="74"/>
      <c r="BP568" s="74"/>
      <c r="BQ568" s="74"/>
      <c r="BR568" s="74"/>
      <c r="BS568" s="74"/>
      <c r="BT568" s="74"/>
      <c r="BU568" s="74"/>
      <c r="BV568" s="74"/>
      <c r="BW568" s="74"/>
      <c r="BX568" s="74"/>
      <c r="BY568" s="74"/>
      <c r="BZ568" s="74"/>
      <c r="CA568" s="74"/>
      <c r="CB568" s="74"/>
      <c r="CC568" s="74"/>
      <c r="CD568" s="74"/>
      <c r="CE568" s="7"/>
      <c r="CF568" s="74"/>
      <c r="CG568" s="74"/>
      <c r="CH568" s="7"/>
      <c r="CI568" s="74"/>
      <c r="CJ568" s="74"/>
      <c r="CK568" s="101"/>
      <c r="CL568" s="74"/>
      <c r="CM568" s="74"/>
      <c r="CN568" s="74"/>
      <c r="CO568" s="101"/>
      <c r="CP568" s="74"/>
      <c r="CQ568" s="74"/>
      <c r="CR568" s="74"/>
      <c r="CS568" s="74"/>
      <c r="CT568" s="74"/>
      <c r="CU568" s="74"/>
      <c r="CV568" s="74"/>
      <c r="CW568" s="74"/>
      <c r="CX568" s="74"/>
      <c r="CY568" s="74"/>
      <c r="CZ568" s="74"/>
      <c r="DA568" s="74"/>
      <c r="DB568" s="74"/>
      <c r="DC568" s="74"/>
      <c r="DD568" s="74"/>
      <c r="DE568" s="74"/>
      <c r="DF568" s="74"/>
      <c r="DG568" s="74"/>
      <c r="DH568" s="74"/>
      <c r="DI568" s="74"/>
      <c r="DJ568" s="74"/>
      <c r="DK568" s="74"/>
      <c r="DL568" s="74"/>
      <c r="DM568" s="74"/>
      <c r="DN568" s="74"/>
      <c r="DO568" s="74"/>
      <c r="DP568" s="74"/>
      <c r="DQ568" s="74"/>
      <c r="DR568" s="74"/>
      <c r="DS568" s="74"/>
      <c r="DT568" s="74"/>
      <c r="DU568" s="74"/>
      <c r="DV568" s="74"/>
      <c r="DW568" s="74"/>
      <c r="DX568" s="74"/>
      <c r="DY568" s="74"/>
      <c r="DZ568" s="8">
        <f t="shared" si="151"/>
        <v>0</v>
      </c>
      <c r="EA568" s="3">
        <f t="shared" si="152"/>
        <v>0</v>
      </c>
      <c r="EB568" s="2">
        <f t="shared" si="153"/>
        <v>0</v>
      </c>
      <c r="EC568" s="112">
        <f t="shared" si="161"/>
        <v>0</v>
      </c>
      <c r="ED568" s="29">
        <f t="shared" si="154"/>
        <v>0</v>
      </c>
      <c r="EE568" s="2">
        <f t="shared" si="155"/>
        <v>0</v>
      </c>
      <c r="EF568" s="46">
        <f t="shared" si="156"/>
        <v>0</v>
      </c>
      <c r="EG568" s="46">
        <f t="shared" si="157"/>
        <v>0</v>
      </c>
      <c r="EH568" s="29">
        <f t="shared" si="158"/>
        <v>0</v>
      </c>
      <c r="EI568" s="29">
        <f>IF(COUNT(I568:AD568)&lt;5,DZ568,SUMPRODUCT(LARGE(I568:AD568,{1,2,3,4,5}))/5)</f>
        <v>0</v>
      </c>
      <c r="EJ568" s="29">
        <f>IF(COUNT(I568:BE568)&lt;5,DZ568,SUMPRODUCT(LARGE(I568:BE568,{1,2,3,4,5}))/5)</f>
        <v>0</v>
      </c>
      <c r="EK568" s="29">
        <f t="shared" si="160"/>
        <v>0</v>
      </c>
      <c r="EL568" s="29">
        <f t="shared" si="163"/>
        <v>0</v>
      </c>
      <c r="EM568" s="116">
        <f t="shared" si="159"/>
        <v>0</v>
      </c>
      <c r="EQ568"/>
    </row>
    <row r="569" spans="1:147" x14ac:dyDescent="0.25">
      <c r="A569" s="59"/>
      <c r="B569" s="32"/>
      <c r="C569" s="5"/>
      <c r="D569" s="6"/>
      <c r="E569" s="6"/>
      <c r="F569" s="6"/>
      <c r="G569" s="5"/>
      <c r="H569" s="99"/>
      <c r="I569" s="36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227"/>
      <c r="Z569" s="228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4"/>
      <c r="AP569" s="7"/>
      <c r="AQ569" s="74"/>
      <c r="AR569" s="70"/>
      <c r="AS569" s="7"/>
      <c r="AT569" s="70"/>
      <c r="AU569" s="7"/>
      <c r="AV569" s="70"/>
      <c r="AW569" s="7"/>
      <c r="AX569" s="183"/>
      <c r="AY569" s="10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4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101"/>
      <c r="CL569" s="74"/>
      <c r="CM569" s="74"/>
      <c r="CN569" s="74"/>
      <c r="CO569" s="70"/>
      <c r="CP569" s="74"/>
      <c r="CQ569" s="7"/>
      <c r="CR569" s="74"/>
      <c r="CS569" s="74"/>
      <c r="CT569" s="74"/>
      <c r="CU569" s="74"/>
      <c r="CV569" s="7"/>
      <c r="CW569" s="7"/>
      <c r="CX569" s="7"/>
      <c r="CY569" s="7"/>
      <c r="CZ569" s="7"/>
      <c r="DA569" s="7"/>
      <c r="DB569" s="7"/>
      <c r="DC569" s="7"/>
      <c r="DD569" s="7"/>
      <c r="DE569" s="74"/>
      <c r="DF569" s="74"/>
      <c r="DG569" s="74"/>
      <c r="DH569" s="7"/>
      <c r="DI569" s="74"/>
      <c r="DJ569" s="7"/>
      <c r="DK569" s="7"/>
      <c r="DL569" s="7"/>
      <c r="DM569" s="7"/>
      <c r="DN569" s="14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8">
        <f t="shared" si="151"/>
        <v>0</v>
      </c>
      <c r="EA569" s="3">
        <f t="shared" si="152"/>
        <v>0</v>
      </c>
      <c r="EB569" s="2">
        <f t="shared" si="153"/>
        <v>0</v>
      </c>
      <c r="EC569" s="112">
        <f t="shared" si="161"/>
        <v>0</v>
      </c>
      <c r="ED569" s="29">
        <f t="shared" si="154"/>
        <v>0</v>
      </c>
      <c r="EE569" s="2">
        <f t="shared" si="155"/>
        <v>0</v>
      </c>
      <c r="EF569" s="46">
        <f t="shared" si="156"/>
        <v>0</v>
      </c>
      <c r="EG569" s="46">
        <f t="shared" si="157"/>
        <v>0</v>
      </c>
      <c r="EH569" s="2">
        <f t="shared" si="158"/>
        <v>0</v>
      </c>
      <c r="EI569" s="29">
        <f>IF(COUNT(I569:AD569)&lt;5,DZ569,SUMPRODUCT(LARGE(I569:AD569,{1,2,3,4,5}))/5)</f>
        <v>0</v>
      </c>
      <c r="EJ569" s="29">
        <f>IF(COUNT(I569:BE569)&lt;5,DZ569,SUMPRODUCT(LARGE(I569:BE569,{1,2,3,4,5}))/5)</f>
        <v>0</v>
      </c>
      <c r="EK569" s="29">
        <f t="shared" si="160"/>
        <v>0</v>
      </c>
      <c r="EL569" s="29">
        <f t="shared" si="163"/>
        <v>0</v>
      </c>
      <c r="EM569" s="116">
        <f t="shared" si="159"/>
        <v>0</v>
      </c>
      <c r="EQ569"/>
    </row>
    <row r="570" spans="1:147" x14ac:dyDescent="0.25">
      <c r="A570" s="59"/>
      <c r="B570" s="32"/>
      <c r="C570" s="5"/>
      <c r="D570" s="6"/>
      <c r="E570" s="6"/>
      <c r="F570" s="6"/>
      <c r="G570" s="5"/>
      <c r="H570" s="37"/>
      <c r="I570" s="107"/>
      <c r="J570" s="7"/>
      <c r="K570" s="74"/>
      <c r="L570" s="7"/>
      <c r="M570" s="74"/>
      <c r="N570" s="74"/>
      <c r="O570" s="7"/>
      <c r="P570" s="74"/>
      <c r="Q570" s="7"/>
      <c r="R570" s="74"/>
      <c r="S570" s="74"/>
      <c r="T570" s="7"/>
      <c r="U570" s="7"/>
      <c r="V570" s="74"/>
      <c r="W570" s="74"/>
      <c r="X570" s="74"/>
      <c r="Y570" s="227"/>
      <c r="Z570" s="228"/>
      <c r="AA570" s="74"/>
      <c r="AB570" s="74"/>
      <c r="AC570" s="74"/>
      <c r="AD570" s="74"/>
      <c r="AE570" s="7"/>
      <c r="AF570" s="74"/>
      <c r="AG570" s="74"/>
      <c r="AH570" s="7"/>
      <c r="AI570" s="7"/>
      <c r="AJ570" s="7"/>
      <c r="AK570" s="7"/>
      <c r="AL570" s="7"/>
      <c r="AM570" s="7"/>
      <c r="AN570" s="7"/>
      <c r="AO570" s="74"/>
      <c r="AP570" s="7"/>
      <c r="AQ570" s="74"/>
      <c r="AR570" s="101"/>
      <c r="AS570" s="7"/>
      <c r="AT570" s="101"/>
      <c r="AU570" s="7"/>
      <c r="AV570" s="101"/>
      <c r="AW570" s="7"/>
      <c r="AX570" s="8"/>
      <c r="AY570" s="36"/>
      <c r="AZ570" s="74"/>
      <c r="BA570" s="74"/>
      <c r="BB570" s="74"/>
      <c r="BC570" s="74"/>
      <c r="BD570" s="74"/>
      <c r="BE570" s="74"/>
      <c r="BF570" s="74"/>
      <c r="BG570" s="74"/>
      <c r="BH570" s="74"/>
      <c r="BI570" s="74"/>
      <c r="BJ570" s="74"/>
      <c r="BK570" s="7"/>
      <c r="BL570" s="74"/>
      <c r="BM570" s="7"/>
      <c r="BN570" s="74"/>
      <c r="BO570" s="74"/>
      <c r="BP570" s="74"/>
      <c r="BQ570" s="74"/>
      <c r="BR570" s="74"/>
      <c r="BS570" s="74"/>
      <c r="BT570" s="74"/>
      <c r="BU570" s="74"/>
      <c r="BV570" s="74"/>
      <c r="BW570" s="74"/>
      <c r="BX570" s="74"/>
      <c r="BY570" s="74"/>
      <c r="BZ570" s="74"/>
      <c r="CA570" s="74"/>
      <c r="CB570" s="74"/>
      <c r="CC570" s="74"/>
      <c r="CD570" s="74"/>
      <c r="CE570" s="7"/>
      <c r="CF570" s="74"/>
      <c r="CG570" s="74"/>
      <c r="CH570" s="7"/>
      <c r="CI570" s="74"/>
      <c r="CJ570" s="74"/>
      <c r="CK570" s="101"/>
      <c r="CL570" s="74"/>
      <c r="CM570" s="74"/>
      <c r="CN570" s="74"/>
      <c r="CO570" s="101"/>
      <c r="CP570" s="74"/>
      <c r="CQ570" s="74"/>
      <c r="CR570" s="74"/>
      <c r="CS570" s="74"/>
      <c r="CT570" s="74"/>
      <c r="CU570" s="74"/>
      <c r="CV570" s="74"/>
      <c r="CW570" s="74"/>
      <c r="CX570" s="74"/>
      <c r="CY570" s="74"/>
      <c r="CZ570" s="74"/>
      <c r="DA570" s="74"/>
      <c r="DB570" s="74"/>
      <c r="DC570" s="74"/>
      <c r="DD570" s="74"/>
      <c r="DE570" s="74"/>
      <c r="DF570" s="74"/>
      <c r="DG570" s="74"/>
      <c r="DH570" s="74"/>
      <c r="DI570" s="74"/>
      <c r="DJ570" s="74"/>
      <c r="DK570" s="74"/>
      <c r="DL570" s="74"/>
      <c r="DM570" s="74"/>
      <c r="DN570" s="74"/>
      <c r="DO570" s="74"/>
      <c r="DP570" s="74"/>
      <c r="DQ570" s="74"/>
      <c r="DR570" s="74"/>
      <c r="DS570" s="100"/>
      <c r="DT570" s="74"/>
      <c r="DU570" s="74"/>
      <c r="DV570" s="74"/>
      <c r="DW570" s="74"/>
      <c r="DX570" s="74"/>
      <c r="DY570" s="74"/>
      <c r="DZ570" s="8">
        <f t="shared" si="151"/>
        <v>0</v>
      </c>
      <c r="EA570" s="3">
        <f t="shared" si="152"/>
        <v>0</v>
      </c>
      <c r="EB570" s="2">
        <f t="shared" si="153"/>
        <v>0</v>
      </c>
      <c r="EC570" s="112">
        <f t="shared" si="161"/>
        <v>0</v>
      </c>
      <c r="ED570" s="29">
        <f t="shared" si="154"/>
        <v>0</v>
      </c>
      <c r="EE570" s="2">
        <f t="shared" si="155"/>
        <v>0</v>
      </c>
      <c r="EF570" s="46">
        <f t="shared" si="156"/>
        <v>0</v>
      </c>
      <c r="EG570" s="46">
        <f t="shared" si="157"/>
        <v>0</v>
      </c>
      <c r="EH570" s="29">
        <f t="shared" si="158"/>
        <v>0</v>
      </c>
      <c r="EI570" s="29">
        <f>IF(COUNT(I570:AD570)&lt;5,DZ570,SUMPRODUCT(LARGE(I570:AD570,{1,2,3,4,5}))/5)</f>
        <v>0</v>
      </c>
      <c r="EJ570" s="29">
        <f>IF(COUNT(I570:BE570)&lt;5,DZ570,SUMPRODUCT(LARGE(I570:BE570,{1,2,3,4,5}))/5)</f>
        <v>0</v>
      </c>
      <c r="EK570" s="29">
        <f t="shared" si="160"/>
        <v>0</v>
      </c>
      <c r="EL570" s="29">
        <f t="shared" si="163"/>
        <v>0</v>
      </c>
      <c r="EM570" s="116">
        <f t="shared" si="159"/>
        <v>0</v>
      </c>
      <c r="EQ570"/>
    </row>
    <row r="571" spans="1:147" x14ac:dyDescent="0.25">
      <c r="A571" s="59"/>
      <c r="B571" s="4"/>
      <c r="C571" s="5"/>
      <c r="D571" s="6"/>
      <c r="E571" s="6"/>
      <c r="F571" s="6"/>
      <c r="G571" s="5"/>
      <c r="H571" s="37"/>
      <c r="I571" s="107"/>
      <c r="J571" s="7"/>
      <c r="K571" s="74"/>
      <c r="L571" s="7"/>
      <c r="M571" s="74"/>
      <c r="N571" s="74"/>
      <c r="O571" s="7"/>
      <c r="P571" s="74"/>
      <c r="Q571" s="7"/>
      <c r="R571" s="74"/>
      <c r="S571" s="74"/>
      <c r="T571" s="7"/>
      <c r="U571" s="7"/>
      <c r="V571" s="74"/>
      <c r="W571" s="74"/>
      <c r="X571" s="74"/>
      <c r="Y571" s="227"/>
      <c r="Z571" s="228"/>
      <c r="AA571" s="74"/>
      <c r="AB571" s="74"/>
      <c r="AC571" s="74"/>
      <c r="AD571" s="74"/>
      <c r="AE571" s="7"/>
      <c r="AF571" s="74"/>
      <c r="AG571" s="74"/>
      <c r="AH571" s="7"/>
      <c r="AI571" s="7"/>
      <c r="AJ571" s="7"/>
      <c r="AK571" s="7"/>
      <c r="AL571" s="7"/>
      <c r="AM571" s="7"/>
      <c r="AN571" s="7"/>
      <c r="AO571" s="74"/>
      <c r="AP571" s="7"/>
      <c r="AQ571" s="74"/>
      <c r="AR571" s="101"/>
      <c r="AS571" s="7"/>
      <c r="AT571" s="101"/>
      <c r="AU571" s="7"/>
      <c r="AV571" s="101"/>
      <c r="AW571" s="7"/>
      <c r="AX571" s="183"/>
      <c r="AY571" s="107"/>
      <c r="AZ571" s="74"/>
      <c r="BA571" s="74"/>
      <c r="BB571" s="74"/>
      <c r="BC571" s="74"/>
      <c r="BD571" s="74"/>
      <c r="BE571" s="74"/>
      <c r="BF571" s="74"/>
      <c r="BG571" s="74"/>
      <c r="BH571" s="74"/>
      <c r="BI571" s="74"/>
      <c r="BJ571" s="74"/>
      <c r="BK571" s="7"/>
      <c r="BL571" s="74"/>
      <c r="BM571" s="7"/>
      <c r="BN571" s="74"/>
      <c r="BO571" s="74"/>
      <c r="BP571" s="74"/>
      <c r="BQ571" s="74"/>
      <c r="BR571" s="74"/>
      <c r="BS571" s="74"/>
      <c r="BT571" s="74"/>
      <c r="BU571" s="74"/>
      <c r="BV571" s="74"/>
      <c r="BW571" s="74"/>
      <c r="BX571" s="74"/>
      <c r="BY571" s="74"/>
      <c r="BZ571" s="7"/>
      <c r="CA571" s="74"/>
      <c r="CB571" s="74"/>
      <c r="CC571" s="74"/>
      <c r="CD571" s="74"/>
      <c r="CE571" s="7"/>
      <c r="CF571" s="74"/>
      <c r="CG571" s="74"/>
      <c r="CH571" s="7"/>
      <c r="CI571" s="74"/>
      <c r="CJ571" s="74"/>
      <c r="CK571" s="101"/>
      <c r="CL571" s="74"/>
      <c r="CM571" s="74"/>
      <c r="CN571" s="74"/>
      <c r="CO571" s="101"/>
      <c r="CP571" s="74"/>
      <c r="CQ571" s="74"/>
      <c r="CR571" s="74"/>
      <c r="CS571" s="74"/>
      <c r="CT571" s="74"/>
      <c r="CU571" s="74"/>
      <c r="CV571" s="74"/>
      <c r="CW571" s="74"/>
      <c r="CX571" s="74"/>
      <c r="CY571" s="74"/>
      <c r="CZ571" s="74"/>
      <c r="DA571" s="74"/>
      <c r="DB571" s="74"/>
      <c r="DC571" s="74"/>
      <c r="DD571" s="74"/>
      <c r="DE571" s="74"/>
      <c r="DF571" s="74"/>
      <c r="DG571" s="74"/>
      <c r="DH571" s="74"/>
      <c r="DI571" s="74"/>
      <c r="DJ571" s="74"/>
      <c r="DK571" s="74"/>
      <c r="DL571" s="74"/>
      <c r="DM571" s="74"/>
      <c r="DN571" s="74"/>
      <c r="DO571" s="74"/>
      <c r="DP571" s="74"/>
      <c r="DQ571" s="74"/>
      <c r="DR571" s="74"/>
      <c r="DS571" s="74"/>
      <c r="DT571" s="74"/>
      <c r="DU571" s="74"/>
      <c r="DV571" s="74"/>
      <c r="DW571" s="74"/>
      <c r="DX571" s="74"/>
      <c r="DY571" s="74"/>
      <c r="DZ571" s="8">
        <f t="shared" si="151"/>
        <v>0</v>
      </c>
      <c r="EA571" s="3">
        <f t="shared" si="152"/>
        <v>0</v>
      </c>
      <c r="EB571" s="2">
        <f t="shared" si="153"/>
        <v>0</v>
      </c>
      <c r="EC571" s="112">
        <f t="shared" si="161"/>
        <v>0</v>
      </c>
      <c r="ED571" s="29">
        <f t="shared" si="154"/>
        <v>0</v>
      </c>
      <c r="EE571" s="2">
        <f t="shared" si="155"/>
        <v>0</v>
      </c>
      <c r="EF571" s="46">
        <f t="shared" si="156"/>
        <v>0</v>
      </c>
      <c r="EG571" s="46">
        <f t="shared" si="157"/>
        <v>0</v>
      </c>
      <c r="EH571" s="2">
        <f t="shared" si="158"/>
        <v>0</v>
      </c>
      <c r="EI571" s="29">
        <f>IF(COUNT(I571:AD571)&lt;5,DZ571,SUMPRODUCT(LARGE(I571:AD571,{1,2,3,4,5}))/5)</f>
        <v>0</v>
      </c>
      <c r="EJ571" s="29">
        <f>IF(COUNT(I571:BE571)&lt;5,DZ571,SUMPRODUCT(LARGE(I571:BE571,{1,2,3,4,5}))/5)</f>
        <v>0</v>
      </c>
      <c r="EK571" s="29">
        <f t="shared" si="160"/>
        <v>0</v>
      </c>
      <c r="EL571" s="29">
        <f>(EK571*100)/101.59</f>
        <v>0</v>
      </c>
      <c r="EM571" s="116">
        <f t="shared" si="159"/>
        <v>0</v>
      </c>
      <c r="EQ571"/>
    </row>
    <row r="572" spans="1:147" x14ac:dyDescent="0.25">
      <c r="A572" s="59"/>
      <c r="B572" s="32"/>
      <c r="C572" s="5"/>
      <c r="D572" s="6"/>
      <c r="E572" s="6"/>
      <c r="F572" s="6"/>
      <c r="G572" s="5"/>
      <c r="H572" s="37"/>
      <c r="I572" s="107"/>
      <c r="J572" s="7"/>
      <c r="K572" s="74"/>
      <c r="L572" s="7"/>
      <c r="M572" s="74"/>
      <c r="N572" s="74"/>
      <c r="O572" s="7"/>
      <c r="P572" s="74"/>
      <c r="Q572" s="74"/>
      <c r="R572" s="7"/>
      <c r="S572" s="74"/>
      <c r="T572" s="7"/>
      <c r="U572" s="7"/>
      <c r="V572" s="74"/>
      <c r="W572" s="7"/>
      <c r="X572" s="74"/>
      <c r="Y572" s="227"/>
      <c r="Z572" s="228"/>
      <c r="AA572" s="74"/>
      <c r="AB572" s="74"/>
      <c r="AC572" s="74"/>
      <c r="AD572" s="74"/>
      <c r="AE572" s="7"/>
      <c r="AF572" s="74"/>
      <c r="AG572" s="74"/>
      <c r="AH572" s="7"/>
      <c r="AI572" s="7"/>
      <c r="AJ572" s="7"/>
      <c r="AK572" s="7"/>
      <c r="AL572" s="7"/>
      <c r="AM572" s="7"/>
      <c r="AN572" s="7"/>
      <c r="AO572" s="74"/>
      <c r="AP572" s="7"/>
      <c r="AQ572" s="74"/>
      <c r="AR572" s="101"/>
      <c r="AS572" s="7"/>
      <c r="AT572" s="101"/>
      <c r="AU572" s="7"/>
      <c r="AV572" s="101"/>
      <c r="AW572" s="7"/>
      <c r="AX572" s="8"/>
      <c r="AY572" s="36"/>
      <c r="AZ572" s="7"/>
      <c r="BA572" s="74"/>
      <c r="BB572" s="74"/>
      <c r="BC572" s="74"/>
      <c r="BD572" s="74"/>
      <c r="BE572" s="74"/>
      <c r="BF572" s="74"/>
      <c r="BG572" s="74"/>
      <c r="BH572" s="74"/>
      <c r="BI572" s="74"/>
      <c r="BJ572" s="74"/>
      <c r="BK572" s="7"/>
      <c r="BL572" s="74"/>
      <c r="BM572" s="7"/>
      <c r="BN572" s="74"/>
      <c r="BO572" s="74"/>
      <c r="BP572" s="74"/>
      <c r="BQ572" s="74"/>
      <c r="BR572" s="74"/>
      <c r="BS572" s="74"/>
      <c r="BT572" s="74"/>
      <c r="BU572" s="74"/>
      <c r="BV572" s="74"/>
      <c r="BW572" s="74"/>
      <c r="BX572" s="74"/>
      <c r="BY572" s="74"/>
      <c r="BZ572" s="74"/>
      <c r="CA572" s="74"/>
      <c r="CB572" s="74"/>
      <c r="CC572" s="74"/>
      <c r="CD572" s="74"/>
      <c r="CE572" s="7"/>
      <c r="CF572" s="74"/>
      <c r="CG572" s="7"/>
      <c r="CH572" s="7"/>
      <c r="CI572" s="74"/>
      <c r="CJ572" s="74"/>
      <c r="CK572" s="101"/>
      <c r="CL572" s="74"/>
      <c r="CM572" s="74"/>
      <c r="CN572" s="74"/>
      <c r="CO572" s="101"/>
      <c r="CP572" s="74"/>
      <c r="CQ572" s="74"/>
      <c r="CR572" s="74"/>
      <c r="CS572" s="74"/>
      <c r="CT572" s="74"/>
      <c r="CU572" s="74"/>
      <c r="CV572" s="74"/>
      <c r="CW572" s="74"/>
      <c r="CX572" s="74"/>
      <c r="CY572" s="74"/>
      <c r="CZ572" s="74"/>
      <c r="DA572" s="74"/>
      <c r="DB572" s="74"/>
      <c r="DC572" s="74"/>
      <c r="DD572" s="74"/>
      <c r="DE572" s="74"/>
      <c r="DF572" s="74"/>
      <c r="DG572" s="74"/>
      <c r="DH572" s="74"/>
      <c r="DI572" s="74"/>
      <c r="DJ572" s="74"/>
      <c r="DK572" s="74"/>
      <c r="DL572" s="74"/>
      <c r="DM572" s="74"/>
      <c r="DN572" s="103"/>
      <c r="DO572" s="74"/>
      <c r="DP572" s="74"/>
      <c r="DQ572" s="74"/>
      <c r="DR572" s="74"/>
      <c r="DS572" s="74"/>
      <c r="DT572" s="74"/>
      <c r="DU572" s="74"/>
      <c r="DV572" s="74"/>
      <c r="DW572" s="74"/>
      <c r="DX572" s="74"/>
      <c r="DY572" s="74"/>
      <c r="DZ572" s="8">
        <f t="shared" si="151"/>
        <v>0</v>
      </c>
      <c r="EA572" s="3">
        <f t="shared" si="152"/>
        <v>0</v>
      </c>
      <c r="EB572" s="2">
        <f t="shared" si="153"/>
        <v>0</v>
      </c>
      <c r="EC572" s="112">
        <f t="shared" si="161"/>
        <v>0</v>
      </c>
      <c r="ED572" s="29">
        <f t="shared" si="154"/>
        <v>0</v>
      </c>
      <c r="EE572" s="2">
        <f t="shared" si="155"/>
        <v>0</v>
      </c>
      <c r="EF572" s="46">
        <f t="shared" si="156"/>
        <v>0</v>
      </c>
      <c r="EG572" s="46">
        <f t="shared" si="157"/>
        <v>0</v>
      </c>
      <c r="EH572" s="29">
        <f t="shared" si="158"/>
        <v>0</v>
      </c>
      <c r="EI572" s="29">
        <f>IF(COUNT(I572:AD572)&lt;5,DZ572,SUMPRODUCT(LARGE(I572:AD572,{1,2,3,4,5}))/5)</f>
        <v>0</v>
      </c>
      <c r="EJ572" s="29">
        <f>IF(COUNT(I572:BE572)&lt;5,DZ572,SUMPRODUCT(LARGE(I572:BE572,{1,2,3,4,5}))/5)</f>
        <v>0</v>
      </c>
      <c r="EK572" s="29">
        <f t="shared" si="160"/>
        <v>0</v>
      </c>
      <c r="EL572" s="29">
        <f>(EK572*100)/101.59</f>
        <v>0</v>
      </c>
      <c r="EM572" s="116">
        <f t="shared" si="159"/>
        <v>0</v>
      </c>
      <c r="EQ572"/>
    </row>
    <row r="573" spans="1:147" x14ac:dyDescent="0.25">
      <c r="A573" s="59"/>
      <c r="B573" s="32"/>
      <c r="C573" s="5"/>
      <c r="D573" s="6"/>
      <c r="E573" s="6"/>
      <c r="F573" s="6"/>
      <c r="G573" s="5"/>
      <c r="H573" s="99"/>
      <c r="I573" s="36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227"/>
      <c r="Z573" s="228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4"/>
      <c r="AP573" s="7"/>
      <c r="AQ573" s="74"/>
      <c r="AR573" s="70"/>
      <c r="AS573" s="7"/>
      <c r="AT573" s="70"/>
      <c r="AU573" s="7"/>
      <c r="AV573" s="70"/>
      <c r="AW573" s="7"/>
      <c r="AX573" s="183"/>
      <c r="AY573" s="10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4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101"/>
      <c r="CL573" s="74"/>
      <c r="CM573" s="74"/>
      <c r="CN573" s="74"/>
      <c r="CO573" s="70"/>
      <c r="CP573" s="74"/>
      <c r="CQ573" s="7"/>
      <c r="CR573" s="74"/>
      <c r="CS573" s="74"/>
      <c r="CT573" s="74"/>
      <c r="CU573" s="74"/>
      <c r="CV573" s="74"/>
      <c r="CW573" s="7"/>
      <c r="CX573" s="7"/>
      <c r="CY573" s="7"/>
      <c r="CZ573" s="7"/>
      <c r="DA573" s="7"/>
      <c r="DB573" s="7"/>
      <c r="DC573" s="7"/>
      <c r="DD573" s="7"/>
      <c r="DE573" s="74"/>
      <c r="DF573" s="74"/>
      <c r="DG573" s="74"/>
      <c r="DH573" s="74"/>
      <c r="DI573" s="74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8">
        <f t="shared" si="151"/>
        <v>0</v>
      </c>
      <c r="EA573" s="3">
        <f t="shared" si="152"/>
        <v>0</v>
      </c>
      <c r="EB573" s="2">
        <f t="shared" si="153"/>
        <v>0</v>
      </c>
      <c r="EC573" s="112">
        <f t="shared" si="161"/>
        <v>0</v>
      </c>
      <c r="ED573" s="29">
        <f t="shared" si="154"/>
        <v>0</v>
      </c>
      <c r="EE573" s="2">
        <f t="shared" si="155"/>
        <v>0</v>
      </c>
      <c r="EF573" s="46">
        <f t="shared" si="156"/>
        <v>0</v>
      </c>
      <c r="EG573" s="46">
        <f t="shared" si="157"/>
        <v>0</v>
      </c>
      <c r="EH573" s="2">
        <f t="shared" si="158"/>
        <v>0</v>
      </c>
      <c r="EI573" s="29">
        <f>IF(COUNT(I573:AD573)&lt;5,DZ573,SUMPRODUCT(LARGE(I573:AD573,{1,2,3,4,5}))/5)</f>
        <v>0</v>
      </c>
      <c r="EJ573" s="29">
        <f>IF(COUNT(I573:BE573)&lt;5,DZ573,SUMPRODUCT(LARGE(I573:BE573,{1,2,3,4,5}))/5)</f>
        <v>0</v>
      </c>
      <c r="EK573" s="29">
        <f t="shared" si="160"/>
        <v>0</v>
      </c>
      <c r="EL573" s="29">
        <f>(EK573*100)/101.28</f>
        <v>0</v>
      </c>
      <c r="EM573" s="116">
        <f t="shared" si="159"/>
        <v>0</v>
      </c>
      <c r="EQ573"/>
    </row>
    <row r="574" spans="1:147" x14ac:dyDescent="0.25">
      <c r="A574" s="59"/>
      <c r="B574" s="32"/>
      <c r="C574" s="5"/>
      <c r="D574" s="6"/>
      <c r="E574" s="6"/>
      <c r="F574" s="6"/>
      <c r="G574" s="5"/>
      <c r="H574" s="37"/>
      <c r="I574" s="36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227"/>
      <c r="Z574" s="228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4"/>
      <c r="AP574" s="7"/>
      <c r="AQ574" s="74"/>
      <c r="AR574" s="70"/>
      <c r="AS574" s="7"/>
      <c r="AT574" s="70"/>
      <c r="AU574" s="7"/>
      <c r="AV574" s="70"/>
      <c r="AW574" s="7"/>
      <c r="AX574" s="183"/>
      <c r="AY574" s="10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4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101"/>
      <c r="CL574" s="74"/>
      <c r="CM574" s="74"/>
      <c r="CN574" s="74"/>
      <c r="CO574" s="70"/>
      <c r="CP574" s="74"/>
      <c r="CQ574" s="7"/>
      <c r="CR574" s="74"/>
      <c r="CS574" s="74"/>
      <c r="CT574" s="74"/>
      <c r="CU574" s="74"/>
      <c r="CV574" s="7"/>
      <c r="CW574" s="7"/>
      <c r="CX574" s="7"/>
      <c r="CY574" s="7"/>
      <c r="CZ574" s="7"/>
      <c r="DA574" s="7"/>
      <c r="DB574" s="7"/>
      <c r="DC574" s="7"/>
      <c r="DD574" s="7"/>
      <c r="DE574" s="74"/>
      <c r="DF574" s="74"/>
      <c r="DG574" s="74"/>
      <c r="DH574" s="7"/>
      <c r="DI574" s="74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8">
        <f t="shared" si="151"/>
        <v>0</v>
      </c>
      <c r="EA574" s="3">
        <f t="shared" si="152"/>
        <v>0</v>
      </c>
      <c r="EB574" s="2">
        <f t="shared" si="153"/>
        <v>0</v>
      </c>
      <c r="EC574" s="112">
        <f t="shared" si="161"/>
        <v>0</v>
      </c>
      <c r="ED574" s="29">
        <f t="shared" si="154"/>
        <v>0</v>
      </c>
      <c r="EE574" s="2">
        <f t="shared" si="155"/>
        <v>0</v>
      </c>
      <c r="EF574" s="46">
        <f t="shared" si="156"/>
        <v>0</v>
      </c>
      <c r="EG574" s="46">
        <f t="shared" si="157"/>
        <v>0</v>
      </c>
      <c r="EH574" s="2">
        <f t="shared" si="158"/>
        <v>0</v>
      </c>
      <c r="EI574" s="29">
        <f>IF(COUNT(I574:AD574)&lt;5,DZ574,SUMPRODUCT(LARGE(I574:AD574,{1,2,3,4,5}))/5)</f>
        <v>0</v>
      </c>
      <c r="EJ574" s="29">
        <f>IF(COUNT(I574:BE574)&lt;5,DZ574,SUMPRODUCT(LARGE(I574:BE574,{1,2,3,4,5}))/5)</f>
        <v>0</v>
      </c>
      <c r="EK574" s="29">
        <f t="shared" si="160"/>
        <v>0</v>
      </c>
      <c r="EL574" s="29">
        <f>(EK574*100)/101.28</f>
        <v>0</v>
      </c>
      <c r="EM574" s="116">
        <f t="shared" si="159"/>
        <v>0</v>
      </c>
      <c r="EQ574"/>
    </row>
    <row r="575" spans="1:147" x14ac:dyDescent="0.25">
      <c r="A575" s="59"/>
      <c r="B575" s="32"/>
      <c r="C575" s="5"/>
      <c r="D575" s="6"/>
      <c r="E575" s="6"/>
      <c r="F575" s="6"/>
      <c r="G575" s="5"/>
      <c r="H575" s="99"/>
      <c r="I575" s="36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227"/>
      <c r="Z575" s="228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4"/>
      <c r="AP575" s="7"/>
      <c r="AQ575" s="74"/>
      <c r="AR575" s="70"/>
      <c r="AS575" s="7"/>
      <c r="AT575" s="70"/>
      <c r="AU575" s="7"/>
      <c r="AV575" s="70"/>
      <c r="AW575" s="7"/>
      <c r="AX575" s="183"/>
      <c r="AY575" s="10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4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101"/>
      <c r="CL575" s="74"/>
      <c r="CM575" s="74"/>
      <c r="CN575" s="74"/>
      <c r="CO575" s="70"/>
      <c r="CP575" s="74"/>
      <c r="CQ575" s="7"/>
      <c r="CR575" s="74"/>
      <c r="CS575" s="74"/>
      <c r="CT575" s="74"/>
      <c r="CU575" s="74"/>
      <c r="CV575" s="7"/>
      <c r="CW575" s="7"/>
      <c r="CX575" s="7"/>
      <c r="CY575" s="7"/>
      <c r="CZ575" s="7"/>
      <c r="DA575" s="7"/>
      <c r="DB575" s="7"/>
      <c r="DC575" s="7"/>
      <c r="DD575" s="7"/>
      <c r="DE575" s="74"/>
      <c r="DF575" s="74"/>
      <c r="DG575" s="74"/>
      <c r="DH575" s="74"/>
      <c r="DI575" s="74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8">
        <f t="shared" si="151"/>
        <v>0</v>
      </c>
      <c r="EA575" s="3">
        <f t="shared" si="152"/>
        <v>0</v>
      </c>
      <c r="EB575" s="2">
        <f t="shared" si="153"/>
        <v>0</v>
      </c>
      <c r="EC575" s="112">
        <f t="shared" si="161"/>
        <v>0</v>
      </c>
      <c r="ED575" s="29">
        <f t="shared" si="154"/>
        <v>0</v>
      </c>
      <c r="EE575" s="2">
        <f t="shared" si="155"/>
        <v>0</v>
      </c>
      <c r="EF575" s="46">
        <f t="shared" si="156"/>
        <v>0</v>
      </c>
      <c r="EG575" s="46">
        <f t="shared" si="157"/>
        <v>0</v>
      </c>
      <c r="EH575" s="2">
        <f t="shared" si="158"/>
        <v>0</v>
      </c>
      <c r="EI575" s="29">
        <f>IF(COUNT(I575:AD575)&lt;5,DZ575,SUMPRODUCT(LARGE(I575:AD575,{1,2,3,4,5}))/5)</f>
        <v>0</v>
      </c>
      <c r="EJ575" s="29">
        <f>IF(COUNT(I575:BE575)&lt;5,DZ575,SUMPRODUCT(LARGE(I575:BE575,{1,2,3,4,5}))/5)</f>
        <v>0</v>
      </c>
      <c r="EK575" s="29">
        <f t="shared" si="160"/>
        <v>0</v>
      </c>
      <c r="EL575" s="29">
        <f>(EK575*100)/101.28</f>
        <v>0</v>
      </c>
      <c r="EM575" s="116">
        <f t="shared" si="159"/>
        <v>0</v>
      </c>
      <c r="EQ575"/>
    </row>
    <row r="576" spans="1:147" x14ac:dyDescent="0.25">
      <c r="A576" s="59"/>
      <c r="B576" s="32"/>
      <c r="C576" s="5"/>
      <c r="D576" s="6"/>
      <c r="E576" s="6"/>
      <c r="F576" s="6"/>
      <c r="G576" s="5"/>
      <c r="H576" s="37"/>
      <c r="I576" s="36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227"/>
      <c r="Z576" s="228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4"/>
      <c r="AP576" s="7"/>
      <c r="AQ576" s="74"/>
      <c r="AR576" s="70"/>
      <c r="AS576" s="7"/>
      <c r="AT576" s="70"/>
      <c r="AU576" s="7"/>
      <c r="AV576" s="70"/>
      <c r="AW576" s="7"/>
      <c r="AX576" s="8"/>
      <c r="AY576" s="36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4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101"/>
      <c r="CL576" s="74"/>
      <c r="CM576" s="74"/>
      <c r="CN576" s="74"/>
      <c r="CO576" s="70"/>
      <c r="CP576" s="74"/>
      <c r="CQ576" s="7"/>
      <c r="CR576" s="74"/>
      <c r="CS576" s="74"/>
      <c r="CT576" s="74"/>
      <c r="CU576" s="74"/>
      <c r="CV576" s="7"/>
      <c r="CW576" s="7"/>
      <c r="CX576" s="7"/>
      <c r="CY576" s="7"/>
      <c r="CZ576" s="7"/>
      <c r="DA576" s="7"/>
      <c r="DB576" s="7"/>
      <c r="DC576" s="7"/>
      <c r="DD576" s="7"/>
      <c r="DE576" s="74"/>
      <c r="DF576" s="74"/>
      <c r="DG576" s="74"/>
      <c r="DH576" s="7"/>
      <c r="DI576" s="7"/>
      <c r="DJ576" s="7"/>
      <c r="DK576" s="7"/>
      <c r="DL576" s="7"/>
      <c r="DM576" s="7"/>
      <c r="DN576" s="7"/>
      <c r="DO576" s="7"/>
      <c r="DP576" s="7"/>
      <c r="DQ576" s="74"/>
      <c r="DR576" s="74"/>
      <c r="DS576" s="7"/>
      <c r="DT576" s="7"/>
      <c r="DU576" s="7"/>
      <c r="DV576" s="7"/>
      <c r="DW576" s="7"/>
      <c r="DX576" s="7"/>
      <c r="DY576" s="7"/>
      <c r="DZ576" s="8">
        <f t="shared" si="151"/>
        <v>0</v>
      </c>
      <c r="EA576" s="3">
        <f t="shared" si="152"/>
        <v>0</v>
      </c>
      <c r="EB576" s="2">
        <f t="shared" si="153"/>
        <v>0</v>
      </c>
      <c r="EC576" s="112">
        <f t="shared" si="161"/>
        <v>0</v>
      </c>
      <c r="ED576" s="29">
        <f t="shared" si="154"/>
        <v>0</v>
      </c>
      <c r="EE576" s="2">
        <f t="shared" si="155"/>
        <v>0</v>
      </c>
      <c r="EF576" s="46">
        <f t="shared" si="156"/>
        <v>0</v>
      </c>
      <c r="EG576" s="46">
        <f t="shared" si="157"/>
        <v>0</v>
      </c>
      <c r="EH576" s="2">
        <f t="shared" si="158"/>
        <v>0</v>
      </c>
      <c r="EI576" s="29">
        <f>IF(COUNT(I576:AD576)&lt;5,DZ576,SUMPRODUCT(LARGE(I576:AD576,{1,2,3,4,5}))/5)</f>
        <v>0</v>
      </c>
      <c r="EJ576" s="29">
        <f>IF(COUNT(I576:BE576)&lt;5,DZ576,SUMPRODUCT(LARGE(I576:BE576,{1,2,3,4,5}))/5)</f>
        <v>0</v>
      </c>
      <c r="EK576" s="29">
        <f t="shared" si="160"/>
        <v>0</v>
      </c>
      <c r="EL576" s="29">
        <f>(EK576*100)/101.28</f>
        <v>0</v>
      </c>
      <c r="EM576" s="116">
        <f t="shared" si="159"/>
        <v>0</v>
      </c>
      <c r="EQ576"/>
    </row>
    <row r="577" spans="1:147" x14ac:dyDescent="0.25">
      <c r="A577" s="59"/>
      <c r="B577" s="32"/>
      <c r="C577" s="5"/>
      <c r="D577" s="6"/>
      <c r="E577" s="6"/>
      <c r="F577" s="6"/>
      <c r="G577" s="5"/>
      <c r="H577" s="37"/>
      <c r="I577" s="36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227"/>
      <c r="Z577" s="228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4"/>
      <c r="AP577" s="7"/>
      <c r="AQ577" s="74"/>
      <c r="AR577" s="70"/>
      <c r="AS577" s="7"/>
      <c r="AT577" s="70"/>
      <c r="AU577" s="7"/>
      <c r="AV577" s="70"/>
      <c r="AW577" s="7"/>
      <c r="AX577" s="8"/>
      <c r="AY577" s="36"/>
      <c r="AZ577" s="7"/>
      <c r="BA577" s="7"/>
      <c r="BB577" s="7"/>
      <c r="BC577" s="74"/>
      <c r="BD577" s="7"/>
      <c r="BE577" s="74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101"/>
      <c r="CL577" s="74"/>
      <c r="CM577" s="74"/>
      <c r="CN577" s="74"/>
      <c r="CO577" s="70"/>
      <c r="CP577" s="74"/>
      <c r="CQ577" s="7"/>
      <c r="CR577" s="74"/>
      <c r="CS577" s="74"/>
      <c r="CT577" s="74"/>
      <c r="CU577" s="74"/>
      <c r="CV577" s="74"/>
      <c r="CW577" s="7"/>
      <c r="CX577" s="7"/>
      <c r="CY577" s="7"/>
      <c r="CZ577" s="7"/>
      <c r="DA577" s="7"/>
      <c r="DB577" s="7"/>
      <c r="DC577" s="7"/>
      <c r="DD577" s="7"/>
      <c r="DE577" s="74"/>
      <c r="DF577" s="74"/>
      <c r="DG577" s="74"/>
      <c r="DH577" s="74"/>
      <c r="DI577" s="74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8">
        <f t="shared" si="151"/>
        <v>0</v>
      </c>
      <c r="EA577" s="3">
        <f t="shared" si="152"/>
        <v>0</v>
      </c>
      <c r="EB577" s="2">
        <f t="shared" si="153"/>
        <v>0</v>
      </c>
      <c r="EC577" s="112">
        <f t="shared" si="161"/>
        <v>0</v>
      </c>
      <c r="ED577" s="29">
        <f t="shared" si="154"/>
        <v>0</v>
      </c>
      <c r="EE577" s="2">
        <f t="shared" si="155"/>
        <v>0</v>
      </c>
      <c r="EF577" s="46">
        <f t="shared" si="156"/>
        <v>0</v>
      </c>
      <c r="EG577" s="46">
        <f t="shared" si="157"/>
        <v>0</v>
      </c>
      <c r="EH577" s="2">
        <f t="shared" si="158"/>
        <v>0</v>
      </c>
      <c r="EI577" s="29">
        <f>IF(COUNT(I577:AD577)&lt;5,DZ577,SUMPRODUCT(LARGE(I577:AD577,{1,2,3,4,5}))/5)</f>
        <v>0</v>
      </c>
      <c r="EJ577" s="29">
        <f>IF(COUNT(I577:BE577)&lt;5,DZ577,SUMPRODUCT(LARGE(I577:BE577,{1,2,3,4,5}))/5)</f>
        <v>0</v>
      </c>
      <c r="EK577" s="29">
        <f t="shared" si="160"/>
        <v>0</v>
      </c>
      <c r="EL577" s="29">
        <f>(EK577*100)/101.59</f>
        <v>0</v>
      </c>
      <c r="EM577" s="116">
        <f t="shared" si="159"/>
        <v>0</v>
      </c>
      <c r="EQ577"/>
    </row>
    <row r="578" spans="1:147" x14ac:dyDescent="0.25">
      <c r="A578" s="59"/>
      <c r="B578" s="4"/>
      <c r="C578" s="5"/>
      <c r="D578" s="5"/>
      <c r="E578" s="6"/>
      <c r="F578" s="6"/>
      <c r="G578" s="5"/>
      <c r="H578" s="37"/>
      <c r="I578" s="107"/>
      <c r="J578" s="7"/>
      <c r="K578" s="74"/>
      <c r="L578" s="7"/>
      <c r="M578" s="74"/>
      <c r="N578" s="74"/>
      <c r="O578" s="7"/>
      <c r="P578" s="74"/>
      <c r="Q578" s="7"/>
      <c r="R578" s="74"/>
      <c r="S578" s="74"/>
      <c r="T578" s="7"/>
      <c r="U578" s="7"/>
      <c r="V578" s="74"/>
      <c r="W578" s="7"/>
      <c r="X578" s="74"/>
      <c r="Y578" s="227"/>
      <c r="Z578" s="228"/>
      <c r="AA578" s="74"/>
      <c r="AB578" s="74"/>
      <c r="AC578" s="74"/>
      <c r="AD578" s="74"/>
      <c r="AE578" s="7"/>
      <c r="AF578" s="74"/>
      <c r="AG578" s="74"/>
      <c r="AH578" s="7"/>
      <c r="AI578" s="7"/>
      <c r="AJ578" s="7"/>
      <c r="AK578" s="7"/>
      <c r="AL578" s="7"/>
      <c r="AM578" s="7"/>
      <c r="AN578" s="7"/>
      <c r="AO578" s="74"/>
      <c r="AP578" s="7"/>
      <c r="AQ578" s="74"/>
      <c r="AR578" s="101"/>
      <c r="AS578" s="7"/>
      <c r="AT578" s="101"/>
      <c r="AU578" s="7"/>
      <c r="AV578" s="101"/>
      <c r="AW578" s="7"/>
      <c r="AX578" s="8"/>
      <c r="AY578" s="36"/>
      <c r="AZ578" s="74"/>
      <c r="BA578" s="74"/>
      <c r="BB578" s="74"/>
      <c r="BC578" s="74"/>
      <c r="BD578" s="74"/>
      <c r="BE578" s="74"/>
      <c r="BF578" s="74"/>
      <c r="BG578" s="74"/>
      <c r="BH578" s="74"/>
      <c r="BI578" s="74"/>
      <c r="BJ578" s="74"/>
      <c r="BK578" s="7"/>
      <c r="BL578" s="74"/>
      <c r="BM578" s="7"/>
      <c r="BN578" s="74"/>
      <c r="BO578" s="74"/>
      <c r="BP578" s="74"/>
      <c r="BQ578" s="74"/>
      <c r="BR578" s="74"/>
      <c r="BS578" s="74"/>
      <c r="BT578" s="74"/>
      <c r="BU578" s="74"/>
      <c r="BV578" s="74"/>
      <c r="BW578" s="74"/>
      <c r="BX578" s="74"/>
      <c r="BY578" s="74"/>
      <c r="BZ578" s="74"/>
      <c r="CA578" s="74"/>
      <c r="CB578" s="74"/>
      <c r="CC578" s="74"/>
      <c r="CD578" s="74"/>
      <c r="CE578" s="7"/>
      <c r="CF578" s="74"/>
      <c r="CG578" s="74"/>
      <c r="CH578" s="7"/>
      <c r="CI578" s="74"/>
      <c r="CJ578" s="74"/>
      <c r="CK578" s="101"/>
      <c r="CL578" s="74"/>
      <c r="CM578" s="74"/>
      <c r="CN578" s="74"/>
      <c r="CO578" s="101"/>
      <c r="CP578" s="74"/>
      <c r="CQ578" s="74"/>
      <c r="CR578" s="74"/>
      <c r="CS578" s="74"/>
      <c r="CT578" s="74"/>
      <c r="CU578" s="74"/>
      <c r="CV578" s="74"/>
      <c r="CW578" s="74"/>
      <c r="CX578" s="74"/>
      <c r="CY578" s="74"/>
      <c r="CZ578" s="74"/>
      <c r="DA578" s="74"/>
      <c r="DB578" s="74"/>
      <c r="DC578" s="74"/>
      <c r="DD578" s="74"/>
      <c r="DE578" s="74"/>
      <c r="DF578" s="74"/>
      <c r="DG578" s="74"/>
      <c r="DH578" s="74"/>
      <c r="DI578" s="74"/>
      <c r="DJ578" s="74"/>
      <c r="DK578" s="74"/>
      <c r="DL578" s="74"/>
      <c r="DM578" s="74"/>
      <c r="DN578" s="74"/>
      <c r="DO578" s="74"/>
      <c r="DP578" s="74"/>
      <c r="DQ578" s="74"/>
      <c r="DR578" s="74"/>
      <c r="DS578" s="74"/>
      <c r="DT578" s="74"/>
      <c r="DU578" s="74"/>
      <c r="DV578" s="74"/>
      <c r="DW578" s="74"/>
      <c r="DX578" s="74"/>
      <c r="DY578" s="74"/>
      <c r="DZ578" s="8">
        <f t="shared" si="151"/>
        <v>0</v>
      </c>
      <c r="EA578" s="3">
        <f t="shared" si="152"/>
        <v>0</v>
      </c>
      <c r="EB578" s="2">
        <f t="shared" si="153"/>
        <v>0</v>
      </c>
      <c r="EC578" s="112">
        <f t="shared" si="161"/>
        <v>0</v>
      </c>
      <c r="ED578" s="29">
        <f t="shared" si="154"/>
        <v>0</v>
      </c>
      <c r="EE578" s="2">
        <f t="shared" si="155"/>
        <v>0</v>
      </c>
      <c r="EF578" s="46">
        <f t="shared" si="156"/>
        <v>0</v>
      </c>
      <c r="EG578" s="46">
        <f t="shared" si="157"/>
        <v>0</v>
      </c>
      <c r="EH578" s="29">
        <f t="shared" si="158"/>
        <v>0</v>
      </c>
      <c r="EI578" s="29">
        <f>IF(COUNT(I578:AD578)&lt;5,DZ578,SUMPRODUCT(LARGE(I578:AD578,{1,2,3,4,5}))/5)</f>
        <v>0</v>
      </c>
      <c r="EJ578" s="29">
        <f>IF(COUNT(I578:BE578)&lt;5,DZ578,SUMPRODUCT(LARGE(I578:BE578,{1,2,3,4,5}))/5)</f>
        <v>0</v>
      </c>
      <c r="EK578" s="29">
        <f t="shared" si="160"/>
        <v>0</v>
      </c>
      <c r="EL578" s="29">
        <f>(EK578*100)/101.28</f>
        <v>0</v>
      </c>
      <c r="EM578" s="116">
        <f t="shared" si="159"/>
        <v>0</v>
      </c>
      <c r="EQ578"/>
    </row>
    <row r="579" spans="1:147" x14ac:dyDescent="0.25">
      <c r="A579" s="59"/>
      <c r="B579" s="32"/>
      <c r="C579" s="5"/>
      <c r="D579" s="6"/>
      <c r="E579" s="6"/>
      <c r="F579" s="6"/>
      <c r="G579" s="5"/>
      <c r="H579" s="99"/>
      <c r="I579" s="107"/>
      <c r="J579" s="7"/>
      <c r="K579" s="74"/>
      <c r="L579" s="7"/>
      <c r="M579" s="74"/>
      <c r="N579" s="74"/>
      <c r="O579" s="7"/>
      <c r="P579" s="74"/>
      <c r="Q579" s="7"/>
      <c r="R579" s="74"/>
      <c r="S579" s="74"/>
      <c r="T579" s="7"/>
      <c r="U579" s="7"/>
      <c r="V579" s="74"/>
      <c r="W579" s="74"/>
      <c r="X579" s="74"/>
      <c r="Y579" s="227"/>
      <c r="Z579" s="228"/>
      <c r="AA579" s="74"/>
      <c r="AB579" s="74"/>
      <c r="AC579" s="74"/>
      <c r="AD579" s="74"/>
      <c r="AE579" s="7"/>
      <c r="AF579" s="74"/>
      <c r="AG579" s="74"/>
      <c r="AH579" s="7"/>
      <c r="AI579" s="7"/>
      <c r="AJ579" s="7"/>
      <c r="AK579" s="7"/>
      <c r="AL579" s="7"/>
      <c r="AM579" s="7"/>
      <c r="AN579" s="7"/>
      <c r="AO579" s="74"/>
      <c r="AP579" s="7"/>
      <c r="AQ579" s="74"/>
      <c r="AR579" s="101"/>
      <c r="AS579" s="7"/>
      <c r="AT579" s="101"/>
      <c r="AU579" s="7"/>
      <c r="AV579" s="101"/>
      <c r="AW579" s="7"/>
      <c r="AX579" s="8"/>
      <c r="AY579" s="36"/>
      <c r="AZ579" s="100"/>
      <c r="BA579" s="74"/>
      <c r="BB579" s="74"/>
      <c r="BC579" s="74"/>
      <c r="BD579" s="74"/>
      <c r="BE579" s="74"/>
      <c r="BF579" s="74"/>
      <c r="BG579" s="74"/>
      <c r="BH579" s="74"/>
      <c r="BI579" s="74"/>
      <c r="BJ579" s="74"/>
      <c r="BK579" s="7"/>
      <c r="BL579" s="74"/>
      <c r="BM579" s="7"/>
      <c r="BN579" s="74"/>
      <c r="BO579" s="74"/>
      <c r="BP579" s="74"/>
      <c r="BQ579" s="74"/>
      <c r="BR579" s="74"/>
      <c r="BS579" s="74"/>
      <c r="BT579" s="74"/>
      <c r="BU579" s="74"/>
      <c r="BV579" s="74"/>
      <c r="BW579" s="74"/>
      <c r="BX579" s="74"/>
      <c r="BY579" s="74"/>
      <c r="BZ579" s="74"/>
      <c r="CA579" s="74"/>
      <c r="CB579" s="74"/>
      <c r="CC579" s="74"/>
      <c r="CD579" s="74"/>
      <c r="CE579" s="7"/>
      <c r="CF579" s="74"/>
      <c r="CG579" s="74"/>
      <c r="CH579" s="7"/>
      <c r="CI579" s="74"/>
      <c r="CJ579" s="74"/>
      <c r="CK579" s="101"/>
      <c r="CL579" s="74"/>
      <c r="CM579" s="74"/>
      <c r="CN579" s="74"/>
      <c r="CO579" s="101"/>
      <c r="CP579" s="74"/>
      <c r="CQ579" s="74"/>
      <c r="CR579" s="74"/>
      <c r="CS579" s="74"/>
      <c r="CT579" s="74"/>
      <c r="CU579" s="74"/>
      <c r="CV579" s="74"/>
      <c r="CW579" s="74"/>
      <c r="CX579" s="74"/>
      <c r="CY579" s="74"/>
      <c r="CZ579" s="74"/>
      <c r="DA579" s="74"/>
      <c r="DB579" s="74"/>
      <c r="DC579" s="74"/>
      <c r="DD579" s="74"/>
      <c r="DE579" s="74"/>
      <c r="DF579" s="74"/>
      <c r="DG579" s="74"/>
      <c r="DH579" s="74"/>
      <c r="DI579" s="74"/>
      <c r="DJ579" s="74"/>
      <c r="DK579" s="74"/>
      <c r="DL579" s="74"/>
      <c r="DM579" s="74"/>
      <c r="DN579" s="74"/>
      <c r="DO579" s="74"/>
      <c r="DP579" s="74"/>
      <c r="DQ579" s="74"/>
      <c r="DR579" s="74"/>
      <c r="DS579" s="74"/>
      <c r="DT579" s="74"/>
      <c r="DU579" s="74"/>
      <c r="DV579" s="74"/>
      <c r="DW579" s="74"/>
      <c r="DX579" s="74"/>
      <c r="DY579" s="74"/>
      <c r="DZ579" s="8">
        <f t="shared" si="151"/>
        <v>0</v>
      </c>
      <c r="EA579" s="3">
        <f t="shared" si="152"/>
        <v>0</v>
      </c>
      <c r="EB579" s="2">
        <f t="shared" si="153"/>
        <v>0</v>
      </c>
      <c r="EC579" s="112">
        <f t="shared" si="161"/>
        <v>0</v>
      </c>
      <c r="ED579" s="29">
        <f t="shared" si="154"/>
        <v>0</v>
      </c>
      <c r="EE579" s="2">
        <f t="shared" si="155"/>
        <v>0</v>
      </c>
      <c r="EF579" s="46">
        <f t="shared" si="156"/>
        <v>0</v>
      </c>
      <c r="EG579" s="46">
        <f t="shared" si="157"/>
        <v>0</v>
      </c>
      <c r="EH579" s="29">
        <f t="shared" si="158"/>
        <v>0</v>
      </c>
      <c r="EI579" s="29">
        <f>IF(COUNT(I579:AD579)&lt;5,DZ579,SUMPRODUCT(LARGE(I579:AD579,{1,2,3,4,5}))/5)</f>
        <v>0</v>
      </c>
      <c r="EJ579" s="29">
        <f>IF(COUNT(I579:BE579)&lt;5,DZ579,SUMPRODUCT(LARGE(I579:BE579,{1,2,3,4,5}))/5)</f>
        <v>0</v>
      </c>
      <c r="EK579" s="29">
        <f t="shared" si="160"/>
        <v>0</v>
      </c>
      <c r="EL579" s="29">
        <f>(EK579*100)/101.59</f>
        <v>0</v>
      </c>
      <c r="EM579" s="116">
        <f t="shared" si="159"/>
        <v>0</v>
      </c>
      <c r="EQ579"/>
    </row>
    <row r="580" spans="1:147" x14ac:dyDescent="0.25">
      <c r="A580" s="59"/>
      <c r="B580" s="32"/>
      <c r="C580" s="5"/>
      <c r="D580" s="6"/>
      <c r="E580" s="6"/>
      <c r="F580" s="6"/>
      <c r="G580" s="5"/>
      <c r="H580" s="37"/>
      <c r="I580" s="107"/>
      <c r="J580" s="7"/>
      <c r="K580" s="74"/>
      <c r="L580" s="7"/>
      <c r="M580" s="74"/>
      <c r="N580" s="74"/>
      <c r="O580" s="7"/>
      <c r="P580" s="74"/>
      <c r="Q580" s="7"/>
      <c r="R580" s="74"/>
      <c r="S580" s="74"/>
      <c r="T580" s="7"/>
      <c r="U580" s="7"/>
      <c r="V580" s="74"/>
      <c r="W580" s="74"/>
      <c r="X580" s="74"/>
      <c r="Y580" s="227"/>
      <c r="Z580" s="228"/>
      <c r="AA580" s="74"/>
      <c r="AB580" s="74"/>
      <c r="AC580" s="74"/>
      <c r="AD580" s="74"/>
      <c r="AE580" s="7"/>
      <c r="AF580" s="74"/>
      <c r="AG580" s="74"/>
      <c r="AH580" s="7"/>
      <c r="AI580" s="7"/>
      <c r="AJ580" s="7"/>
      <c r="AK580" s="7"/>
      <c r="AL580" s="7"/>
      <c r="AM580" s="7"/>
      <c r="AN580" s="7"/>
      <c r="AO580" s="74"/>
      <c r="AP580" s="7"/>
      <c r="AQ580" s="74"/>
      <c r="AR580" s="101"/>
      <c r="AS580" s="7"/>
      <c r="AT580" s="101"/>
      <c r="AU580" s="7"/>
      <c r="AV580" s="101"/>
      <c r="AW580" s="7"/>
      <c r="AX580" s="8"/>
      <c r="AY580" s="36"/>
      <c r="AZ580" s="74"/>
      <c r="BA580" s="74"/>
      <c r="BB580" s="74"/>
      <c r="BC580" s="74"/>
      <c r="BD580" s="74"/>
      <c r="BE580" s="74"/>
      <c r="BF580" s="74"/>
      <c r="BG580" s="74"/>
      <c r="BH580" s="74"/>
      <c r="BI580" s="74"/>
      <c r="BJ580" s="74"/>
      <c r="BK580" s="7"/>
      <c r="BL580" s="74"/>
      <c r="BM580" s="7"/>
      <c r="BN580" s="74"/>
      <c r="BO580" s="74"/>
      <c r="BP580" s="74"/>
      <c r="BQ580" s="74"/>
      <c r="BR580" s="74"/>
      <c r="BS580" s="74"/>
      <c r="BT580" s="74"/>
      <c r="BU580" s="74"/>
      <c r="BV580" s="74"/>
      <c r="BW580" s="74"/>
      <c r="BX580" s="74"/>
      <c r="BY580" s="74"/>
      <c r="BZ580" s="74"/>
      <c r="CA580" s="74"/>
      <c r="CB580" s="74"/>
      <c r="CC580" s="74"/>
      <c r="CD580" s="74"/>
      <c r="CE580" s="7"/>
      <c r="CF580" s="74"/>
      <c r="CG580" s="74"/>
      <c r="CH580" s="7"/>
      <c r="CI580" s="74"/>
      <c r="CJ580" s="74"/>
      <c r="CK580" s="101"/>
      <c r="CL580" s="74"/>
      <c r="CM580" s="74"/>
      <c r="CN580" s="74"/>
      <c r="CO580" s="101"/>
      <c r="CP580" s="74"/>
      <c r="CQ580" s="74"/>
      <c r="CR580" s="74"/>
      <c r="CS580" s="74"/>
      <c r="CT580" s="74"/>
      <c r="CU580" s="74"/>
      <c r="CV580" s="74"/>
      <c r="CW580" s="74"/>
      <c r="CX580" s="74"/>
      <c r="CY580" s="74"/>
      <c r="CZ580" s="74"/>
      <c r="DA580" s="74"/>
      <c r="DB580" s="74"/>
      <c r="DC580" s="74"/>
      <c r="DD580" s="74"/>
      <c r="DE580" s="74"/>
      <c r="DF580" s="74"/>
      <c r="DG580" s="74"/>
      <c r="DH580" s="74"/>
      <c r="DI580" s="74"/>
      <c r="DJ580" s="74"/>
      <c r="DK580" s="74"/>
      <c r="DL580" s="74"/>
      <c r="DM580" s="74"/>
      <c r="DN580" s="74"/>
      <c r="DO580" s="74"/>
      <c r="DP580" s="74"/>
      <c r="DQ580" s="74"/>
      <c r="DR580" s="74"/>
      <c r="DS580" s="74"/>
      <c r="DT580" s="74"/>
      <c r="DU580" s="74"/>
      <c r="DV580" s="74"/>
      <c r="DW580" s="74"/>
      <c r="DX580" s="74"/>
      <c r="DY580" s="74"/>
      <c r="DZ580" s="8">
        <f t="shared" si="151"/>
        <v>0</v>
      </c>
      <c r="EA580" s="3">
        <f t="shared" si="152"/>
        <v>0</v>
      </c>
      <c r="EB580" s="2">
        <f t="shared" si="153"/>
        <v>0</v>
      </c>
      <c r="EC580" s="112">
        <f t="shared" si="161"/>
        <v>0</v>
      </c>
      <c r="ED580" s="29">
        <f t="shared" si="154"/>
        <v>0</v>
      </c>
      <c r="EE580" s="2">
        <f t="shared" si="155"/>
        <v>0</v>
      </c>
      <c r="EF580" s="46">
        <f t="shared" si="156"/>
        <v>0</v>
      </c>
      <c r="EG580" s="46">
        <f t="shared" si="157"/>
        <v>0</v>
      </c>
      <c r="EH580" s="29">
        <f t="shared" si="158"/>
        <v>0</v>
      </c>
      <c r="EI580" s="29">
        <f>IF(COUNT(I580:AD580)&lt;5,DZ580,SUMPRODUCT(LARGE(I580:AD580,{1,2,3,4,5}))/5)</f>
        <v>0</v>
      </c>
      <c r="EJ580" s="29">
        <f>IF(COUNT(I580:BE580)&lt;5,DZ580,SUMPRODUCT(LARGE(I580:BE580,{1,2,3,4,5}))/5)</f>
        <v>0</v>
      </c>
      <c r="EK580" s="29">
        <f t="shared" si="160"/>
        <v>0</v>
      </c>
      <c r="EL580" s="29">
        <f>(EK580*100)/101.28</f>
        <v>0</v>
      </c>
      <c r="EM580" s="116">
        <f t="shared" si="159"/>
        <v>0</v>
      </c>
      <c r="EQ580"/>
    </row>
    <row r="581" spans="1:147" x14ac:dyDescent="0.25">
      <c r="A581" s="59"/>
      <c r="B581" s="32"/>
      <c r="C581" s="5"/>
      <c r="D581" s="6"/>
      <c r="E581" s="6"/>
      <c r="F581" s="6"/>
      <c r="G581" s="5"/>
      <c r="H581" s="37"/>
      <c r="I581" s="107"/>
      <c r="J581" s="7"/>
      <c r="K581" s="74"/>
      <c r="L581" s="7"/>
      <c r="M581" s="74"/>
      <c r="N581" s="74"/>
      <c r="O581" s="7"/>
      <c r="P581" s="74"/>
      <c r="Q581" s="7"/>
      <c r="R581" s="74"/>
      <c r="S581" s="74"/>
      <c r="T581" s="7"/>
      <c r="U581" s="7"/>
      <c r="V581" s="74"/>
      <c r="W581" s="74"/>
      <c r="X581" s="74"/>
      <c r="Y581" s="227"/>
      <c r="Z581" s="228"/>
      <c r="AA581" s="74"/>
      <c r="AB581" s="74"/>
      <c r="AC581" s="74"/>
      <c r="AD581" s="74"/>
      <c r="AE581" s="7"/>
      <c r="AF581" s="74"/>
      <c r="AG581" s="74"/>
      <c r="AH581" s="7"/>
      <c r="AI581" s="7"/>
      <c r="AJ581" s="7"/>
      <c r="AK581" s="7"/>
      <c r="AL581" s="7"/>
      <c r="AM581" s="7"/>
      <c r="AN581" s="7"/>
      <c r="AO581" s="74"/>
      <c r="AP581" s="7"/>
      <c r="AQ581" s="74"/>
      <c r="AR581" s="101"/>
      <c r="AS581" s="7"/>
      <c r="AT581" s="101"/>
      <c r="AU581" s="7"/>
      <c r="AV581" s="101"/>
      <c r="AW581" s="7"/>
      <c r="AX581" s="183"/>
      <c r="AY581" s="107"/>
      <c r="AZ581" s="74"/>
      <c r="BA581" s="74"/>
      <c r="BB581" s="74"/>
      <c r="BC581" s="74"/>
      <c r="BD581" s="74"/>
      <c r="BE581" s="74"/>
      <c r="BF581" s="74"/>
      <c r="BG581" s="74"/>
      <c r="BH581" s="74"/>
      <c r="BI581" s="74"/>
      <c r="BJ581" s="74"/>
      <c r="BK581" s="7"/>
      <c r="BL581" s="74"/>
      <c r="BM581" s="7"/>
      <c r="BN581" s="74"/>
      <c r="BO581" s="74"/>
      <c r="BP581" s="74"/>
      <c r="BQ581" s="74"/>
      <c r="BR581" s="74"/>
      <c r="BS581" s="74"/>
      <c r="BT581" s="74"/>
      <c r="BU581" s="74"/>
      <c r="BV581" s="74"/>
      <c r="BW581" s="74"/>
      <c r="BX581" s="74"/>
      <c r="BY581" s="74"/>
      <c r="BZ581" s="74"/>
      <c r="CA581" s="74"/>
      <c r="CB581" s="74"/>
      <c r="CC581" s="74"/>
      <c r="CD581" s="74"/>
      <c r="CE581" s="7"/>
      <c r="CF581" s="74"/>
      <c r="CG581" s="74"/>
      <c r="CH581" s="7"/>
      <c r="CI581" s="74"/>
      <c r="CJ581" s="74"/>
      <c r="CK581" s="101"/>
      <c r="CL581" s="74"/>
      <c r="CM581" s="74"/>
      <c r="CN581" s="74"/>
      <c r="CO581" s="101"/>
      <c r="CP581" s="74"/>
      <c r="CQ581" s="74"/>
      <c r="CR581" s="74"/>
      <c r="CS581" s="74"/>
      <c r="CT581" s="74"/>
      <c r="CU581" s="74"/>
      <c r="CV581" s="74"/>
      <c r="CW581" s="74"/>
      <c r="CX581" s="74"/>
      <c r="CY581" s="74"/>
      <c r="CZ581" s="74"/>
      <c r="DA581" s="74"/>
      <c r="DB581" s="74"/>
      <c r="DC581" s="74"/>
      <c r="DD581" s="74"/>
      <c r="DE581" s="74"/>
      <c r="DF581" s="74"/>
      <c r="DG581" s="74"/>
      <c r="DH581" s="74"/>
      <c r="DI581" s="74"/>
      <c r="DJ581" s="74"/>
      <c r="DK581" s="74"/>
      <c r="DL581" s="74"/>
      <c r="DM581" s="74"/>
      <c r="DN581" s="74"/>
      <c r="DO581" s="74"/>
      <c r="DP581" s="74"/>
      <c r="DQ581" s="74"/>
      <c r="DR581" s="74"/>
      <c r="DS581" s="74"/>
      <c r="DT581" s="74"/>
      <c r="DU581" s="74"/>
      <c r="DV581" s="74"/>
      <c r="DW581" s="74"/>
      <c r="DX581" s="74"/>
      <c r="DY581" s="74"/>
      <c r="DZ581" s="8">
        <f t="shared" ref="DZ581:DZ644" si="164">IF(EB581&gt;0,AVERAGE(I581:DY581),H581)</f>
        <v>0</v>
      </c>
      <c r="EA581" s="3">
        <f t="shared" ref="EA581:EA644" si="165">B581</f>
        <v>0</v>
      </c>
      <c r="EB581" s="2">
        <f t="shared" ref="EB581:EB644" si="166">IF(G581&gt;0,1,0)</f>
        <v>0</v>
      </c>
      <c r="EC581" s="112">
        <f t="shared" si="161"/>
        <v>0</v>
      </c>
      <c r="ED581" s="29">
        <f t="shared" ref="ED581:ED644" si="167">EL581</f>
        <v>0</v>
      </c>
      <c r="EE581" s="2">
        <f t="shared" ref="EE581:EE644" si="168">COUNT(I581:AH581)</f>
        <v>0</v>
      </c>
      <c r="EF581" s="46">
        <f t="shared" ref="EF581:EF644" si="169">COUNT(I581:BQ581)</f>
        <v>0</v>
      </c>
      <c r="EG581" s="46">
        <f t="shared" ref="EG581:EG644" si="170">COUNT(I581:DY581)</f>
        <v>0</v>
      </c>
      <c r="EH581" s="2">
        <f t="shared" ref="EH581:EH644" si="171">D581</f>
        <v>0</v>
      </c>
      <c r="EI581" s="29">
        <f>IF(COUNT(I581:AD581)&lt;5,DZ581,SUMPRODUCT(LARGE(I581:AD581,{1,2,3,4,5}))/5)</f>
        <v>0</v>
      </c>
      <c r="EJ581" s="29">
        <f>IF(COUNT(I581:BE581)&lt;5,DZ581,SUMPRODUCT(LARGE(I581:BE581,{1,2,3,4,5}))/5)</f>
        <v>0</v>
      </c>
      <c r="EK581" s="29">
        <f t="shared" si="160"/>
        <v>0</v>
      </c>
      <c r="EL581" s="29">
        <f>(EK581*100)/101.28</f>
        <v>0</v>
      </c>
      <c r="EM581" s="116">
        <f t="shared" ref="EM581:EM644" si="172">B581</f>
        <v>0</v>
      </c>
      <c r="EQ581"/>
    </row>
    <row r="582" spans="1:147" x14ac:dyDescent="0.25">
      <c r="A582" s="59"/>
      <c r="B582" s="32"/>
      <c r="C582" s="5"/>
      <c r="D582" s="6"/>
      <c r="E582" s="6"/>
      <c r="F582" s="6"/>
      <c r="G582" s="5"/>
      <c r="H582" s="37"/>
      <c r="I582" s="36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227"/>
      <c r="Z582" s="228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4"/>
      <c r="AP582" s="7"/>
      <c r="AQ582" s="74"/>
      <c r="AR582" s="70"/>
      <c r="AS582" s="7"/>
      <c r="AT582" s="70"/>
      <c r="AU582" s="7"/>
      <c r="AV582" s="70"/>
      <c r="AW582" s="7"/>
      <c r="AX582" s="183"/>
      <c r="AY582" s="10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4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101"/>
      <c r="CL582" s="74"/>
      <c r="CM582" s="74"/>
      <c r="CN582" s="74"/>
      <c r="CO582" s="70"/>
      <c r="CP582" s="74"/>
      <c r="CQ582" s="7"/>
      <c r="CR582" s="74"/>
      <c r="CS582" s="74"/>
      <c r="CT582" s="74"/>
      <c r="CU582" s="74"/>
      <c r="CV582" s="7"/>
      <c r="CW582" s="7"/>
      <c r="CX582" s="7"/>
      <c r="CY582" s="7"/>
      <c r="CZ582" s="7"/>
      <c r="DA582" s="7"/>
      <c r="DB582" s="7"/>
      <c r="DC582" s="7"/>
      <c r="DD582" s="7"/>
      <c r="DE582" s="74"/>
      <c r="DF582" s="74"/>
      <c r="DG582" s="74"/>
      <c r="DH582" s="7"/>
      <c r="DI582" s="74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8">
        <f t="shared" si="164"/>
        <v>0</v>
      </c>
      <c r="EA582" s="3">
        <f t="shared" si="165"/>
        <v>0</v>
      </c>
      <c r="EB582" s="2">
        <f t="shared" si="166"/>
        <v>0</v>
      </c>
      <c r="EC582" s="112">
        <f t="shared" si="161"/>
        <v>0</v>
      </c>
      <c r="ED582" s="29">
        <f t="shared" si="167"/>
        <v>0</v>
      </c>
      <c r="EE582" s="2">
        <f t="shared" si="168"/>
        <v>0</v>
      </c>
      <c r="EF582" s="46">
        <f t="shared" si="169"/>
        <v>0</v>
      </c>
      <c r="EG582" s="46">
        <f t="shared" si="170"/>
        <v>0</v>
      </c>
      <c r="EH582" s="2">
        <f t="shared" si="171"/>
        <v>0</v>
      </c>
      <c r="EI582" s="29">
        <f>IF(COUNT(I582:AD582)&lt;5,DZ582,SUMPRODUCT(LARGE(I582:AD582,{1,2,3,4,5}))/5)</f>
        <v>0</v>
      </c>
      <c r="EJ582" s="29">
        <f>IF(COUNT(I582:BE582)&lt;5,DZ582,SUMPRODUCT(LARGE(I582:BE582,{1,2,3,4,5}))/5)</f>
        <v>0</v>
      </c>
      <c r="EK582" s="29">
        <f t="shared" ref="EK582:EK645" si="173">IF(EG582&lt;0,AVERAGE(I582:DY582),0)</f>
        <v>0</v>
      </c>
      <c r="EL582" s="29">
        <f>(EK582*100)/101.28</f>
        <v>0</v>
      </c>
      <c r="EM582" s="116">
        <f t="shared" si="172"/>
        <v>0</v>
      </c>
      <c r="EQ582"/>
    </row>
    <row r="583" spans="1:147" x14ac:dyDescent="0.25">
      <c r="A583" s="59"/>
      <c r="B583" s="32"/>
      <c r="C583" s="5"/>
      <c r="D583" s="6"/>
      <c r="E583" s="6"/>
      <c r="F583" s="6"/>
      <c r="G583" s="5"/>
      <c r="H583" s="37"/>
      <c r="I583" s="36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227"/>
      <c r="Z583" s="228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4"/>
      <c r="AP583" s="7"/>
      <c r="AQ583" s="74"/>
      <c r="AR583" s="70"/>
      <c r="AS583" s="7"/>
      <c r="AT583" s="70"/>
      <c r="AU583" s="7"/>
      <c r="AV583" s="70"/>
      <c r="AW583" s="7"/>
      <c r="AX583" s="183"/>
      <c r="AY583" s="10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4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101"/>
      <c r="CL583" s="74"/>
      <c r="CM583" s="74"/>
      <c r="CN583" s="74"/>
      <c r="CO583" s="70"/>
      <c r="CP583" s="74"/>
      <c r="CQ583" s="7"/>
      <c r="CR583" s="74"/>
      <c r="CS583" s="74"/>
      <c r="CT583" s="74"/>
      <c r="CU583" s="74"/>
      <c r="CV583" s="7"/>
      <c r="CW583" s="7"/>
      <c r="CX583" s="7"/>
      <c r="CY583" s="7"/>
      <c r="CZ583" s="7"/>
      <c r="DA583" s="7"/>
      <c r="DB583" s="7"/>
      <c r="DC583" s="7"/>
      <c r="DD583" s="7"/>
      <c r="DE583" s="74"/>
      <c r="DF583" s="74"/>
      <c r="DG583" s="74"/>
      <c r="DH583" s="7"/>
      <c r="DI583" s="74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8">
        <f t="shared" si="164"/>
        <v>0</v>
      </c>
      <c r="EA583" s="3">
        <f t="shared" si="165"/>
        <v>0</v>
      </c>
      <c r="EB583" s="2">
        <f t="shared" si="166"/>
        <v>0</v>
      </c>
      <c r="EC583" s="112">
        <f t="shared" si="161"/>
        <v>0</v>
      </c>
      <c r="ED583" s="29">
        <f t="shared" si="167"/>
        <v>0</v>
      </c>
      <c r="EE583" s="2">
        <f t="shared" si="168"/>
        <v>0</v>
      </c>
      <c r="EF583" s="46">
        <f t="shared" si="169"/>
        <v>0</v>
      </c>
      <c r="EG583" s="46">
        <f t="shared" si="170"/>
        <v>0</v>
      </c>
      <c r="EH583" s="2">
        <f t="shared" si="171"/>
        <v>0</v>
      </c>
      <c r="EI583" s="29">
        <f>IF(COUNT(I583:AD583)&lt;5,DZ583,SUMPRODUCT(LARGE(I583:AD583,{1,2,3,4,5}))/5)</f>
        <v>0</v>
      </c>
      <c r="EJ583" s="29">
        <f>IF(COUNT(I583:BE583)&lt;5,DZ583,SUMPRODUCT(LARGE(I583:BE583,{1,2,3,4,5}))/5)</f>
        <v>0</v>
      </c>
      <c r="EK583" s="29">
        <f t="shared" si="173"/>
        <v>0</v>
      </c>
      <c r="EL583" s="29">
        <f>(EK583*100)/101.28</f>
        <v>0</v>
      </c>
      <c r="EM583" s="116">
        <f t="shared" si="172"/>
        <v>0</v>
      </c>
      <c r="EQ583"/>
    </row>
    <row r="584" spans="1:147" x14ac:dyDescent="0.25">
      <c r="A584" s="59"/>
      <c r="B584" s="32"/>
      <c r="C584" s="5"/>
      <c r="D584" s="6"/>
      <c r="E584" s="6"/>
      <c r="F584" s="6"/>
      <c r="G584" s="5"/>
      <c r="H584" s="37"/>
      <c r="I584" s="36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227"/>
      <c r="Z584" s="228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4"/>
      <c r="AP584" s="7"/>
      <c r="AQ584" s="74"/>
      <c r="AR584" s="70"/>
      <c r="AS584" s="7"/>
      <c r="AT584" s="70"/>
      <c r="AU584" s="7"/>
      <c r="AV584" s="70"/>
      <c r="AW584" s="7"/>
      <c r="AX584" s="183"/>
      <c r="AY584" s="10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4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101"/>
      <c r="CL584" s="74"/>
      <c r="CM584" s="74"/>
      <c r="CN584" s="74"/>
      <c r="CO584" s="70"/>
      <c r="CP584" s="74"/>
      <c r="CQ584" s="7"/>
      <c r="CR584" s="74"/>
      <c r="CS584" s="74"/>
      <c r="CT584" s="74"/>
      <c r="CU584" s="74"/>
      <c r="CV584" s="7"/>
      <c r="CW584" s="7"/>
      <c r="CX584" s="7"/>
      <c r="CY584" s="7"/>
      <c r="CZ584" s="7"/>
      <c r="DA584" s="7"/>
      <c r="DB584" s="7"/>
      <c r="DC584" s="7"/>
      <c r="DD584" s="7"/>
      <c r="DE584" s="74"/>
      <c r="DF584" s="74"/>
      <c r="DG584" s="74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8">
        <f t="shared" si="164"/>
        <v>0</v>
      </c>
      <c r="EA584" s="3">
        <f t="shared" si="165"/>
        <v>0</v>
      </c>
      <c r="EB584" s="2">
        <f t="shared" si="166"/>
        <v>0</v>
      </c>
      <c r="EC584" s="112">
        <f t="shared" si="161"/>
        <v>0</v>
      </c>
      <c r="ED584" s="29">
        <f t="shared" si="167"/>
        <v>0</v>
      </c>
      <c r="EE584" s="2">
        <f t="shared" si="168"/>
        <v>0</v>
      </c>
      <c r="EF584" s="46">
        <f t="shared" si="169"/>
        <v>0</v>
      </c>
      <c r="EG584" s="46">
        <f t="shared" si="170"/>
        <v>0</v>
      </c>
      <c r="EH584" s="2">
        <f t="shared" si="171"/>
        <v>0</v>
      </c>
      <c r="EI584" s="29">
        <f>IF(COUNT(I584:AD584)&lt;5,DZ584,SUMPRODUCT(LARGE(I584:AD584,{1,2,3,4,5}))/5)</f>
        <v>0</v>
      </c>
      <c r="EJ584" s="29">
        <f>IF(COUNT(I584:BE584)&lt;5,DZ584,SUMPRODUCT(LARGE(I584:BE584,{1,2,3,4,5}))/5)</f>
        <v>0</v>
      </c>
      <c r="EK584" s="29">
        <f t="shared" si="173"/>
        <v>0</v>
      </c>
      <c r="EL584" s="29">
        <f>(EK584*100)/101.59</f>
        <v>0</v>
      </c>
      <c r="EM584" s="116">
        <f t="shared" si="172"/>
        <v>0</v>
      </c>
      <c r="EQ584"/>
    </row>
    <row r="585" spans="1:147" x14ac:dyDescent="0.25">
      <c r="A585" s="59"/>
      <c r="B585" s="32"/>
      <c r="C585" s="5"/>
      <c r="D585" s="5"/>
      <c r="E585" s="6"/>
      <c r="F585" s="6"/>
      <c r="G585" s="5"/>
      <c r="H585" s="37"/>
      <c r="I585" s="107"/>
      <c r="J585" s="7"/>
      <c r="K585" s="74"/>
      <c r="L585" s="7"/>
      <c r="M585" s="74"/>
      <c r="N585" s="74"/>
      <c r="O585" s="7"/>
      <c r="P585" s="74"/>
      <c r="Q585" s="7"/>
      <c r="R585" s="74"/>
      <c r="S585" s="74"/>
      <c r="T585" s="7"/>
      <c r="U585" s="7"/>
      <c r="V585" s="74"/>
      <c r="W585" s="74"/>
      <c r="X585" s="74"/>
      <c r="Y585" s="227"/>
      <c r="Z585" s="228"/>
      <c r="AA585" s="74"/>
      <c r="AB585" s="74"/>
      <c r="AC585" s="74"/>
      <c r="AD585" s="74"/>
      <c r="AE585" s="7"/>
      <c r="AF585" s="74"/>
      <c r="AG585" s="74"/>
      <c r="AH585" s="7"/>
      <c r="AI585" s="7"/>
      <c r="AJ585" s="7"/>
      <c r="AK585" s="7"/>
      <c r="AL585" s="7"/>
      <c r="AM585" s="7"/>
      <c r="AN585" s="7"/>
      <c r="AO585" s="74"/>
      <c r="AP585" s="7"/>
      <c r="AQ585" s="74"/>
      <c r="AR585" s="101"/>
      <c r="AS585" s="7"/>
      <c r="AT585" s="101"/>
      <c r="AU585" s="7"/>
      <c r="AV585" s="101"/>
      <c r="AW585" s="7"/>
      <c r="AX585" s="8"/>
      <c r="AY585" s="36"/>
      <c r="AZ585" s="101"/>
      <c r="BA585" s="74"/>
      <c r="BB585" s="74"/>
      <c r="BC585" s="74"/>
      <c r="BD585" s="74"/>
      <c r="BE585" s="74"/>
      <c r="BF585" s="74"/>
      <c r="BG585" s="74"/>
      <c r="BH585" s="74"/>
      <c r="BI585" s="74"/>
      <c r="BJ585" s="74"/>
      <c r="BK585" s="7"/>
      <c r="BL585" s="74"/>
      <c r="BM585" s="7"/>
      <c r="BN585" s="74"/>
      <c r="BO585" s="74"/>
      <c r="BP585" s="74"/>
      <c r="BQ585" s="74"/>
      <c r="BR585" s="74"/>
      <c r="BS585" s="74"/>
      <c r="BT585" s="74"/>
      <c r="BU585" s="74"/>
      <c r="BV585" s="74"/>
      <c r="BW585" s="74"/>
      <c r="BX585" s="74"/>
      <c r="BY585" s="74"/>
      <c r="BZ585" s="74"/>
      <c r="CA585" s="74"/>
      <c r="CB585" s="74"/>
      <c r="CC585" s="74"/>
      <c r="CD585" s="74"/>
      <c r="CE585" s="7"/>
      <c r="CF585" s="74"/>
      <c r="CG585" s="74"/>
      <c r="CH585" s="7"/>
      <c r="CI585" s="74"/>
      <c r="CJ585" s="74"/>
      <c r="CK585" s="101"/>
      <c r="CL585" s="74"/>
      <c r="CM585" s="74"/>
      <c r="CN585" s="74"/>
      <c r="CO585" s="101"/>
      <c r="CP585" s="74"/>
      <c r="CQ585" s="74"/>
      <c r="CR585" s="74"/>
      <c r="CS585" s="74"/>
      <c r="CT585" s="74"/>
      <c r="CU585" s="74"/>
      <c r="CV585" s="74"/>
      <c r="CW585" s="74"/>
      <c r="CX585" s="74"/>
      <c r="CY585" s="74"/>
      <c r="CZ585" s="74"/>
      <c r="DA585" s="74"/>
      <c r="DB585" s="74"/>
      <c r="DC585" s="74"/>
      <c r="DD585" s="74"/>
      <c r="DE585" s="74"/>
      <c r="DF585" s="74"/>
      <c r="DG585" s="74"/>
      <c r="DH585" s="74"/>
      <c r="DI585" s="74"/>
      <c r="DJ585" s="74"/>
      <c r="DK585" s="74"/>
      <c r="DL585" s="74"/>
      <c r="DM585" s="74"/>
      <c r="DN585" s="74"/>
      <c r="DO585" s="74"/>
      <c r="DP585" s="74"/>
      <c r="DQ585" s="74"/>
      <c r="DR585" s="74"/>
      <c r="DS585" s="74"/>
      <c r="DT585" s="74"/>
      <c r="DU585" s="74"/>
      <c r="DV585" s="74"/>
      <c r="DW585" s="74"/>
      <c r="DX585" s="74"/>
      <c r="DY585" s="74"/>
      <c r="DZ585" s="8">
        <f t="shared" si="164"/>
        <v>0</v>
      </c>
      <c r="EA585" s="3">
        <f t="shared" si="165"/>
        <v>0</v>
      </c>
      <c r="EB585" s="2">
        <f t="shared" si="166"/>
        <v>0</v>
      </c>
      <c r="EC585" s="112">
        <f t="shared" si="161"/>
        <v>0</v>
      </c>
      <c r="ED585" s="29">
        <f t="shared" si="167"/>
        <v>0</v>
      </c>
      <c r="EE585" s="2">
        <f t="shared" si="168"/>
        <v>0</v>
      </c>
      <c r="EF585" s="46">
        <f t="shared" si="169"/>
        <v>0</v>
      </c>
      <c r="EG585" s="46">
        <f t="shared" si="170"/>
        <v>0</v>
      </c>
      <c r="EH585" s="29">
        <f t="shared" si="171"/>
        <v>0</v>
      </c>
      <c r="EI585" s="29">
        <f>IF(COUNT(I585:AD585)&lt;5,DZ585,SUMPRODUCT(LARGE(I585:AD585,{1,2,3,4,5}))/5)</f>
        <v>0</v>
      </c>
      <c r="EJ585" s="29">
        <f>IF(COUNT(I585:BE585)&lt;5,DZ585,SUMPRODUCT(LARGE(I585:BE585,{1,2,3,4,5}))/5)</f>
        <v>0</v>
      </c>
      <c r="EK585" s="29">
        <f t="shared" si="173"/>
        <v>0</v>
      </c>
      <c r="EL585" s="29">
        <f t="shared" ref="EL585:EL590" si="174">(EK585*100)/101.28</f>
        <v>0</v>
      </c>
      <c r="EM585" s="116">
        <f t="shared" si="172"/>
        <v>0</v>
      </c>
      <c r="EQ585"/>
    </row>
    <row r="586" spans="1:147" x14ac:dyDescent="0.25">
      <c r="A586" s="59"/>
      <c r="B586" s="32"/>
      <c r="C586" s="5"/>
      <c r="D586" s="6"/>
      <c r="E586" s="6"/>
      <c r="F586" s="6"/>
      <c r="G586" s="5"/>
      <c r="H586" s="37"/>
      <c r="I586" s="107"/>
      <c r="J586" s="7"/>
      <c r="K586" s="74"/>
      <c r="L586" s="7"/>
      <c r="M586" s="74"/>
      <c r="N586" s="74"/>
      <c r="O586" s="7"/>
      <c r="P586" s="74"/>
      <c r="Q586" s="7"/>
      <c r="R586" s="74"/>
      <c r="S586" s="74"/>
      <c r="T586" s="7"/>
      <c r="U586" s="7"/>
      <c r="V586" s="74"/>
      <c r="W586" s="74"/>
      <c r="X586" s="74"/>
      <c r="Y586" s="227"/>
      <c r="Z586" s="228"/>
      <c r="AA586" s="74"/>
      <c r="AB586" s="74"/>
      <c r="AC586" s="74"/>
      <c r="AD586" s="74"/>
      <c r="AE586" s="7"/>
      <c r="AF586" s="74"/>
      <c r="AG586" s="74"/>
      <c r="AH586" s="7"/>
      <c r="AI586" s="7"/>
      <c r="AJ586" s="7"/>
      <c r="AK586" s="7"/>
      <c r="AL586" s="7"/>
      <c r="AM586" s="7"/>
      <c r="AN586" s="7"/>
      <c r="AO586" s="74"/>
      <c r="AP586" s="7"/>
      <c r="AQ586" s="74"/>
      <c r="AR586" s="101"/>
      <c r="AS586" s="7"/>
      <c r="AT586" s="101"/>
      <c r="AU586" s="7"/>
      <c r="AV586" s="101"/>
      <c r="AW586" s="7"/>
      <c r="AX586" s="8"/>
      <c r="AY586" s="36"/>
      <c r="AZ586" s="74"/>
      <c r="BA586" s="74"/>
      <c r="BB586" s="74"/>
      <c r="BC586" s="74"/>
      <c r="BD586" s="74"/>
      <c r="BE586" s="74"/>
      <c r="BF586" s="74"/>
      <c r="BG586" s="74"/>
      <c r="BH586" s="74"/>
      <c r="BI586" s="74"/>
      <c r="BJ586" s="74"/>
      <c r="BK586" s="7"/>
      <c r="BL586" s="74"/>
      <c r="BM586" s="7"/>
      <c r="BN586" s="74"/>
      <c r="BO586" s="74"/>
      <c r="BP586" s="74"/>
      <c r="BQ586" s="74"/>
      <c r="BR586" s="74"/>
      <c r="BS586" s="74"/>
      <c r="BT586" s="74"/>
      <c r="BU586" s="74"/>
      <c r="BV586" s="74"/>
      <c r="BW586" s="74"/>
      <c r="BX586" s="74"/>
      <c r="BY586" s="74"/>
      <c r="BZ586" s="74"/>
      <c r="CA586" s="74"/>
      <c r="CB586" s="74"/>
      <c r="CC586" s="74"/>
      <c r="CD586" s="74"/>
      <c r="CE586" s="7"/>
      <c r="CF586" s="74"/>
      <c r="CG586" s="74"/>
      <c r="CH586" s="7"/>
      <c r="CI586" s="74"/>
      <c r="CJ586" s="74"/>
      <c r="CK586" s="101"/>
      <c r="CL586" s="74"/>
      <c r="CM586" s="74"/>
      <c r="CN586" s="74"/>
      <c r="CO586" s="101"/>
      <c r="CP586" s="74"/>
      <c r="CQ586" s="74"/>
      <c r="CR586" s="74"/>
      <c r="CS586" s="74"/>
      <c r="CT586" s="74"/>
      <c r="CU586" s="74"/>
      <c r="CV586" s="74"/>
      <c r="CW586" s="74"/>
      <c r="CX586" s="74"/>
      <c r="CY586" s="74"/>
      <c r="CZ586" s="74"/>
      <c r="DA586" s="74"/>
      <c r="DB586" s="74"/>
      <c r="DC586" s="74"/>
      <c r="DD586" s="74"/>
      <c r="DE586" s="74"/>
      <c r="DF586" s="74"/>
      <c r="DG586" s="74"/>
      <c r="DH586" s="74"/>
      <c r="DI586" s="74"/>
      <c r="DJ586" s="74"/>
      <c r="DK586" s="74"/>
      <c r="DL586" s="74"/>
      <c r="DM586" s="74"/>
      <c r="DN586" s="74"/>
      <c r="DO586" s="74"/>
      <c r="DP586" s="74"/>
      <c r="DQ586" s="74"/>
      <c r="DR586" s="74"/>
      <c r="DS586" s="74"/>
      <c r="DT586" s="74"/>
      <c r="DU586" s="74"/>
      <c r="DV586" s="74"/>
      <c r="DW586" s="74"/>
      <c r="DX586" s="74"/>
      <c r="DY586" s="74"/>
      <c r="DZ586" s="8">
        <f t="shared" si="164"/>
        <v>0</v>
      </c>
      <c r="EA586" s="3">
        <f t="shared" si="165"/>
        <v>0</v>
      </c>
      <c r="EB586" s="2">
        <f t="shared" si="166"/>
        <v>0</v>
      </c>
      <c r="EC586" s="112">
        <f t="shared" si="161"/>
        <v>0</v>
      </c>
      <c r="ED586" s="29">
        <f t="shared" si="167"/>
        <v>0</v>
      </c>
      <c r="EE586" s="2">
        <f t="shared" si="168"/>
        <v>0</v>
      </c>
      <c r="EF586" s="46">
        <f t="shared" si="169"/>
        <v>0</v>
      </c>
      <c r="EG586" s="46">
        <f t="shared" si="170"/>
        <v>0</v>
      </c>
      <c r="EH586" s="2">
        <f t="shared" si="171"/>
        <v>0</v>
      </c>
      <c r="EI586" s="29">
        <f>IF(COUNT(I586:AD586)&lt;5,DZ586,SUMPRODUCT(LARGE(I586:AD586,{1,2,3,4,5}))/5)</f>
        <v>0</v>
      </c>
      <c r="EJ586" s="29">
        <f>IF(COUNT(I586:BE586)&lt;5,DZ586,SUMPRODUCT(LARGE(I586:BE586,{1,2,3,4,5}))/5)</f>
        <v>0</v>
      </c>
      <c r="EK586" s="29">
        <f t="shared" si="173"/>
        <v>0</v>
      </c>
      <c r="EL586" s="29">
        <f t="shared" si="174"/>
        <v>0</v>
      </c>
      <c r="EM586" s="116">
        <f t="shared" si="172"/>
        <v>0</v>
      </c>
      <c r="EQ586"/>
    </row>
    <row r="587" spans="1:147" x14ac:dyDescent="0.25">
      <c r="A587" s="59"/>
      <c r="B587" s="32"/>
      <c r="C587" s="5"/>
      <c r="D587" s="6"/>
      <c r="E587" s="6"/>
      <c r="F587" s="6"/>
      <c r="G587" s="5"/>
      <c r="H587" s="99"/>
      <c r="I587" s="107"/>
      <c r="J587" s="7"/>
      <c r="K587" s="74"/>
      <c r="L587" s="7"/>
      <c r="M587" s="74"/>
      <c r="N587" s="74"/>
      <c r="O587" s="7"/>
      <c r="P587" s="74"/>
      <c r="Q587" s="7"/>
      <c r="R587" s="74"/>
      <c r="S587" s="74"/>
      <c r="T587" s="7"/>
      <c r="U587" s="7"/>
      <c r="V587" s="74"/>
      <c r="W587" s="74"/>
      <c r="X587" s="74"/>
      <c r="Y587" s="227"/>
      <c r="Z587" s="228"/>
      <c r="AA587" s="74"/>
      <c r="AB587" s="74"/>
      <c r="AC587" s="74"/>
      <c r="AD587" s="74"/>
      <c r="AE587" s="7"/>
      <c r="AF587" s="74"/>
      <c r="AG587" s="74"/>
      <c r="AH587" s="7"/>
      <c r="AI587" s="7"/>
      <c r="AJ587" s="7"/>
      <c r="AK587" s="7"/>
      <c r="AL587" s="7"/>
      <c r="AM587" s="7"/>
      <c r="AN587" s="7"/>
      <c r="AO587" s="74"/>
      <c r="AP587" s="7"/>
      <c r="AQ587" s="74"/>
      <c r="AR587" s="101"/>
      <c r="AS587" s="7"/>
      <c r="AT587" s="101"/>
      <c r="AU587" s="7"/>
      <c r="AV587" s="101"/>
      <c r="AW587" s="7"/>
      <c r="AX587" s="8"/>
      <c r="AY587" s="36"/>
      <c r="AZ587" s="74"/>
      <c r="BA587" s="74"/>
      <c r="BB587" s="74"/>
      <c r="BC587" s="74"/>
      <c r="BD587" s="74"/>
      <c r="BE587" s="74"/>
      <c r="BF587" s="74"/>
      <c r="BG587" s="74"/>
      <c r="BH587" s="74"/>
      <c r="BI587" s="74"/>
      <c r="BJ587" s="74"/>
      <c r="BK587" s="7"/>
      <c r="BL587" s="74"/>
      <c r="BM587" s="7"/>
      <c r="BN587" s="74"/>
      <c r="BO587" s="74"/>
      <c r="BP587" s="74"/>
      <c r="BQ587" s="74"/>
      <c r="BR587" s="74"/>
      <c r="BS587" s="74"/>
      <c r="BT587" s="74"/>
      <c r="BU587" s="74"/>
      <c r="BV587" s="74"/>
      <c r="BW587" s="74"/>
      <c r="BX587" s="74"/>
      <c r="BY587" s="74"/>
      <c r="BZ587" s="74"/>
      <c r="CA587" s="74"/>
      <c r="CB587" s="74"/>
      <c r="CC587" s="74"/>
      <c r="CD587" s="74"/>
      <c r="CE587" s="7"/>
      <c r="CF587" s="74"/>
      <c r="CG587" s="74"/>
      <c r="CH587" s="7"/>
      <c r="CI587" s="74"/>
      <c r="CJ587" s="74"/>
      <c r="CK587" s="101"/>
      <c r="CL587" s="74"/>
      <c r="CM587" s="74"/>
      <c r="CN587" s="74"/>
      <c r="CO587" s="101"/>
      <c r="CP587" s="74"/>
      <c r="CQ587" s="74"/>
      <c r="CR587" s="74"/>
      <c r="CS587" s="74"/>
      <c r="CT587" s="74"/>
      <c r="CU587" s="74"/>
      <c r="CV587" s="74"/>
      <c r="CW587" s="74"/>
      <c r="CX587" s="74"/>
      <c r="CY587" s="74"/>
      <c r="CZ587" s="74"/>
      <c r="DA587" s="74"/>
      <c r="DB587" s="74"/>
      <c r="DC587" s="74"/>
      <c r="DD587" s="74"/>
      <c r="DE587" s="74"/>
      <c r="DF587" s="74"/>
      <c r="DG587" s="74"/>
      <c r="DH587" s="74"/>
      <c r="DI587" s="74"/>
      <c r="DJ587" s="74"/>
      <c r="DK587" s="74"/>
      <c r="DL587" s="74"/>
      <c r="DM587" s="74"/>
      <c r="DN587" s="74"/>
      <c r="DO587" s="74"/>
      <c r="DP587" s="74"/>
      <c r="DQ587" s="74"/>
      <c r="DR587" s="74"/>
      <c r="DS587" s="74"/>
      <c r="DT587" s="74"/>
      <c r="DU587" s="74"/>
      <c r="DV587" s="74"/>
      <c r="DW587" s="74"/>
      <c r="DX587" s="74"/>
      <c r="DY587" s="74"/>
      <c r="DZ587" s="8">
        <f t="shared" si="164"/>
        <v>0</v>
      </c>
      <c r="EA587" s="3">
        <f t="shared" si="165"/>
        <v>0</v>
      </c>
      <c r="EB587" s="2">
        <f t="shared" si="166"/>
        <v>0</v>
      </c>
      <c r="EC587" s="112">
        <f t="shared" si="161"/>
        <v>0</v>
      </c>
      <c r="ED587" s="29">
        <f t="shared" si="167"/>
        <v>0</v>
      </c>
      <c r="EE587" s="2">
        <f t="shared" si="168"/>
        <v>0</v>
      </c>
      <c r="EF587" s="46">
        <f t="shared" si="169"/>
        <v>0</v>
      </c>
      <c r="EG587" s="46">
        <f t="shared" si="170"/>
        <v>0</v>
      </c>
      <c r="EH587" s="29">
        <f t="shared" si="171"/>
        <v>0</v>
      </c>
      <c r="EI587" s="29">
        <f>IF(COUNT(I587:AD587)&lt;5,DZ587,SUMPRODUCT(LARGE(I587:AD587,{1,2,3,4,5}))/5)</f>
        <v>0</v>
      </c>
      <c r="EJ587" s="29">
        <f>IF(COUNT(I587:BE587)&lt;5,DZ587,SUMPRODUCT(LARGE(I587:BE587,{1,2,3,4,5}))/5)</f>
        <v>0</v>
      </c>
      <c r="EK587" s="29">
        <f t="shared" si="173"/>
        <v>0</v>
      </c>
      <c r="EL587" s="29">
        <f t="shared" si="174"/>
        <v>0</v>
      </c>
      <c r="EM587" s="116">
        <f t="shared" si="172"/>
        <v>0</v>
      </c>
      <c r="EQ587"/>
    </row>
    <row r="588" spans="1:147" x14ac:dyDescent="0.25">
      <c r="A588" s="59"/>
      <c r="B588" s="32"/>
      <c r="C588" s="5"/>
      <c r="D588" s="6"/>
      <c r="E588" s="6"/>
      <c r="F588" s="6"/>
      <c r="G588" s="5"/>
      <c r="H588" s="37"/>
      <c r="I588" s="107"/>
      <c r="J588" s="7"/>
      <c r="K588" s="74"/>
      <c r="L588" s="7"/>
      <c r="M588" s="74"/>
      <c r="N588" s="74"/>
      <c r="O588" s="7"/>
      <c r="P588" s="74"/>
      <c r="Q588" s="7"/>
      <c r="R588" s="74"/>
      <c r="S588" s="74"/>
      <c r="T588" s="7"/>
      <c r="U588" s="7"/>
      <c r="V588" s="74"/>
      <c r="W588" s="7"/>
      <c r="X588" s="74"/>
      <c r="Y588" s="227"/>
      <c r="Z588" s="228"/>
      <c r="AA588" s="74"/>
      <c r="AB588" s="74"/>
      <c r="AC588" s="74"/>
      <c r="AD588" s="74"/>
      <c r="AE588" s="7"/>
      <c r="AF588" s="74"/>
      <c r="AG588" s="74"/>
      <c r="AH588" s="7"/>
      <c r="AI588" s="7"/>
      <c r="AJ588" s="7"/>
      <c r="AK588" s="7"/>
      <c r="AL588" s="7"/>
      <c r="AM588" s="7"/>
      <c r="AN588" s="7"/>
      <c r="AO588" s="74"/>
      <c r="AP588" s="7"/>
      <c r="AQ588" s="74"/>
      <c r="AR588" s="101"/>
      <c r="AS588" s="7"/>
      <c r="AT588" s="101"/>
      <c r="AU588" s="7"/>
      <c r="AV588" s="101"/>
      <c r="AW588" s="7"/>
      <c r="AX588" s="183"/>
      <c r="AY588" s="107"/>
      <c r="AZ588" s="74"/>
      <c r="BA588" s="74"/>
      <c r="BB588" s="74"/>
      <c r="BC588" s="74"/>
      <c r="BD588" s="74"/>
      <c r="BE588" s="74"/>
      <c r="BF588" s="74"/>
      <c r="BG588" s="74"/>
      <c r="BH588" s="74"/>
      <c r="BI588" s="74"/>
      <c r="BJ588" s="74"/>
      <c r="BK588" s="7"/>
      <c r="BL588" s="74"/>
      <c r="BM588" s="7"/>
      <c r="BN588" s="74"/>
      <c r="BO588" s="74"/>
      <c r="BP588" s="74"/>
      <c r="BQ588" s="74"/>
      <c r="BR588" s="74"/>
      <c r="BS588" s="74"/>
      <c r="BT588" s="74"/>
      <c r="BU588" s="74"/>
      <c r="BV588" s="74"/>
      <c r="BW588" s="74"/>
      <c r="BX588" s="74"/>
      <c r="BY588" s="74"/>
      <c r="BZ588" s="74"/>
      <c r="CA588" s="74"/>
      <c r="CB588" s="74"/>
      <c r="CC588" s="74"/>
      <c r="CD588" s="74"/>
      <c r="CE588" s="7"/>
      <c r="CF588" s="74"/>
      <c r="CG588" s="74"/>
      <c r="CH588" s="7"/>
      <c r="CI588" s="74"/>
      <c r="CJ588" s="74"/>
      <c r="CK588" s="101"/>
      <c r="CL588" s="74"/>
      <c r="CM588" s="74"/>
      <c r="CN588" s="74"/>
      <c r="CO588" s="101"/>
      <c r="CP588" s="74"/>
      <c r="CQ588" s="74"/>
      <c r="CR588" s="74"/>
      <c r="CS588" s="74"/>
      <c r="CT588" s="74"/>
      <c r="CU588" s="74"/>
      <c r="CV588" s="74"/>
      <c r="CW588" s="74"/>
      <c r="CX588" s="74"/>
      <c r="CY588" s="74"/>
      <c r="CZ588" s="74"/>
      <c r="DA588" s="74"/>
      <c r="DB588" s="74"/>
      <c r="DC588" s="74"/>
      <c r="DD588" s="74"/>
      <c r="DE588" s="74"/>
      <c r="DF588" s="74"/>
      <c r="DG588" s="74"/>
      <c r="DH588" s="74"/>
      <c r="DI588" s="74"/>
      <c r="DJ588" s="74"/>
      <c r="DK588" s="74"/>
      <c r="DL588" s="74"/>
      <c r="DM588" s="74"/>
      <c r="DN588" s="74"/>
      <c r="DO588" s="74"/>
      <c r="DP588" s="74"/>
      <c r="DQ588" s="74"/>
      <c r="DR588" s="74"/>
      <c r="DS588" s="74"/>
      <c r="DT588" s="74"/>
      <c r="DU588" s="74"/>
      <c r="DV588" s="74"/>
      <c r="DW588" s="74"/>
      <c r="DX588" s="74"/>
      <c r="DY588" s="74"/>
      <c r="DZ588" s="8">
        <f t="shared" si="164"/>
        <v>0</v>
      </c>
      <c r="EA588" s="3">
        <f t="shared" si="165"/>
        <v>0</v>
      </c>
      <c r="EB588" s="2">
        <f t="shared" si="166"/>
        <v>0</v>
      </c>
      <c r="EC588" s="112">
        <f t="shared" si="161"/>
        <v>0</v>
      </c>
      <c r="ED588" s="29">
        <f t="shared" si="167"/>
        <v>0</v>
      </c>
      <c r="EE588" s="2">
        <f t="shared" si="168"/>
        <v>0</v>
      </c>
      <c r="EF588" s="46">
        <f t="shared" si="169"/>
        <v>0</v>
      </c>
      <c r="EG588" s="46">
        <f t="shared" si="170"/>
        <v>0</v>
      </c>
      <c r="EH588" s="29">
        <f t="shared" si="171"/>
        <v>0</v>
      </c>
      <c r="EI588" s="29">
        <f>IF(COUNT(I588:AD588)&lt;5,DZ588,SUMPRODUCT(LARGE(I588:AD588,{1,2,3,4,5}))/5)</f>
        <v>0</v>
      </c>
      <c r="EJ588" s="29">
        <f>IF(COUNT(I588:BE588)&lt;5,DZ588,SUMPRODUCT(LARGE(I588:BE588,{1,2,3,4,5}))/5)</f>
        <v>0</v>
      </c>
      <c r="EK588" s="29">
        <f t="shared" si="173"/>
        <v>0</v>
      </c>
      <c r="EL588" s="29">
        <f t="shared" si="174"/>
        <v>0</v>
      </c>
      <c r="EM588" s="116">
        <f t="shared" si="172"/>
        <v>0</v>
      </c>
      <c r="EQ588"/>
    </row>
    <row r="589" spans="1:147" x14ac:dyDescent="0.25">
      <c r="A589" s="59"/>
      <c r="B589" s="32"/>
      <c r="C589" s="5"/>
      <c r="D589" s="6"/>
      <c r="E589" s="6"/>
      <c r="F589" s="6"/>
      <c r="G589" s="5"/>
      <c r="H589" s="37"/>
      <c r="I589" s="107"/>
      <c r="J589" s="7"/>
      <c r="K589" s="74"/>
      <c r="L589" s="7"/>
      <c r="M589" s="74"/>
      <c r="N589" s="74"/>
      <c r="O589" s="7"/>
      <c r="P589" s="74"/>
      <c r="Q589" s="7"/>
      <c r="R589" s="74"/>
      <c r="S589" s="74"/>
      <c r="T589" s="7"/>
      <c r="U589" s="7"/>
      <c r="V589" s="74"/>
      <c r="W589" s="74"/>
      <c r="X589" s="74"/>
      <c r="Y589" s="227"/>
      <c r="Z589" s="228"/>
      <c r="AA589" s="74"/>
      <c r="AB589" s="74"/>
      <c r="AC589" s="74"/>
      <c r="AD589" s="74"/>
      <c r="AE589" s="7"/>
      <c r="AF589" s="74"/>
      <c r="AG589" s="74"/>
      <c r="AH589" s="7"/>
      <c r="AI589" s="7"/>
      <c r="AJ589" s="7"/>
      <c r="AK589" s="7"/>
      <c r="AL589" s="7"/>
      <c r="AM589" s="7"/>
      <c r="AN589" s="7"/>
      <c r="AO589" s="74"/>
      <c r="AP589" s="7"/>
      <c r="AQ589" s="74"/>
      <c r="AR589" s="101"/>
      <c r="AS589" s="7"/>
      <c r="AT589" s="101"/>
      <c r="AU589" s="7"/>
      <c r="AV589" s="101"/>
      <c r="AW589" s="7"/>
      <c r="AX589" s="183"/>
      <c r="AY589" s="107"/>
      <c r="AZ589" s="74"/>
      <c r="BA589" s="74"/>
      <c r="BB589" s="74"/>
      <c r="BC589" s="74"/>
      <c r="BD589" s="74"/>
      <c r="BE589" s="74"/>
      <c r="BF589" s="74"/>
      <c r="BG589" s="74"/>
      <c r="BH589" s="74"/>
      <c r="BI589" s="74"/>
      <c r="BJ589" s="74"/>
      <c r="BK589" s="7"/>
      <c r="BL589" s="74"/>
      <c r="BM589" s="7"/>
      <c r="BN589" s="74"/>
      <c r="BO589" s="74"/>
      <c r="BP589" s="74"/>
      <c r="BQ589" s="74"/>
      <c r="BR589" s="74"/>
      <c r="BS589" s="74"/>
      <c r="BT589" s="74"/>
      <c r="BU589" s="74"/>
      <c r="BV589" s="74"/>
      <c r="BW589" s="74"/>
      <c r="BX589" s="74"/>
      <c r="BY589" s="74"/>
      <c r="BZ589" s="74"/>
      <c r="CA589" s="74"/>
      <c r="CB589" s="74"/>
      <c r="CC589" s="74"/>
      <c r="CD589" s="74"/>
      <c r="CE589" s="7"/>
      <c r="CF589" s="74"/>
      <c r="CG589" s="74"/>
      <c r="CH589" s="7"/>
      <c r="CI589" s="74"/>
      <c r="CJ589" s="74"/>
      <c r="CK589" s="101"/>
      <c r="CL589" s="74"/>
      <c r="CM589" s="74"/>
      <c r="CN589" s="74"/>
      <c r="CO589" s="101"/>
      <c r="CP589" s="74"/>
      <c r="CQ589" s="74"/>
      <c r="CR589" s="74"/>
      <c r="CS589" s="74"/>
      <c r="CT589" s="74"/>
      <c r="CU589" s="74"/>
      <c r="CV589" s="74"/>
      <c r="CW589" s="74"/>
      <c r="CX589" s="74"/>
      <c r="CY589" s="74"/>
      <c r="CZ589" s="74"/>
      <c r="DA589" s="74"/>
      <c r="DB589" s="74"/>
      <c r="DC589" s="74"/>
      <c r="DD589" s="74"/>
      <c r="DE589" s="74"/>
      <c r="DF589" s="74"/>
      <c r="DG589" s="74"/>
      <c r="DH589" s="74"/>
      <c r="DI589" s="74"/>
      <c r="DJ589" s="74"/>
      <c r="DK589" s="74"/>
      <c r="DL589" s="74"/>
      <c r="DM589" s="74"/>
      <c r="DN589" s="74"/>
      <c r="DO589" s="74"/>
      <c r="DP589" s="74"/>
      <c r="DQ589" s="74"/>
      <c r="DR589" s="74"/>
      <c r="DS589" s="74"/>
      <c r="DT589" s="74"/>
      <c r="DU589" s="74"/>
      <c r="DV589" s="74"/>
      <c r="DW589" s="74"/>
      <c r="DX589" s="74"/>
      <c r="DY589" s="74"/>
      <c r="DZ589" s="8">
        <f t="shared" si="164"/>
        <v>0</v>
      </c>
      <c r="EA589" s="3">
        <f t="shared" si="165"/>
        <v>0</v>
      </c>
      <c r="EB589" s="2">
        <f t="shared" si="166"/>
        <v>0</v>
      </c>
      <c r="EC589" s="112">
        <f t="shared" si="161"/>
        <v>0</v>
      </c>
      <c r="ED589" s="29">
        <f t="shared" si="167"/>
        <v>0</v>
      </c>
      <c r="EE589" s="2">
        <f t="shared" si="168"/>
        <v>0</v>
      </c>
      <c r="EF589" s="46">
        <f t="shared" si="169"/>
        <v>0</v>
      </c>
      <c r="EG589" s="46">
        <f t="shared" si="170"/>
        <v>0</v>
      </c>
      <c r="EH589" s="2">
        <f t="shared" si="171"/>
        <v>0</v>
      </c>
      <c r="EI589" s="29">
        <f>IF(COUNT(I589:AD589)&lt;5,DZ589,SUMPRODUCT(LARGE(I589:AD589,{1,2,3,4,5}))/5)</f>
        <v>0</v>
      </c>
      <c r="EJ589" s="29">
        <f>IF(COUNT(I589:BE589)&lt;5,DZ589,SUMPRODUCT(LARGE(I589:BE589,{1,2,3,4,5}))/5)</f>
        <v>0</v>
      </c>
      <c r="EK589" s="29">
        <f t="shared" si="173"/>
        <v>0</v>
      </c>
      <c r="EL589" s="29">
        <f t="shared" si="174"/>
        <v>0</v>
      </c>
      <c r="EM589" s="116">
        <f t="shared" si="172"/>
        <v>0</v>
      </c>
      <c r="EQ589"/>
    </row>
    <row r="590" spans="1:147" x14ac:dyDescent="0.25">
      <c r="A590" s="59"/>
      <c r="B590" s="32"/>
      <c r="C590" s="5"/>
      <c r="D590" s="6"/>
      <c r="E590" s="6"/>
      <c r="F590" s="6"/>
      <c r="G590" s="5"/>
      <c r="H590" s="37"/>
      <c r="I590" s="107"/>
      <c r="J590" s="7"/>
      <c r="K590" s="74"/>
      <c r="L590" s="7"/>
      <c r="M590" s="74"/>
      <c r="N590" s="74"/>
      <c r="O590" s="7"/>
      <c r="P590" s="74"/>
      <c r="Q590" s="7"/>
      <c r="R590" s="74"/>
      <c r="S590" s="74"/>
      <c r="T590" s="7"/>
      <c r="U590" s="7"/>
      <c r="V590" s="74"/>
      <c r="W590" s="74"/>
      <c r="X590" s="74"/>
      <c r="Y590" s="227"/>
      <c r="Z590" s="228"/>
      <c r="AA590" s="74"/>
      <c r="AB590" s="74"/>
      <c r="AC590" s="74"/>
      <c r="AD590" s="74"/>
      <c r="AE590" s="7"/>
      <c r="AF590" s="74"/>
      <c r="AG590" s="74"/>
      <c r="AH590" s="7"/>
      <c r="AI590" s="7"/>
      <c r="AJ590" s="7"/>
      <c r="AK590" s="7"/>
      <c r="AL590" s="7"/>
      <c r="AM590" s="7"/>
      <c r="AN590" s="7"/>
      <c r="AO590" s="74"/>
      <c r="AP590" s="7"/>
      <c r="AQ590" s="74"/>
      <c r="AR590" s="101"/>
      <c r="AS590" s="7"/>
      <c r="AT590" s="101"/>
      <c r="AU590" s="7"/>
      <c r="AV590" s="101"/>
      <c r="AW590" s="7"/>
      <c r="AX590" s="183"/>
      <c r="AY590" s="107"/>
      <c r="AZ590" s="74"/>
      <c r="BA590" s="74"/>
      <c r="BB590" s="74"/>
      <c r="BC590" s="74"/>
      <c r="BD590" s="74"/>
      <c r="BE590" s="74"/>
      <c r="BF590" s="74"/>
      <c r="BG590" s="74"/>
      <c r="BH590" s="74"/>
      <c r="BI590" s="74"/>
      <c r="BJ590" s="74"/>
      <c r="BK590" s="7"/>
      <c r="BL590" s="74"/>
      <c r="BM590" s="7"/>
      <c r="BN590" s="74"/>
      <c r="BO590" s="74"/>
      <c r="BP590" s="74"/>
      <c r="BQ590" s="74"/>
      <c r="BR590" s="74"/>
      <c r="BS590" s="74"/>
      <c r="BT590" s="74"/>
      <c r="BU590" s="74"/>
      <c r="BV590" s="74"/>
      <c r="BW590" s="74"/>
      <c r="BX590" s="74"/>
      <c r="BY590" s="74"/>
      <c r="BZ590" s="74"/>
      <c r="CA590" s="74"/>
      <c r="CB590" s="74"/>
      <c r="CC590" s="74"/>
      <c r="CD590" s="74"/>
      <c r="CE590" s="7"/>
      <c r="CF590" s="74"/>
      <c r="CG590" s="74"/>
      <c r="CH590" s="7"/>
      <c r="CI590" s="74"/>
      <c r="CJ590" s="74"/>
      <c r="CK590" s="101"/>
      <c r="CL590" s="74"/>
      <c r="CM590" s="74"/>
      <c r="CN590" s="74"/>
      <c r="CO590" s="101"/>
      <c r="CP590" s="74"/>
      <c r="CQ590" s="74"/>
      <c r="CR590" s="74"/>
      <c r="CS590" s="74"/>
      <c r="CT590" s="74"/>
      <c r="CU590" s="74"/>
      <c r="CV590" s="74"/>
      <c r="CW590" s="74"/>
      <c r="CX590" s="74"/>
      <c r="CY590" s="74"/>
      <c r="CZ590" s="74"/>
      <c r="DA590" s="74"/>
      <c r="DB590" s="74"/>
      <c r="DC590" s="74"/>
      <c r="DD590" s="74"/>
      <c r="DE590" s="74"/>
      <c r="DF590" s="74"/>
      <c r="DG590" s="74"/>
      <c r="DH590" s="74"/>
      <c r="DI590" s="74"/>
      <c r="DJ590" s="74"/>
      <c r="DK590" s="74"/>
      <c r="DL590" s="74"/>
      <c r="DM590" s="74"/>
      <c r="DN590" s="74"/>
      <c r="DO590" s="74"/>
      <c r="DP590" s="74"/>
      <c r="DQ590" s="74"/>
      <c r="DR590" s="74"/>
      <c r="DS590" s="74"/>
      <c r="DT590" s="74"/>
      <c r="DU590" s="74"/>
      <c r="DV590" s="74"/>
      <c r="DW590" s="74"/>
      <c r="DX590" s="74"/>
      <c r="DY590" s="74"/>
      <c r="DZ590" s="8">
        <f t="shared" si="164"/>
        <v>0</v>
      </c>
      <c r="EA590" s="3">
        <f t="shared" si="165"/>
        <v>0</v>
      </c>
      <c r="EB590" s="2">
        <f t="shared" si="166"/>
        <v>0</v>
      </c>
      <c r="EC590" s="112">
        <f t="shared" ref="EC590:EC653" si="175">H590</f>
        <v>0</v>
      </c>
      <c r="ED590" s="29">
        <f t="shared" si="167"/>
        <v>0</v>
      </c>
      <c r="EE590" s="2">
        <f t="shared" si="168"/>
        <v>0</v>
      </c>
      <c r="EF590" s="46">
        <f t="shared" si="169"/>
        <v>0</v>
      </c>
      <c r="EG590" s="46">
        <f t="shared" si="170"/>
        <v>0</v>
      </c>
      <c r="EH590" s="29">
        <f t="shared" si="171"/>
        <v>0</v>
      </c>
      <c r="EI590" s="29">
        <f>IF(COUNT(I590:AD590)&lt;5,DZ590,SUMPRODUCT(LARGE(I590:AD590,{1,2,3,4,5}))/5)</f>
        <v>0</v>
      </c>
      <c r="EJ590" s="29">
        <f>IF(COUNT(I590:BE590)&lt;5,DZ590,SUMPRODUCT(LARGE(I590:BE590,{1,2,3,4,5}))/5)</f>
        <v>0</v>
      </c>
      <c r="EK590" s="29">
        <f t="shared" si="173"/>
        <v>0</v>
      </c>
      <c r="EL590" s="29">
        <f t="shared" si="174"/>
        <v>0</v>
      </c>
      <c r="EM590" s="116">
        <f t="shared" si="172"/>
        <v>0</v>
      </c>
      <c r="EQ590"/>
    </row>
    <row r="591" spans="1:147" x14ac:dyDescent="0.25">
      <c r="A591" s="59"/>
      <c r="B591" s="32"/>
      <c r="C591" s="5"/>
      <c r="D591" s="6"/>
      <c r="E591" s="6"/>
      <c r="F591" s="6"/>
      <c r="G591" s="5"/>
      <c r="H591" s="37"/>
      <c r="I591" s="36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227"/>
      <c r="Z591" s="228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4"/>
      <c r="AP591" s="7"/>
      <c r="AQ591" s="74"/>
      <c r="AR591" s="70"/>
      <c r="AS591" s="7"/>
      <c r="AT591" s="70"/>
      <c r="AU591" s="7"/>
      <c r="AV591" s="70"/>
      <c r="AW591" s="7"/>
      <c r="AX591" s="183"/>
      <c r="AY591" s="10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4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101"/>
      <c r="CL591" s="74"/>
      <c r="CM591" s="74"/>
      <c r="CN591" s="74"/>
      <c r="CO591" s="70"/>
      <c r="CP591" s="74"/>
      <c r="CQ591" s="7"/>
      <c r="CR591" s="74"/>
      <c r="CS591" s="74"/>
      <c r="CT591" s="74"/>
      <c r="CU591" s="74"/>
      <c r="CV591" s="7"/>
      <c r="CW591" s="7"/>
      <c r="CX591" s="7"/>
      <c r="CY591" s="7"/>
      <c r="CZ591" s="7"/>
      <c r="DA591" s="7"/>
      <c r="DB591" s="7"/>
      <c r="DC591" s="7"/>
      <c r="DD591" s="7"/>
      <c r="DE591" s="74"/>
      <c r="DF591" s="74"/>
      <c r="DG591" s="74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8">
        <f t="shared" si="164"/>
        <v>0</v>
      </c>
      <c r="EA591" s="3">
        <f t="shared" si="165"/>
        <v>0</v>
      </c>
      <c r="EB591" s="2">
        <f t="shared" si="166"/>
        <v>0</v>
      </c>
      <c r="EC591" s="112">
        <f t="shared" si="175"/>
        <v>0</v>
      </c>
      <c r="ED591" s="29">
        <f t="shared" si="167"/>
        <v>0</v>
      </c>
      <c r="EE591" s="2">
        <f t="shared" si="168"/>
        <v>0</v>
      </c>
      <c r="EF591" s="46">
        <f t="shared" si="169"/>
        <v>0</v>
      </c>
      <c r="EG591" s="46">
        <f t="shared" si="170"/>
        <v>0</v>
      </c>
      <c r="EH591" s="2">
        <f t="shared" si="171"/>
        <v>0</v>
      </c>
      <c r="EI591" s="29">
        <f>IF(COUNT(I591:AD591)&lt;5,DZ591,SUMPRODUCT(LARGE(I591:AD591,{1,2,3,4,5}))/5)</f>
        <v>0</v>
      </c>
      <c r="EJ591" s="29">
        <f>IF(COUNT(I591:BE591)&lt;5,DZ591,SUMPRODUCT(LARGE(I591:BE591,{1,2,3,4,5}))/5)</f>
        <v>0</v>
      </c>
      <c r="EK591" s="29">
        <f t="shared" si="173"/>
        <v>0</v>
      </c>
      <c r="EL591" s="29">
        <f>(EK591*100)/101.59</f>
        <v>0</v>
      </c>
      <c r="EM591" s="116">
        <f t="shared" si="172"/>
        <v>0</v>
      </c>
      <c r="EQ591"/>
    </row>
    <row r="592" spans="1:147" x14ac:dyDescent="0.25">
      <c r="A592" s="59"/>
      <c r="B592" s="32"/>
      <c r="C592" s="5"/>
      <c r="D592" s="6"/>
      <c r="E592" s="6"/>
      <c r="F592" s="6"/>
      <c r="G592" s="5"/>
      <c r="H592" s="37"/>
      <c r="I592" s="36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227"/>
      <c r="Z592" s="228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4"/>
      <c r="AP592" s="7"/>
      <c r="AQ592" s="74"/>
      <c r="AR592" s="70"/>
      <c r="AS592" s="7"/>
      <c r="AT592" s="70"/>
      <c r="AU592" s="7"/>
      <c r="AV592" s="70"/>
      <c r="AW592" s="7"/>
      <c r="AX592" s="183"/>
      <c r="AY592" s="10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4"/>
      <c r="BK592" s="7"/>
      <c r="BL592" s="74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101"/>
      <c r="CL592" s="74"/>
      <c r="CM592" s="74"/>
      <c r="CN592" s="74"/>
      <c r="CO592" s="70"/>
      <c r="CP592" s="74"/>
      <c r="CQ592" s="7"/>
      <c r="CR592" s="74"/>
      <c r="CS592" s="74"/>
      <c r="CT592" s="74"/>
      <c r="CU592" s="74"/>
      <c r="CV592" s="74"/>
      <c r="CW592" s="74"/>
      <c r="CX592" s="74"/>
      <c r="CY592" s="7"/>
      <c r="CZ592" s="74"/>
      <c r="DA592" s="7"/>
      <c r="DB592" s="7"/>
      <c r="DC592" s="7"/>
      <c r="DD592" s="7"/>
      <c r="DE592" s="74"/>
      <c r="DF592" s="74"/>
      <c r="DG592" s="74"/>
      <c r="DH592" s="74"/>
      <c r="DI592" s="74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8">
        <f t="shared" si="164"/>
        <v>0</v>
      </c>
      <c r="EA592" s="3">
        <f t="shared" si="165"/>
        <v>0</v>
      </c>
      <c r="EB592" s="2">
        <f t="shared" si="166"/>
        <v>0</v>
      </c>
      <c r="EC592" s="112">
        <f t="shared" si="175"/>
        <v>0</v>
      </c>
      <c r="ED592" s="29">
        <f t="shared" si="167"/>
        <v>0</v>
      </c>
      <c r="EE592" s="2">
        <f t="shared" si="168"/>
        <v>0</v>
      </c>
      <c r="EF592" s="46">
        <f t="shared" si="169"/>
        <v>0</v>
      </c>
      <c r="EG592" s="46">
        <f t="shared" si="170"/>
        <v>0</v>
      </c>
      <c r="EH592" s="2">
        <f t="shared" si="171"/>
        <v>0</v>
      </c>
      <c r="EI592" s="29">
        <f>IF(COUNT(I592:AD592)&lt;5,DZ592,SUMPRODUCT(LARGE(I592:AD592,{1,2,3,4,5}))/5)</f>
        <v>0</v>
      </c>
      <c r="EJ592" s="29">
        <f>IF(COUNT(I592:BE592)&lt;5,DZ592,SUMPRODUCT(LARGE(I592:BE592,{1,2,3,4,5}))/5)</f>
        <v>0</v>
      </c>
      <c r="EK592" s="29">
        <f t="shared" si="173"/>
        <v>0</v>
      </c>
      <c r="EL592" s="29">
        <f t="shared" ref="EL592:EL618" si="176">(EK592*100)/101.28</f>
        <v>0</v>
      </c>
      <c r="EM592" s="116">
        <f t="shared" si="172"/>
        <v>0</v>
      </c>
      <c r="EQ592"/>
    </row>
    <row r="593" spans="1:147" x14ac:dyDescent="0.25">
      <c r="A593" s="59"/>
      <c r="B593" s="32"/>
      <c r="C593" s="5"/>
      <c r="D593" s="6"/>
      <c r="E593" s="6"/>
      <c r="F593" s="6"/>
      <c r="G593" s="5"/>
      <c r="H593" s="37"/>
      <c r="I593" s="107"/>
      <c r="J593" s="7"/>
      <c r="K593" s="74"/>
      <c r="L593" s="7"/>
      <c r="M593" s="74"/>
      <c r="N593" s="74"/>
      <c r="O593" s="7"/>
      <c r="P593" s="74"/>
      <c r="Q593" s="7"/>
      <c r="R593" s="74"/>
      <c r="S593" s="74"/>
      <c r="T593" s="7"/>
      <c r="U593" s="7"/>
      <c r="V593" s="74"/>
      <c r="W593" s="74"/>
      <c r="X593" s="74"/>
      <c r="Y593" s="227"/>
      <c r="Z593" s="228"/>
      <c r="AA593" s="74"/>
      <c r="AB593" s="74"/>
      <c r="AC593" s="74"/>
      <c r="AD593" s="74"/>
      <c r="AE593" s="7"/>
      <c r="AF593" s="74"/>
      <c r="AG593" s="74"/>
      <c r="AH593" s="7"/>
      <c r="AI593" s="7"/>
      <c r="AJ593" s="7"/>
      <c r="AK593" s="7"/>
      <c r="AL593" s="7"/>
      <c r="AM593" s="7"/>
      <c r="AN593" s="7"/>
      <c r="AO593" s="74"/>
      <c r="AP593" s="7"/>
      <c r="AQ593" s="74"/>
      <c r="AR593" s="101"/>
      <c r="AS593" s="7"/>
      <c r="AT593" s="101"/>
      <c r="AU593" s="7"/>
      <c r="AV593" s="101"/>
      <c r="AW593" s="7"/>
      <c r="AX593" s="183"/>
      <c r="AY593" s="107"/>
      <c r="AZ593" s="74"/>
      <c r="BA593" s="74"/>
      <c r="BB593" s="74"/>
      <c r="BC593" s="74"/>
      <c r="BD593" s="74"/>
      <c r="BE593" s="74"/>
      <c r="BF593" s="74"/>
      <c r="BG593" s="74"/>
      <c r="BH593" s="74"/>
      <c r="BI593" s="74"/>
      <c r="BJ593" s="74"/>
      <c r="BK593" s="7"/>
      <c r="BL593" s="74"/>
      <c r="BM593" s="7"/>
      <c r="BN593" s="74"/>
      <c r="BO593" s="74"/>
      <c r="BP593" s="74"/>
      <c r="BQ593" s="74"/>
      <c r="BR593" s="74"/>
      <c r="BS593" s="74"/>
      <c r="BT593" s="74"/>
      <c r="BU593" s="74"/>
      <c r="BV593" s="74"/>
      <c r="BW593" s="74"/>
      <c r="BX593" s="74"/>
      <c r="BY593" s="74"/>
      <c r="BZ593" s="74"/>
      <c r="CA593" s="74"/>
      <c r="CB593" s="74"/>
      <c r="CC593" s="74"/>
      <c r="CD593" s="74"/>
      <c r="CE593" s="7"/>
      <c r="CF593" s="74"/>
      <c r="CG593" s="74"/>
      <c r="CH593" s="7"/>
      <c r="CI593" s="74"/>
      <c r="CJ593" s="74"/>
      <c r="CK593" s="101"/>
      <c r="CL593" s="74"/>
      <c r="CM593" s="74"/>
      <c r="CN593" s="74"/>
      <c r="CO593" s="101"/>
      <c r="CP593" s="74"/>
      <c r="CQ593" s="74"/>
      <c r="CR593" s="74"/>
      <c r="CS593" s="74"/>
      <c r="CT593" s="74"/>
      <c r="CU593" s="74"/>
      <c r="CV593" s="74"/>
      <c r="CW593" s="74"/>
      <c r="CX593" s="74"/>
      <c r="CY593" s="74"/>
      <c r="CZ593" s="74"/>
      <c r="DA593" s="74"/>
      <c r="DB593" s="74"/>
      <c r="DC593" s="74"/>
      <c r="DD593" s="74"/>
      <c r="DE593" s="74"/>
      <c r="DF593" s="74"/>
      <c r="DG593" s="74"/>
      <c r="DH593" s="74"/>
      <c r="DI593" s="74"/>
      <c r="DJ593" s="74"/>
      <c r="DK593" s="74"/>
      <c r="DL593" s="74"/>
      <c r="DM593" s="74"/>
      <c r="DN593" s="74"/>
      <c r="DO593" s="74"/>
      <c r="DP593" s="74"/>
      <c r="DQ593" s="74"/>
      <c r="DR593" s="74"/>
      <c r="DS593" s="74"/>
      <c r="DT593" s="74"/>
      <c r="DU593" s="74"/>
      <c r="DV593" s="74"/>
      <c r="DW593" s="74"/>
      <c r="DX593" s="74"/>
      <c r="DY593" s="74"/>
      <c r="DZ593" s="8">
        <f t="shared" si="164"/>
        <v>0</v>
      </c>
      <c r="EA593" s="3">
        <f t="shared" si="165"/>
        <v>0</v>
      </c>
      <c r="EB593" s="2">
        <f t="shared" si="166"/>
        <v>0</v>
      </c>
      <c r="EC593" s="112">
        <f t="shared" si="175"/>
        <v>0</v>
      </c>
      <c r="ED593" s="29">
        <f t="shared" si="167"/>
        <v>0</v>
      </c>
      <c r="EE593" s="2">
        <f t="shared" si="168"/>
        <v>0</v>
      </c>
      <c r="EF593" s="46">
        <f t="shared" si="169"/>
        <v>0</v>
      </c>
      <c r="EG593" s="46">
        <f t="shared" si="170"/>
        <v>0</v>
      </c>
      <c r="EH593" s="2">
        <f t="shared" si="171"/>
        <v>0</v>
      </c>
      <c r="EI593" s="29">
        <f>IF(COUNT(I593:AD593)&lt;5,DZ593,SUMPRODUCT(LARGE(I593:AD593,{1,2,3,4,5}))/5)</f>
        <v>0</v>
      </c>
      <c r="EJ593" s="29">
        <f>IF(COUNT(I593:BE593)&lt;5,DZ593,SUMPRODUCT(LARGE(I593:BE593,{1,2,3,4,5}))/5)</f>
        <v>0</v>
      </c>
      <c r="EK593" s="29">
        <f t="shared" si="173"/>
        <v>0</v>
      </c>
      <c r="EL593" s="29">
        <f t="shared" si="176"/>
        <v>0</v>
      </c>
      <c r="EM593" s="116">
        <f t="shared" si="172"/>
        <v>0</v>
      </c>
      <c r="EQ593"/>
    </row>
    <row r="594" spans="1:147" x14ac:dyDescent="0.25">
      <c r="A594" s="59"/>
      <c r="B594" s="4"/>
      <c r="C594" s="5"/>
      <c r="D594" s="5"/>
      <c r="E594" s="6"/>
      <c r="F594" s="6"/>
      <c r="G594" s="5"/>
      <c r="H594" s="99"/>
      <c r="I594" s="107"/>
      <c r="J594" s="7"/>
      <c r="K594" s="74"/>
      <c r="L594" s="7"/>
      <c r="M594" s="74"/>
      <c r="N594" s="128"/>
      <c r="O594" s="7"/>
      <c r="P594" s="74"/>
      <c r="Q594" s="74"/>
      <c r="R594" s="74"/>
      <c r="S594" s="74"/>
      <c r="T594" s="74"/>
      <c r="U594" s="7"/>
      <c r="V594" s="74"/>
      <c r="W594" s="7"/>
      <c r="X594" s="74"/>
      <c r="Y594" s="227"/>
      <c r="Z594" s="228"/>
      <c r="AA594" s="74"/>
      <c r="AB594" s="74"/>
      <c r="AC594" s="74"/>
      <c r="AD594" s="74"/>
      <c r="AE594" s="7"/>
      <c r="AF594" s="74"/>
      <c r="AG594" s="74"/>
      <c r="AH594" s="7"/>
      <c r="AI594" s="7"/>
      <c r="AJ594" s="7"/>
      <c r="AK594" s="7"/>
      <c r="AL594" s="7"/>
      <c r="AM594" s="7"/>
      <c r="AN594" s="7"/>
      <c r="AO594" s="74"/>
      <c r="AP594" s="7"/>
      <c r="AQ594" s="74"/>
      <c r="AR594" s="101"/>
      <c r="AS594" s="7"/>
      <c r="AT594" s="101"/>
      <c r="AU594" s="7"/>
      <c r="AV594" s="101"/>
      <c r="AW594" s="7"/>
      <c r="AX594" s="8"/>
      <c r="AY594" s="36"/>
      <c r="AZ594" s="74"/>
      <c r="BA594" s="74"/>
      <c r="BB594" s="74"/>
      <c r="BC594" s="74"/>
      <c r="BD594" s="74"/>
      <c r="BE594" s="74"/>
      <c r="BF594" s="74"/>
      <c r="BG594" s="74"/>
      <c r="BH594" s="74"/>
      <c r="BI594" s="74"/>
      <c r="BJ594" s="74"/>
      <c r="BK594" s="7"/>
      <c r="BL594" s="74"/>
      <c r="BM594" s="7"/>
      <c r="BN594" s="74"/>
      <c r="BO594" s="74"/>
      <c r="BP594" s="74"/>
      <c r="BQ594" s="74"/>
      <c r="BR594" s="74"/>
      <c r="BS594" s="74"/>
      <c r="BT594" s="74"/>
      <c r="BU594" s="74"/>
      <c r="BV594" s="74"/>
      <c r="BW594" s="74"/>
      <c r="BX594" s="74"/>
      <c r="BY594" s="74"/>
      <c r="BZ594" s="74"/>
      <c r="CA594" s="74"/>
      <c r="CB594" s="74"/>
      <c r="CC594" s="74"/>
      <c r="CD594" s="74"/>
      <c r="CE594" s="74"/>
      <c r="CF594" s="74"/>
      <c r="CG594" s="74"/>
      <c r="CH594" s="74"/>
      <c r="CI594" s="74"/>
      <c r="CJ594" s="74"/>
      <c r="CK594" s="101"/>
      <c r="CL594" s="74"/>
      <c r="CM594" s="74"/>
      <c r="CN594" s="74"/>
      <c r="CO594" s="101"/>
      <c r="CP594" s="74"/>
      <c r="CQ594" s="74"/>
      <c r="CR594" s="74"/>
      <c r="CS594" s="74"/>
      <c r="CT594" s="74"/>
      <c r="CU594" s="74"/>
      <c r="CV594" s="74"/>
      <c r="CW594" s="74"/>
      <c r="CX594" s="74"/>
      <c r="CY594" s="74"/>
      <c r="CZ594" s="74"/>
      <c r="DA594" s="74"/>
      <c r="DB594" s="74"/>
      <c r="DC594" s="74"/>
      <c r="DD594" s="74"/>
      <c r="DE594" s="74"/>
      <c r="DF594" s="74"/>
      <c r="DG594" s="74"/>
      <c r="DH594" s="74"/>
      <c r="DI594" s="74"/>
      <c r="DJ594" s="7"/>
      <c r="DK594" s="74"/>
      <c r="DL594" s="7"/>
      <c r="DM594" s="74"/>
      <c r="DN594" s="74"/>
      <c r="DO594" s="74"/>
      <c r="DP594" s="74"/>
      <c r="DQ594" s="74"/>
      <c r="DR594" s="74"/>
      <c r="DS594" s="74"/>
      <c r="DT594" s="74"/>
      <c r="DU594" s="74"/>
      <c r="DV594" s="74"/>
      <c r="DW594" s="74"/>
      <c r="DX594" s="74"/>
      <c r="DY594" s="74"/>
      <c r="DZ594" s="8">
        <f t="shared" si="164"/>
        <v>0</v>
      </c>
      <c r="EA594" s="3">
        <f t="shared" si="165"/>
        <v>0</v>
      </c>
      <c r="EB594" s="2">
        <f t="shared" si="166"/>
        <v>0</v>
      </c>
      <c r="EC594" s="112">
        <f t="shared" si="175"/>
        <v>0</v>
      </c>
      <c r="ED594" s="29">
        <f t="shared" si="167"/>
        <v>0</v>
      </c>
      <c r="EE594" s="2">
        <f t="shared" si="168"/>
        <v>0</v>
      </c>
      <c r="EF594" s="46">
        <f t="shared" si="169"/>
        <v>0</v>
      </c>
      <c r="EG594" s="46">
        <f t="shared" si="170"/>
        <v>0</v>
      </c>
      <c r="EH594" s="29">
        <f t="shared" si="171"/>
        <v>0</v>
      </c>
      <c r="EI594" s="29">
        <f>IF(COUNT(I594:AD594)&lt;5,DZ594,SUMPRODUCT(LARGE(I594:AD594,{1,2,3,4,5}))/5)</f>
        <v>0</v>
      </c>
      <c r="EJ594" s="29">
        <f>IF(COUNT(I594:BE594)&lt;5,DZ594,SUMPRODUCT(LARGE(I594:BE594,{1,2,3,4,5}))/5)</f>
        <v>0</v>
      </c>
      <c r="EK594" s="29">
        <f t="shared" si="173"/>
        <v>0</v>
      </c>
      <c r="EL594" s="29">
        <f t="shared" si="176"/>
        <v>0</v>
      </c>
      <c r="EM594" s="116">
        <f t="shared" si="172"/>
        <v>0</v>
      </c>
      <c r="EQ594"/>
    </row>
    <row r="595" spans="1:147" x14ac:dyDescent="0.25">
      <c r="A595" s="59"/>
      <c r="B595" s="4"/>
      <c r="C595" s="5"/>
      <c r="D595" s="5"/>
      <c r="E595" s="6"/>
      <c r="F595" s="6"/>
      <c r="G595" s="5"/>
      <c r="H595" s="37"/>
      <c r="I595" s="107"/>
      <c r="J595" s="7"/>
      <c r="K595" s="74"/>
      <c r="L595" s="7"/>
      <c r="M595" s="74"/>
      <c r="N595" s="74"/>
      <c r="O595" s="7"/>
      <c r="P595" s="74"/>
      <c r="Q595" s="74"/>
      <c r="R595" s="74"/>
      <c r="S595" s="74"/>
      <c r="T595" s="7"/>
      <c r="U595" s="7"/>
      <c r="V595" s="74"/>
      <c r="W595" s="7"/>
      <c r="X595" s="74"/>
      <c r="Y595" s="227"/>
      <c r="Z595" s="228"/>
      <c r="AA595" s="74"/>
      <c r="AB595" s="74"/>
      <c r="AC595" s="74"/>
      <c r="AD595" s="74"/>
      <c r="AE595" s="7"/>
      <c r="AF595" s="74"/>
      <c r="AG595" s="74"/>
      <c r="AH595" s="7"/>
      <c r="AI595" s="7"/>
      <c r="AJ595" s="7"/>
      <c r="AK595" s="7"/>
      <c r="AL595" s="7"/>
      <c r="AM595" s="7"/>
      <c r="AN595" s="7"/>
      <c r="AO595" s="74"/>
      <c r="AP595" s="7"/>
      <c r="AQ595" s="74"/>
      <c r="AR595" s="101"/>
      <c r="AS595" s="7"/>
      <c r="AT595" s="101"/>
      <c r="AU595" s="7"/>
      <c r="AV595" s="101"/>
      <c r="AW595" s="7"/>
      <c r="AX595" s="8"/>
      <c r="AY595" s="36"/>
      <c r="AZ595" s="74"/>
      <c r="BA595" s="74"/>
      <c r="BB595" s="74"/>
      <c r="BC595" s="74"/>
      <c r="BD595" s="74"/>
      <c r="BE595" s="74"/>
      <c r="BF595" s="74"/>
      <c r="BG595" s="74"/>
      <c r="BH595" s="74"/>
      <c r="BI595" s="74"/>
      <c r="BJ595" s="74"/>
      <c r="BK595" s="7"/>
      <c r="BL595" s="74"/>
      <c r="BM595" s="7"/>
      <c r="BN595" s="74"/>
      <c r="BO595" s="74"/>
      <c r="BP595" s="74"/>
      <c r="BQ595" s="74"/>
      <c r="BR595" s="7"/>
      <c r="BS595" s="74"/>
      <c r="BT595" s="7"/>
      <c r="BU595" s="74"/>
      <c r="BV595" s="7"/>
      <c r="BW595" s="74"/>
      <c r="BX595" s="74"/>
      <c r="BY595" s="74"/>
      <c r="BZ595" s="74"/>
      <c r="CA595" s="74"/>
      <c r="CB595" s="74"/>
      <c r="CC595" s="74"/>
      <c r="CD595" s="74"/>
      <c r="CE595" s="7"/>
      <c r="CF595" s="74"/>
      <c r="CG595" s="74"/>
      <c r="CH595" s="7"/>
      <c r="CI595" s="74"/>
      <c r="CJ595" s="74"/>
      <c r="CK595" s="101"/>
      <c r="CL595" s="74"/>
      <c r="CM595" s="74"/>
      <c r="CN595" s="74"/>
      <c r="CO595" s="101"/>
      <c r="CP595" s="74"/>
      <c r="CQ595" s="74"/>
      <c r="CR595" s="74"/>
      <c r="CS595" s="74"/>
      <c r="CT595" s="74"/>
      <c r="CU595" s="74"/>
      <c r="CV595" s="74"/>
      <c r="CW595" s="74"/>
      <c r="CX595" s="74"/>
      <c r="CY595" s="74"/>
      <c r="CZ595" s="74"/>
      <c r="DA595" s="74"/>
      <c r="DB595" s="74"/>
      <c r="DC595" s="74"/>
      <c r="DD595" s="7"/>
      <c r="DE595" s="74"/>
      <c r="DF595" s="74"/>
      <c r="DG595" s="74"/>
      <c r="DH595" s="74"/>
      <c r="DI595" s="74"/>
      <c r="DJ595" s="7"/>
      <c r="DK595" s="74"/>
      <c r="DL595" s="74"/>
      <c r="DM595" s="74"/>
      <c r="DN595" s="74"/>
      <c r="DO595" s="74"/>
      <c r="DP595" s="74"/>
      <c r="DQ595" s="74"/>
      <c r="DR595" s="74"/>
      <c r="DS595" s="74"/>
      <c r="DT595" s="74"/>
      <c r="DU595" s="74"/>
      <c r="DV595" s="74"/>
      <c r="DW595" s="74"/>
      <c r="DX595" s="74"/>
      <c r="DY595" s="74"/>
      <c r="DZ595" s="8">
        <f t="shared" si="164"/>
        <v>0</v>
      </c>
      <c r="EA595" s="3">
        <f t="shared" si="165"/>
        <v>0</v>
      </c>
      <c r="EB595" s="2">
        <f t="shared" si="166"/>
        <v>0</v>
      </c>
      <c r="EC595" s="112">
        <f t="shared" si="175"/>
        <v>0</v>
      </c>
      <c r="ED595" s="29">
        <f t="shared" si="167"/>
        <v>0</v>
      </c>
      <c r="EE595" s="2">
        <f t="shared" si="168"/>
        <v>0</v>
      </c>
      <c r="EF595" s="46">
        <f t="shared" si="169"/>
        <v>0</v>
      </c>
      <c r="EG595" s="46">
        <f t="shared" si="170"/>
        <v>0</v>
      </c>
      <c r="EH595" s="29">
        <f t="shared" si="171"/>
        <v>0</v>
      </c>
      <c r="EI595" s="29">
        <f>IF(COUNT(I595:AD595)&lt;5,DZ595,SUMPRODUCT(LARGE(I595:AD595,{1,2,3,4,5}))/5)</f>
        <v>0</v>
      </c>
      <c r="EJ595" s="29">
        <f>IF(COUNT(I595:BE595)&lt;5,DZ595,SUMPRODUCT(LARGE(I595:BE595,{1,2,3,4,5}))/5)</f>
        <v>0</v>
      </c>
      <c r="EK595" s="29">
        <f t="shared" si="173"/>
        <v>0</v>
      </c>
      <c r="EL595" s="29">
        <f t="shared" si="176"/>
        <v>0</v>
      </c>
      <c r="EM595" s="116">
        <f t="shared" si="172"/>
        <v>0</v>
      </c>
      <c r="EQ595"/>
    </row>
    <row r="596" spans="1:147" x14ac:dyDescent="0.25">
      <c r="A596" s="59"/>
      <c r="B596" s="32"/>
      <c r="C596" s="5"/>
      <c r="D596" s="6"/>
      <c r="E596" s="6"/>
      <c r="F596" s="6"/>
      <c r="G596" s="5"/>
      <c r="H596" s="37"/>
      <c r="I596" s="107"/>
      <c r="J596" s="7"/>
      <c r="K596" s="74"/>
      <c r="L596" s="7"/>
      <c r="M596" s="74"/>
      <c r="N596" s="74"/>
      <c r="O596" s="7"/>
      <c r="P596" s="74"/>
      <c r="Q596" s="7"/>
      <c r="R596" s="74"/>
      <c r="S596" s="74"/>
      <c r="T596" s="7"/>
      <c r="U596" s="7"/>
      <c r="V596" s="74"/>
      <c r="W596" s="74"/>
      <c r="X596" s="74"/>
      <c r="Y596" s="227"/>
      <c r="Z596" s="228"/>
      <c r="AA596" s="74"/>
      <c r="AB596" s="74"/>
      <c r="AC596" s="74"/>
      <c r="AD596" s="74"/>
      <c r="AE596" s="7"/>
      <c r="AF596" s="74"/>
      <c r="AG596" s="74"/>
      <c r="AH596" s="7"/>
      <c r="AI596" s="7"/>
      <c r="AJ596" s="7"/>
      <c r="AK596" s="7"/>
      <c r="AL596" s="7"/>
      <c r="AM596" s="7"/>
      <c r="AN596" s="7"/>
      <c r="AO596" s="74"/>
      <c r="AP596" s="7"/>
      <c r="AQ596" s="74"/>
      <c r="AR596" s="101"/>
      <c r="AS596" s="7"/>
      <c r="AT596" s="101"/>
      <c r="AU596" s="7"/>
      <c r="AV596" s="101"/>
      <c r="AW596" s="7"/>
      <c r="AX596" s="183"/>
      <c r="AY596" s="107"/>
      <c r="AZ596" s="74"/>
      <c r="BA596" s="74"/>
      <c r="BB596" s="74"/>
      <c r="BC596" s="74"/>
      <c r="BD596" s="74"/>
      <c r="BE596" s="74"/>
      <c r="BF596" s="74"/>
      <c r="BG596" s="74"/>
      <c r="BH596" s="74"/>
      <c r="BI596" s="74"/>
      <c r="BJ596" s="74"/>
      <c r="BK596" s="7"/>
      <c r="BL596" s="74"/>
      <c r="BM596" s="7"/>
      <c r="BN596" s="74"/>
      <c r="BO596" s="74"/>
      <c r="BP596" s="74"/>
      <c r="BQ596" s="74"/>
      <c r="BR596" s="74"/>
      <c r="BS596" s="74"/>
      <c r="BT596" s="74"/>
      <c r="BU596" s="74"/>
      <c r="BV596" s="74"/>
      <c r="BW596" s="74"/>
      <c r="BX596" s="74"/>
      <c r="BY596" s="74"/>
      <c r="BZ596" s="74"/>
      <c r="CA596" s="74"/>
      <c r="CB596" s="74"/>
      <c r="CC596" s="74"/>
      <c r="CD596" s="74"/>
      <c r="CE596" s="7"/>
      <c r="CF596" s="74"/>
      <c r="CG596" s="74"/>
      <c r="CH596" s="7"/>
      <c r="CI596" s="74"/>
      <c r="CJ596" s="74"/>
      <c r="CK596" s="101"/>
      <c r="CL596" s="74"/>
      <c r="CM596" s="74"/>
      <c r="CN596" s="74"/>
      <c r="CO596" s="101"/>
      <c r="CP596" s="74"/>
      <c r="CQ596" s="74"/>
      <c r="CR596" s="74"/>
      <c r="CS596" s="74"/>
      <c r="CT596" s="74"/>
      <c r="CU596" s="74"/>
      <c r="CV596" s="74"/>
      <c r="CW596" s="74"/>
      <c r="CX596" s="74"/>
      <c r="CY596" s="74"/>
      <c r="CZ596" s="74"/>
      <c r="DA596" s="74"/>
      <c r="DB596" s="74"/>
      <c r="DC596" s="74"/>
      <c r="DD596" s="74"/>
      <c r="DE596" s="74"/>
      <c r="DF596" s="74"/>
      <c r="DG596" s="74"/>
      <c r="DH596" s="74"/>
      <c r="DI596" s="74"/>
      <c r="DJ596" s="74"/>
      <c r="DK596" s="74"/>
      <c r="DL596" s="74"/>
      <c r="DM596" s="74"/>
      <c r="DN596" s="74"/>
      <c r="DO596" s="74"/>
      <c r="DP596" s="74"/>
      <c r="DQ596" s="74"/>
      <c r="DR596" s="74"/>
      <c r="DS596" s="74"/>
      <c r="DT596" s="74"/>
      <c r="DU596" s="74"/>
      <c r="DV596" s="74"/>
      <c r="DW596" s="74"/>
      <c r="DX596" s="74"/>
      <c r="DY596" s="74"/>
      <c r="DZ596" s="8">
        <f t="shared" si="164"/>
        <v>0</v>
      </c>
      <c r="EA596" s="3">
        <f t="shared" si="165"/>
        <v>0</v>
      </c>
      <c r="EB596" s="2">
        <f t="shared" si="166"/>
        <v>0</v>
      </c>
      <c r="EC596" s="112">
        <f t="shared" si="175"/>
        <v>0</v>
      </c>
      <c r="ED596" s="29">
        <f t="shared" si="167"/>
        <v>0</v>
      </c>
      <c r="EE596" s="2">
        <f t="shared" si="168"/>
        <v>0</v>
      </c>
      <c r="EF596" s="46">
        <f t="shared" si="169"/>
        <v>0</v>
      </c>
      <c r="EG596" s="46">
        <f t="shared" si="170"/>
        <v>0</v>
      </c>
      <c r="EH596" s="29">
        <f t="shared" si="171"/>
        <v>0</v>
      </c>
      <c r="EI596" s="29">
        <f>IF(COUNT(I596:AD596)&lt;5,DZ596,SUMPRODUCT(LARGE(I596:AD596,{1,2,3,4,5}))/5)</f>
        <v>0</v>
      </c>
      <c r="EJ596" s="29">
        <f>IF(COUNT(I596:BE596)&lt;5,DZ596,SUMPRODUCT(LARGE(I596:BE596,{1,2,3,4,5}))/5)</f>
        <v>0</v>
      </c>
      <c r="EK596" s="29">
        <f t="shared" si="173"/>
        <v>0</v>
      </c>
      <c r="EL596" s="29">
        <f t="shared" si="176"/>
        <v>0</v>
      </c>
      <c r="EM596" s="116">
        <f t="shared" si="172"/>
        <v>0</v>
      </c>
      <c r="EQ596"/>
    </row>
    <row r="597" spans="1:147" x14ac:dyDescent="0.25">
      <c r="A597" s="59"/>
      <c r="B597" s="32"/>
      <c r="C597" s="5"/>
      <c r="D597" s="6"/>
      <c r="E597" s="6"/>
      <c r="F597" s="6"/>
      <c r="G597" s="5"/>
      <c r="H597" s="37"/>
      <c r="I597" s="107"/>
      <c r="J597" s="7"/>
      <c r="K597" s="74"/>
      <c r="L597" s="7"/>
      <c r="M597" s="74"/>
      <c r="N597" s="74"/>
      <c r="O597" s="7"/>
      <c r="P597" s="74"/>
      <c r="Q597" s="7"/>
      <c r="R597" s="74"/>
      <c r="S597" s="74"/>
      <c r="T597" s="7"/>
      <c r="U597" s="7"/>
      <c r="V597" s="74"/>
      <c r="W597" s="74"/>
      <c r="X597" s="74"/>
      <c r="Y597" s="227"/>
      <c r="Z597" s="228"/>
      <c r="AA597" s="74"/>
      <c r="AB597" s="74"/>
      <c r="AC597" s="74"/>
      <c r="AD597" s="74"/>
      <c r="AE597" s="7"/>
      <c r="AF597" s="74"/>
      <c r="AG597" s="74"/>
      <c r="AH597" s="7"/>
      <c r="AI597" s="7"/>
      <c r="AJ597" s="7"/>
      <c r="AK597" s="7"/>
      <c r="AL597" s="7"/>
      <c r="AM597" s="7"/>
      <c r="AN597" s="7"/>
      <c r="AO597" s="74"/>
      <c r="AP597" s="7"/>
      <c r="AQ597" s="74"/>
      <c r="AR597" s="101"/>
      <c r="AS597" s="7"/>
      <c r="AT597" s="101"/>
      <c r="AU597" s="7"/>
      <c r="AV597" s="101"/>
      <c r="AW597" s="7"/>
      <c r="AX597" s="183"/>
      <c r="AY597" s="107"/>
      <c r="AZ597" s="74"/>
      <c r="BA597" s="74"/>
      <c r="BB597" s="74"/>
      <c r="BC597" s="74"/>
      <c r="BD597" s="74"/>
      <c r="BE597" s="74"/>
      <c r="BF597" s="74"/>
      <c r="BG597" s="74"/>
      <c r="BH597" s="74"/>
      <c r="BI597" s="74"/>
      <c r="BJ597" s="74"/>
      <c r="BK597" s="7"/>
      <c r="BL597" s="74"/>
      <c r="BM597" s="7"/>
      <c r="BN597" s="74"/>
      <c r="BO597" s="74"/>
      <c r="BP597" s="74"/>
      <c r="BQ597" s="74"/>
      <c r="BR597" s="74"/>
      <c r="BS597" s="74"/>
      <c r="BT597" s="74"/>
      <c r="BU597" s="74"/>
      <c r="BV597" s="74"/>
      <c r="BW597" s="74"/>
      <c r="BX597" s="74"/>
      <c r="BY597" s="74"/>
      <c r="BZ597" s="74"/>
      <c r="CA597" s="74"/>
      <c r="CB597" s="74"/>
      <c r="CC597" s="74"/>
      <c r="CD597" s="74"/>
      <c r="CE597" s="7"/>
      <c r="CF597" s="74"/>
      <c r="CG597" s="74"/>
      <c r="CH597" s="7"/>
      <c r="CI597" s="74"/>
      <c r="CJ597" s="74"/>
      <c r="CK597" s="101"/>
      <c r="CL597" s="74"/>
      <c r="CM597" s="74"/>
      <c r="CN597" s="74"/>
      <c r="CO597" s="101"/>
      <c r="CP597" s="74"/>
      <c r="CQ597" s="74"/>
      <c r="CR597" s="74"/>
      <c r="CS597" s="74"/>
      <c r="CT597" s="74"/>
      <c r="CU597" s="74"/>
      <c r="CV597" s="74"/>
      <c r="CW597" s="74"/>
      <c r="CX597" s="74"/>
      <c r="CY597" s="74"/>
      <c r="CZ597" s="74"/>
      <c r="DA597" s="74"/>
      <c r="DB597" s="74"/>
      <c r="DC597" s="74"/>
      <c r="DD597" s="74"/>
      <c r="DE597" s="74"/>
      <c r="DF597" s="74"/>
      <c r="DG597" s="74"/>
      <c r="DH597" s="74"/>
      <c r="DI597" s="74"/>
      <c r="DJ597" s="74"/>
      <c r="DK597" s="74"/>
      <c r="DL597" s="74"/>
      <c r="DM597" s="74"/>
      <c r="DN597" s="74"/>
      <c r="DO597" s="74"/>
      <c r="DP597" s="74"/>
      <c r="DQ597" s="74"/>
      <c r="DR597" s="74"/>
      <c r="DS597" s="74"/>
      <c r="DT597" s="74"/>
      <c r="DU597" s="74"/>
      <c r="DV597" s="74"/>
      <c r="DW597" s="74"/>
      <c r="DX597" s="74"/>
      <c r="DY597" s="74"/>
      <c r="DZ597" s="8">
        <f t="shared" si="164"/>
        <v>0</v>
      </c>
      <c r="EA597" s="3">
        <f t="shared" si="165"/>
        <v>0</v>
      </c>
      <c r="EB597" s="2">
        <f t="shared" si="166"/>
        <v>0</v>
      </c>
      <c r="EC597" s="112">
        <f t="shared" si="175"/>
        <v>0</v>
      </c>
      <c r="ED597" s="29">
        <f t="shared" si="167"/>
        <v>0</v>
      </c>
      <c r="EE597" s="2">
        <f t="shared" si="168"/>
        <v>0</v>
      </c>
      <c r="EF597" s="46">
        <f t="shared" si="169"/>
        <v>0</v>
      </c>
      <c r="EG597" s="46">
        <f t="shared" si="170"/>
        <v>0</v>
      </c>
      <c r="EH597" s="29">
        <f t="shared" si="171"/>
        <v>0</v>
      </c>
      <c r="EI597" s="29">
        <f>IF(COUNT(I597:AD597)&lt;5,DZ597,SUMPRODUCT(LARGE(I597:AD597,{1,2,3,4,5}))/5)</f>
        <v>0</v>
      </c>
      <c r="EJ597" s="29">
        <f>IF(COUNT(I597:BE597)&lt;5,DZ597,SUMPRODUCT(LARGE(I597:BE597,{1,2,3,4,5}))/5)</f>
        <v>0</v>
      </c>
      <c r="EK597" s="29">
        <f t="shared" si="173"/>
        <v>0</v>
      </c>
      <c r="EL597" s="29">
        <f t="shared" si="176"/>
        <v>0</v>
      </c>
      <c r="EM597" s="116">
        <f t="shared" si="172"/>
        <v>0</v>
      </c>
      <c r="EQ597"/>
    </row>
    <row r="598" spans="1:147" x14ac:dyDescent="0.25">
      <c r="A598" s="59"/>
      <c r="B598" s="32"/>
      <c r="C598" s="5"/>
      <c r="D598" s="6"/>
      <c r="E598" s="6"/>
      <c r="F598" s="6"/>
      <c r="G598" s="5"/>
      <c r="H598" s="37"/>
      <c r="I598" s="107"/>
      <c r="J598" s="7"/>
      <c r="K598" s="74"/>
      <c r="L598" s="7"/>
      <c r="M598" s="74"/>
      <c r="N598" s="74"/>
      <c r="O598" s="7"/>
      <c r="P598" s="74"/>
      <c r="Q598" s="7"/>
      <c r="R598" s="74"/>
      <c r="S598" s="74"/>
      <c r="T598" s="7"/>
      <c r="U598" s="7"/>
      <c r="V598" s="74"/>
      <c r="W598" s="74"/>
      <c r="X598" s="74"/>
      <c r="Y598" s="227"/>
      <c r="Z598" s="228"/>
      <c r="AA598" s="74"/>
      <c r="AB598" s="74"/>
      <c r="AC598" s="74"/>
      <c r="AD598" s="74"/>
      <c r="AE598" s="7"/>
      <c r="AF598" s="74"/>
      <c r="AG598" s="74"/>
      <c r="AH598" s="7"/>
      <c r="AI598" s="7"/>
      <c r="AJ598" s="7"/>
      <c r="AK598" s="7"/>
      <c r="AL598" s="7"/>
      <c r="AM598" s="7"/>
      <c r="AN598" s="7"/>
      <c r="AO598" s="74"/>
      <c r="AP598" s="7"/>
      <c r="AQ598" s="74"/>
      <c r="AR598" s="101"/>
      <c r="AS598" s="7"/>
      <c r="AT598" s="101"/>
      <c r="AU598" s="7"/>
      <c r="AV598" s="101"/>
      <c r="AW598" s="7"/>
      <c r="AX598" s="183"/>
      <c r="AY598" s="107"/>
      <c r="AZ598" s="74"/>
      <c r="BA598" s="74"/>
      <c r="BB598" s="74"/>
      <c r="BC598" s="74"/>
      <c r="BD598" s="74"/>
      <c r="BE598" s="74"/>
      <c r="BF598" s="74"/>
      <c r="BG598" s="74"/>
      <c r="BH598" s="74"/>
      <c r="BI598" s="74"/>
      <c r="BJ598" s="74"/>
      <c r="BK598" s="7"/>
      <c r="BL598" s="74"/>
      <c r="BM598" s="7"/>
      <c r="BN598" s="74"/>
      <c r="BO598" s="74"/>
      <c r="BP598" s="74"/>
      <c r="BQ598" s="74"/>
      <c r="BR598" s="74"/>
      <c r="BS598" s="74"/>
      <c r="BT598" s="74"/>
      <c r="BU598" s="74"/>
      <c r="BV598" s="74"/>
      <c r="BW598" s="74"/>
      <c r="BX598" s="74"/>
      <c r="BY598" s="74"/>
      <c r="BZ598" s="74"/>
      <c r="CA598" s="74"/>
      <c r="CB598" s="74"/>
      <c r="CC598" s="74"/>
      <c r="CD598" s="74"/>
      <c r="CE598" s="7"/>
      <c r="CF598" s="74"/>
      <c r="CG598" s="74"/>
      <c r="CH598" s="7"/>
      <c r="CI598" s="74"/>
      <c r="CJ598" s="74"/>
      <c r="CK598" s="101"/>
      <c r="CL598" s="74"/>
      <c r="CM598" s="74"/>
      <c r="CN598" s="74"/>
      <c r="CO598" s="101"/>
      <c r="CP598" s="74"/>
      <c r="CQ598" s="74"/>
      <c r="CR598" s="74"/>
      <c r="CS598" s="74"/>
      <c r="CT598" s="74"/>
      <c r="CU598" s="74"/>
      <c r="CV598" s="74"/>
      <c r="CW598" s="74"/>
      <c r="CX598" s="74"/>
      <c r="CY598" s="74"/>
      <c r="CZ598" s="74"/>
      <c r="DA598" s="74"/>
      <c r="DB598" s="74"/>
      <c r="DC598" s="74"/>
      <c r="DD598" s="74"/>
      <c r="DE598" s="74"/>
      <c r="DF598" s="74"/>
      <c r="DG598" s="74"/>
      <c r="DH598" s="74"/>
      <c r="DI598" s="74"/>
      <c r="DJ598" s="74"/>
      <c r="DK598" s="74"/>
      <c r="DL598" s="74"/>
      <c r="DM598" s="74"/>
      <c r="DN598" s="74"/>
      <c r="DO598" s="74"/>
      <c r="DP598" s="74"/>
      <c r="DQ598" s="74"/>
      <c r="DR598" s="74"/>
      <c r="DS598" s="74"/>
      <c r="DT598" s="74"/>
      <c r="DU598" s="74"/>
      <c r="DV598" s="74"/>
      <c r="DW598" s="74"/>
      <c r="DX598" s="74"/>
      <c r="DY598" s="74"/>
      <c r="DZ598" s="8">
        <f t="shared" si="164"/>
        <v>0</v>
      </c>
      <c r="EA598" s="3">
        <f t="shared" si="165"/>
        <v>0</v>
      </c>
      <c r="EB598" s="2">
        <f t="shared" si="166"/>
        <v>0</v>
      </c>
      <c r="EC598" s="112">
        <f t="shared" si="175"/>
        <v>0</v>
      </c>
      <c r="ED598" s="29">
        <f t="shared" si="167"/>
        <v>0</v>
      </c>
      <c r="EE598" s="2">
        <f t="shared" si="168"/>
        <v>0</v>
      </c>
      <c r="EF598" s="46">
        <f t="shared" si="169"/>
        <v>0</v>
      </c>
      <c r="EG598" s="46">
        <f t="shared" si="170"/>
        <v>0</v>
      </c>
      <c r="EH598" s="2">
        <f t="shared" si="171"/>
        <v>0</v>
      </c>
      <c r="EI598" s="29">
        <f>IF(COUNT(I598:AD598)&lt;5,DZ598,SUMPRODUCT(LARGE(I598:AD598,{1,2,3,4,5}))/5)</f>
        <v>0</v>
      </c>
      <c r="EJ598" s="29">
        <f>IF(COUNT(I598:BE598)&lt;5,DZ598,SUMPRODUCT(LARGE(I598:BE598,{1,2,3,4,5}))/5)</f>
        <v>0</v>
      </c>
      <c r="EK598" s="29">
        <f t="shared" si="173"/>
        <v>0</v>
      </c>
      <c r="EL598" s="29">
        <f t="shared" si="176"/>
        <v>0</v>
      </c>
      <c r="EM598" s="116">
        <f t="shared" si="172"/>
        <v>0</v>
      </c>
      <c r="EQ598"/>
    </row>
    <row r="599" spans="1:147" x14ac:dyDescent="0.25">
      <c r="A599" s="59"/>
      <c r="B599" s="4"/>
      <c r="C599" s="5"/>
      <c r="D599" s="5"/>
      <c r="E599" s="6"/>
      <c r="F599" s="6"/>
      <c r="G599" s="5"/>
      <c r="H599" s="37"/>
      <c r="I599" s="36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227"/>
      <c r="Z599" s="228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4"/>
      <c r="AP599" s="7"/>
      <c r="AQ599" s="74"/>
      <c r="AR599" s="70"/>
      <c r="AS599" s="7"/>
      <c r="AT599" s="70"/>
      <c r="AU599" s="7"/>
      <c r="AV599" s="70"/>
      <c r="AW599" s="7"/>
      <c r="AX599" s="183"/>
      <c r="AY599" s="107"/>
      <c r="AZ599" s="70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101"/>
      <c r="CL599" s="74"/>
      <c r="CM599" s="74"/>
      <c r="CN599" s="74"/>
      <c r="CO599" s="70"/>
      <c r="CP599" s="74"/>
      <c r="CQ599" s="7"/>
      <c r="CR599" s="74"/>
      <c r="CS599" s="74"/>
      <c r="CT599" s="74"/>
      <c r="CU599" s="74"/>
      <c r="CV599" s="74"/>
      <c r="CW599" s="7"/>
      <c r="CX599" s="7"/>
      <c r="CY599" s="7"/>
      <c r="CZ599" s="74"/>
      <c r="DA599" s="7"/>
      <c r="DB599" s="7"/>
      <c r="DC599" s="7"/>
      <c r="DD599" s="7"/>
      <c r="DE599" s="74"/>
      <c r="DF599" s="74"/>
      <c r="DG599" s="74"/>
      <c r="DH599" s="74"/>
      <c r="DI599" s="74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4"/>
      <c r="DU599" s="7"/>
      <c r="DV599" s="7"/>
      <c r="DW599" s="7"/>
      <c r="DX599" s="7"/>
      <c r="DY599" s="7"/>
      <c r="DZ599" s="8">
        <f t="shared" si="164"/>
        <v>0</v>
      </c>
      <c r="EA599" s="3">
        <f t="shared" si="165"/>
        <v>0</v>
      </c>
      <c r="EB599" s="2">
        <f t="shared" si="166"/>
        <v>0</v>
      </c>
      <c r="EC599" s="112">
        <f t="shared" si="175"/>
        <v>0</v>
      </c>
      <c r="ED599" s="29">
        <f t="shared" si="167"/>
        <v>0</v>
      </c>
      <c r="EE599" s="2">
        <f t="shared" si="168"/>
        <v>0</v>
      </c>
      <c r="EF599" s="46">
        <f t="shared" si="169"/>
        <v>0</v>
      </c>
      <c r="EG599" s="46">
        <f t="shared" si="170"/>
        <v>0</v>
      </c>
      <c r="EH599" s="2">
        <f t="shared" si="171"/>
        <v>0</v>
      </c>
      <c r="EI599" s="29">
        <f>IF(COUNT(I599:AD599)&lt;5,DZ599,SUMPRODUCT(LARGE(I599:AD599,{1,2,3,4,5}))/5)</f>
        <v>0</v>
      </c>
      <c r="EJ599" s="29">
        <f>IF(COUNT(I599:BE599)&lt;5,DZ599,SUMPRODUCT(LARGE(I599:BE599,{1,2,3,4,5}))/5)</f>
        <v>0</v>
      </c>
      <c r="EK599" s="29">
        <f t="shared" si="173"/>
        <v>0</v>
      </c>
      <c r="EL599" s="29">
        <f t="shared" si="176"/>
        <v>0</v>
      </c>
      <c r="EM599" s="116">
        <f t="shared" si="172"/>
        <v>0</v>
      </c>
      <c r="EQ599"/>
    </row>
    <row r="600" spans="1:147" x14ac:dyDescent="0.25">
      <c r="A600" s="59"/>
      <c r="B600" s="4"/>
      <c r="C600" s="5"/>
      <c r="D600" s="5"/>
      <c r="E600" s="6"/>
      <c r="F600" s="6"/>
      <c r="G600" s="5"/>
      <c r="H600" s="99"/>
      <c r="I600" s="107"/>
      <c r="J600" s="7"/>
      <c r="K600" s="74"/>
      <c r="L600" s="7"/>
      <c r="M600" s="74"/>
      <c r="N600" s="74"/>
      <c r="O600" s="7"/>
      <c r="P600" s="74"/>
      <c r="Q600" s="7"/>
      <c r="R600" s="74"/>
      <c r="S600" s="74"/>
      <c r="T600" s="7"/>
      <c r="U600" s="7"/>
      <c r="V600" s="74"/>
      <c r="W600" s="74"/>
      <c r="X600" s="74"/>
      <c r="Y600" s="227"/>
      <c r="Z600" s="228"/>
      <c r="AA600" s="74"/>
      <c r="AB600" s="74"/>
      <c r="AC600" s="74"/>
      <c r="AD600" s="74"/>
      <c r="AE600" s="7"/>
      <c r="AF600" s="74"/>
      <c r="AG600" s="74"/>
      <c r="AH600" s="7"/>
      <c r="AI600" s="7"/>
      <c r="AJ600" s="7"/>
      <c r="AK600" s="7"/>
      <c r="AL600" s="7"/>
      <c r="AM600" s="7"/>
      <c r="AN600" s="7"/>
      <c r="AO600" s="74"/>
      <c r="AP600" s="7"/>
      <c r="AQ600" s="74"/>
      <c r="AR600" s="101"/>
      <c r="AS600" s="7"/>
      <c r="AT600" s="101"/>
      <c r="AU600" s="7"/>
      <c r="AV600" s="101"/>
      <c r="AW600" s="7"/>
      <c r="AX600" s="183"/>
      <c r="AY600" s="107"/>
      <c r="AZ600" s="74"/>
      <c r="BA600" s="74"/>
      <c r="BB600" s="74"/>
      <c r="BC600" s="74"/>
      <c r="BD600" s="74"/>
      <c r="BE600" s="74"/>
      <c r="BF600" s="74"/>
      <c r="BG600" s="74"/>
      <c r="BH600" s="74"/>
      <c r="BI600" s="74"/>
      <c r="BJ600" s="74"/>
      <c r="BK600" s="7"/>
      <c r="BL600" s="74"/>
      <c r="BM600" s="7"/>
      <c r="BN600" s="74"/>
      <c r="BO600" s="74"/>
      <c r="BP600" s="74"/>
      <c r="BQ600" s="74"/>
      <c r="BR600" s="74"/>
      <c r="BS600" s="74"/>
      <c r="BT600" s="74"/>
      <c r="BU600" s="74"/>
      <c r="BV600" s="74"/>
      <c r="BW600" s="74"/>
      <c r="BX600" s="74"/>
      <c r="BY600" s="74"/>
      <c r="BZ600" s="74"/>
      <c r="CA600" s="74"/>
      <c r="CB600" s="74"/>
      <c r="CC600" s="74"/>
      <c r="CD600" s="74"/>
      <c r="CE600" s="7"/>
      <c r="CF600" s="74"/>
      <c r="CG600" s="74"/>
      <c r="CH600" s="7"/>
      <c r="CI600" s="74"/>
      <c r="CJ600" s="74"/>
      <c r="CK600" s="101"/>
      <c r="CL600" s="74"/>
      <c r="CM600" s="74"/>
      <c r="CN600" s="74"/>
      <c r="CO600" s="101"/>
      <c r="CP600" s="74"/>
      <c r="CQ600" s="74"/>
      <c r="CR600" s="74"/>
      <c r="CS600" s="74"/>
      <c r="CT600" s="74"/>
      <c r="CU600" s="74"/>
      <c r="CV600" s="74"/>
      <c r="CW600" s="74"/>
      <c r="CX600" s="74"/>
      <c r="CY600" s="74"/>
      <c r="CZ600" s="74"/>
      <c r="DA600" s="74"/>
      <c r="DB600" s="74"/>
      <c r="DC600" s="74"/>
      <c r="DD600" s="74"/>
      <c r="DE600" s="74"/>
      <c r="DF600" s="74"/>
      <c r="DG600" s="74"/>
      <c r="DH600" s="74"/>
      <c r="DI600" s="74"/>
      <c r="DJ600" s="74"/>
      <c r="DK600" s="74"/>
      <c r="DL600" s="74"/>
      <c r="DM600" s="74"/>
      <c r="DN600" s="74"/>
      <c r="DO600" s="74"/>
      <c r="DP600" s="74"/>
      <c r="DQ600" s="74"/>
      <c r="DR600" s="74"/>
      <c r="DS600" s="74"/>
      <c r="DT600" s="74"/>
      <c r="DU600" s="74"/>
      <c r="DV600" s="74"/>
      <c r="DW600" s="74"/>
      <c r="DX600" s="74"/>
      <c r="DY600" s="74"/>
      <c r="DZ600" s="8">
        <f t="shared" si="164"/>
        <v>0</v>
      </c>
      <c r="EA600" s="3">
        <f t="shared" si="165"/>
        <v>0</v>
      </c>
      <c r="EB600" s="2">
        <f t="shared" si="166"/>
        <v>0</v>
      </c>
      <c r="EC600" s="112">
        <f t="shared" si="175"/>
        <v>0</v>
      </c>
      <c r="ED600" s="29">
        <f t="shared" si="167"/>
        <v>0</v>
      </c>
      <c r="EE600" s="2">
        <f t="shared" si="168"/>
        <v>0</v>
      </c>
      <c r="EF600" s="46">
        <f t="shared" si="169"/>
        <v>0</v>
      </c>
      <c r="EG600" s="46">
        <f t="shared" si="170"/>
        <v>0</v>
      </c>
      <c r="EH600" s="29">
        <f t="shared" si="171"/>
        <v>0</v>
      </c>
      <c r="EI600" s="29">
        <f>IF(COUNT(I600:AD600)&lt;5,DZ600,SUMPRODUCT(LARGE(I600:AD600,{1,2,3,4,5}))/5)</f>
        <v>0</v>
      </c>
      <c r="EJ600" s="29">
        <f>IF(COUNT(I600:BE600)&lt;5,DZ600,SUMPRODUCT(LARGE(I600:BE600,{1,2,3,4,5}))/5)</f>
        <v>0</v>
      </c>
      <c r="EK600" s="29">
        <f t="shared" si="173"/>
        <v>0</v>
      </c>
      <c r="EL600" s="29">
        <f t="shared" si="176"/>
        <v>0</v>
      </c>
      <c r="EM600" s="116">
        <f t="shared" si="172"/>
        <v>0</v>
      </c>
      <c r="EQ600"/>
    </row>
    <row r="601" spans="1:147" x14ac:dyDescent="0.25">
      <c r="A601" s="59"/>
      <c r="B601" s="32"/>
      <c r="C601" s="5"/>
      <c r="D601" s="6"/>
      <c r="E601" s="6"/>
      <c r="F601" s="6"/>
      <c r="G601" s="5"/>
      <c r="H601" s="37"/>
      <c r="I601" s="107"/>
      <c r="J601" s="7"/>
      <c r="K601" s="74"/>
      <c r="L601" s="7"/>
      <c r="M601" s="74"/>
      <c r="N601" s="74"/>
      <c r="O601" s="7"/>
      <c r="P601" s="74"/>
      <c r="Q601" s="7"/>
      <c r="R601" s="74"/>
      <c r="S601" s="74"/>
      <c r="T601" s="7"/>
      <c r="U601" s="7"/>
      <c r="V601" s="74"/>
      <c r="W601" s="7"/>
      <c r="X601" s="7"/>
      <c r="Y601" s="227"/>
      <c r="Z601" s="228"/>
      <c r="AA601" s="74"/>
      <c r="AB601" s="74"/>
      <c r="AC601" s="74"/>
      <c r="AD601" s="74"/>
      <c r="AE601" s="7"/>
      <c r="AF601" s="74"/>
      <c r="AG601" s="74"/>
      <c r="AH601" s="7"/>
      <c r="AI601" s="7"/>
      <c r="AJ601" s="7"/>
      <c r="AK601" s="7"/>
      <c r="AL601" s="7"/>
      <c r="AM601" s="7"/>
      <c r="AN601" s="7"/>
      <c r="AO601" s="74"/>
      <c r="AP601" s="7"/>
      <c r="AQ601" s="74"/>
      <c r="AR601" s="101"/>
      <c r="AS601" s="7"/>
      <c r="AT601" s="101"/>
      <c r="AU601" s="7"/>
      <c r="AV601" s="101"/>
      <c r="AW601" s="7"/>
      <c r="AX601" s="183"/>
      <c r="AY601" s="107"/>
      <c r="AZ601" s="74"/>
      <c r="BA601" s="74"/>
      <c r="BB601" s="74"/>
      <c r="BC601" s="74"/>
      <c r="BD601" s="74"/>
      <c r="BE601" s="74"/>
      <c r="BF601" s="74"/>
      <c r="BG601" s="74"/>
      <c r="BH601" s="74"/>
      <c r="BI601" s="74"/>
      <c r="BJ601" s="74"/>
      <c r="BK601" s="7"/>
      <c r="BL601" s="74"/>
      <c r="BM601" s="7"/>
      <c r="BN601" s="74"/>
      <c r="BO601" s="74"/>
      <c r="BP601" s="74"/>
      <c r="BQ601" s="74"/>
      <c r="BR601" s="74"/>
      <c r="BS601" s="74"/>
      <c r="BT601" s="74"/>
      <c r="BU601" s="74"/>
      <c r="BV601" s="74"/>
      <c r="BW601" s="74"/>
      <c r="BX601" s="74"/>
      <c r="BY601" s="74"/>
      <c r="BZ601" s="74"/>
      <c r="CA601" s="74"/>
      <c r="CB601" s="74"/>
      <c r="CC601" s="74"/>
      <c r="CD601" s="74"/>
      <c r="CE601" s="74"/>
      <c r="CF601" s="74"/>
      <c r="CG601" s="74"/>
      <c r="CH601" s="74"/>
      <c r="CI601" s="74"/>
      <c r="CJ601" s="74"/>
      <c r="CK601" s="101"/>
      <c r="CL601" s="74"/>
      <c r="CM601" s="74"/>
      <c r="CN601" s="74"/>
      <c r="CO601" s="101"/>
      <c r="CP601" s="74"/>
      <c r="CQ601" s="74"/>
      <c r="CR601" s="74"/>
      <c r="CS601" s="74"/>
      <c r="CT601" s="74"/>
      <c r="CU601" s="74"/>
      <c r="CV601" s="74"/>
      <c r="CW601" s="74"/>
      <c r="CX601" s="74"/>
      <c r="CY601" s="74"/>
      <c r="CZ601" s="74"/>
      <c r="DA601" s="74"/>
      <c r="DB601" s="74"/>
      <c r="DC601" s="74"/>
      <c r="DD601" s="74"/>
      <c r="DE601" s="74"/>
      <c r="DF601" s="74"/>
      <c r="DG601" s="74"/>
      <c r="DH601" s="74"/>
      <c r="DI601" s="74"/>
      <c r="DJ601" s="7"/>
      <c r="DK601" s="74"/>
      <c r="DL601" s="7"/>
      <c r="DM601" s="74"/>
      <c r="DN601" s="74"/>
      <c r="DO601" s="74"/>
      <c r="DP601" s="74"/>
      <c r="DQ601" s="74"/>
      <c r="DR601" s="74"/>
      <c r="DS601" s="74"/>
      <c r="DT601" s="74"/>
      <c r="DU601" s="74"/>
      <c r="DV601" s="74"/>
      <c r="DW601" s="74"/>
      <c r="DX601" s="74"/>
      <c r="DY601" s="74"/>
      <c r="DZ601" s="8">
        <f t="shared" si="164"/>
        <v>0</v>
      </c>
      <c r="EA601" s="3">
        <f t="shared" si="165"/>
        <v>0</v>
      </c>
      <c r="EB601" s="2">
        <f t="shared" si="166"/>
        <v>0</v>
      </c>
      <c r="EC601" s="112">
        <f t="shared" si="175"/>
        <v>0</v>
      </c>
      <c r="ED601" s="29">
        <f t="shared" si="167"/>
        <v>0</v>
      </c>
      <c r="EE601" s="2">
        <f t="shared" si="168"/>
        <v>0</v>
      </c>
      <c r="EF601" s="46">
        <f t="shared" si="169"/>
        <v>0</v>
      </c>
      <c r="EG601" s="46">
        <f t="shared" si="170"/>
        <v>0</v>
      </c>
      <c r="EH601" s="29">
        <f t="shared" si="171"/>
        <v>0</v>
      </c>
      <c r="EI601" s="29">
        <f>IF(COUNT(I601:AD601)&lt;5,DZ601,SUMPRODUCT(LARGE(I601:AD601,{1,2,3,4,5}))/5)</f>
        <v>0</v>
      </c>
      <c r="EJ601" s="29">
        <f>IF(COUNT(I601:BE601)&lt;5,DZ601,SUMPRODUCT(LARGE(I601:BE601,{1,2,3,4,5}))/5)</f>
        <v>0</v>
      </c>
      <c r="EK601" s="29">
        <f t="shared" si="173"/>
        <v>0</v>
      </c>
      <c r="EL601" s="29">
        <f t="shared" si="176"/>
        <v>0</v>
      </c>
      <c r="EM601" s="116">
        <f t="shared" si="172"/>
        <v>0</v>
      </c>
      <c r="EQ601"/>
    </row>
    <row r="602" spans="1:147" x14ac:dyDescent="0.25">
      <c r="A602" s="59"/>
      <c r="B602" s="4"/>
      <c r="C602" s="5"/>
      <c r="D602" s="5"/>
      <c r="E602" s="6"/>
      <c r="F602" s="6"/>
      <c r="G602" s="5"/>
      <c r="H602" s="37"/>
      <c r="I602" s="107"/>
      <c r="J602" s="7"/>
      <c r="K602" s="74"/>
      <c r="L602" s="7"/>
      <c r="M602" s="74"/>
      <c r="N602" s="74"/>
      <c r="O602" s="7"/>
      <c r="P602" s="74"/>
      <c r="Q602" s="74"/>
      <c r="R602" s="7"/>
      <c r="S602" s="74"/>
      <c r="T602" s="7"/>
      <c r="U602" s="7"/>
      <c r="V602" s="74"/>
      <c r="W602" s="7"/>
      <c r="X602" s="74"/>
      <c r="Y602" s="227"/>
      <c r="Z602" s="228"/>
      <c r="AA602" s="74"/>
      <c r="AB602" s="74"/>
      <c r="AC602" s="74"/>
      <c r="AD602" s="7"/>
      <c r="AE602" s="7"/>
      <c r="AF602" s="74"/>
      <c r="AG602" s="74"/>
      <c r="AH602" s="7"/>
      <c r="AI602" s="7"/>
      <c r="AJ602" s="7"/>
      <c r="AK602" s="7"/>
      <c r="AL602" s="7"/>
      <c r="AM602" s="7"/>
      <c r="AN602" s="7"/>
      <c r="AO602" s="74"/>
      <c r="AP602" s="7"/>
      <c r="AQ602" s="74"/>
      <c r="AR602" s="101"/>
      <c r="AS602" s="7"/>
      <c r="AT602" s="101"/>
      <c r="AU602" s="7"/>
      <c r="AV602" s="101"/>
      <c r="AW602" s="7"/>
      <c r="AX602" s="8"/>
      <c r="AY602" s="36"/>
      <c r="AZ602" s="70"/>
      <c r="BA602" s="74"/>
      <c r="BB602" s="74"/>
      <c r="BC602" s="74"/>
      <c r="BD602" s="74"/>
      <c r="BE602" s="74"/>
      <c r="BF602" s="74"/>
      <c r="BG602" s="74"/>
      <c r="BH602" s="74"/>
      <c r="BI602" s="74"/>
      <c r="BJ602" s="74"/>
      <c r="BK602" s="7"/>
      <c r="BL602" s="74"/>
      <c r="BM602" s="7"/>
      <c r="BN602" s="74"/>
      <c r="BO602" s="74"/>
      <c r="BP602" s="74"/>
      <c r="BQ602" s="74"/>
      <c r="BR602" s="74"/>
      <c r="BS602" s="74"/>
      <c r="BT602" s="74"/>
      <c r="BU602" s="7"/>
      <c r="BV602" s="74"/>
      <c r="BW602" s="74"/>
      <c r="BX602" s="74"/>
      <c r="BY602" s="74"/>
      <c r="BZ602" s="74"/>
      <c r="CA602" s="74"/>
      <c r="CB602" s="74"/>
      <c r="CC602" s="74"/>
      <c r="CD602" s="74"/>
      <c r="CE602" s="74"/>
      <c r="CF602" s="74"/>
      <c r="CG602" s="74"/>
      <c r="CH602" s="74"/>
      <c r="CI602" s="74"/>
      <c r="CJ602" s="74"/>
      <c r="CK602" s="101"/>
      <c r="CL602" s="74"/>
      <c r="CM602" s="74"/>
      <c r="CN602" s="74"/>
      <c r="CO602" s="101"/>
      <c r="CP602" s="74"/>
      <c r="CQ602" s="74"/>
      <c r="CR602" s="74"/>
      <c r="CS602" s="74"/>
      <c r="CT602" s="74"/>
      <c r="CU602" s="74"/>
      <c r="CV602" s="74"/>
      <c r="CW602" s="74"/>
      <c r="CX602" s="74"/>
      <c r="CY602" s="74"/>
      <c r="CZ602" s="74"/>
      <c r="DA602" s="74"/>
      <c r="DB602" s="74"/>
      <c r="DC602" s="74"/>
      <c r="DD602" s="74"/>
      <c r="DE602" s="74"/>
      <c r="DF602" s="74"/>
      <c r="DG602" s="74"/>
      <c r="DH602" s="74"/>
      <c r="DI602" s="74"/>
      <c r="DJ602" s="74"/>
      <c r="DK602" s="74"/>
      <c r="DL602" s="74"/>
      <c r="DM602" s="74"/>
      <c r="DN602" s="74"/>
      <c r="DO602" s="74"/>
      <c r="DP602" s="74"/>
      <c r="DQ602" s="74"/>
      <c r="DR602" s="74"/>
      <c r="DS602" s="74"/>
      <c r="DT602" s="74"/>
      <c r="DU602" s="74"/>
      <c r="DV602" s="74"/>
      <c r="DW602" s="74"/>
      <c r="DX602" s="74"/>
      <c r="DY602" s="74"/>
      <c r="DZ602" s="8">
        <f t="shared" si="164"/>
        <v>0</v>
      </c>
      <c r="EA602" s="3">
        <f t="shared" si="165"/>
        <v>0</v>
      </c>
      <c r="EB602" s="2">
        <f t="shared" si="166"/>
        <v>0</v>
      </c>
      <c r="EC602" s="112">
        <f t="shared" si="175"/>
        <v>0</v>
      </c>
      <c r="ED602" s="29">
        <f t="shared" si="167"/>
        <v>0</v>
      </c>
      <c r="EE602" s="2">
        <f t="shared" si="168"/>
        <v>0</v>
      </c>
      <c r="EF602" s="46">
        <f t="shared" si="169"/>
        <v>0</v>
      </c>
      <c r="EG602" s="46">
        <f t="shared" si="170"/>
        <v>0</v>
      </c>
      <c r="EH602" s="29">
        <f t="shared" si="171"/>
        <v>0</v>
      </c>
      <c r="EI602" s="29">
        <f>IF(COUNT(I602:AD602)&lt;5,DZ602,SUMPRODUCT(LARGE(I602:AD602,{1,2,3,4,5}))/5)</f>
        <v>0</v>
      </c>
      <c r="EJ602" s="29">
        <f>IF(COUNT(I602:BE602)&lt;5,DZ602,SUMPRODUCT(LARGE(I602:BE602,{1,2,3,4,5}))/5)</f>
        <v>0</v>
      </c>
      <c r="EK602" s="29">
        <f t="shared" si="173"/>
        <v>0</v>
      </c>
      <c r="EL602" s="29">
        <f t="shared" si="176"/>
        <v>0</v>
      </c>
      <c r="EM602" s="116">
        <f t="shared" si="172"/>
        <v>0</v>
      </c>
      <c r="EQ602"/>
    </row>
    <row r="603" spans="1:147" x14ac:dyDescent="0.25">
      <c r="A603" s="59"/>
      <c r="B603" s="32"/>
      <c r="C603" s="5"/>
      <c r="D603" s="6"/>
      <c r="E603" s="6"/>
      <c r="F603" s="6"/>
      <c r="G603" s="5"/>
      <c r="H603" s="37"/>
      <c r="I603" s="107"/>
      <c r="J603" s="7"/>
      <c r="K603" s="74"/>
      <c r="L603" s="7"/>
      <c r="M603" s="74"/>
      <c r="N603" s="74"/>
      <c r="O603" s="7"/>
      <c r="P603" s="74"/>
      <c r="Q603" s="7"/>
      <c r="R603" s="74"/>
      <c r="S603" s="74"/>
      <c r="T603" s="7"/>
      <c r="U603" s="7"/>
      <c r="V603" s="74"/>
      <c r="W603" s="74"/>
      <c r="X603" s="74"/>
      <c r="Y603" s="227"/>
      <c r="Z603" s="228"/>
      <c r="AA603" s="74"/>
      <c r="AB603" s="74"/>
      <c r="AC603" s="74"/>
      <c r="AD603" s="74"/>
      <c r="AE603" s="7"/>
      <c r="AF603" s="74"/>
      <c r="AG603" s="74"/>
      <c r="AH603" s="7"/>
      <c r="AI603" s="7"/>
      <c r="AJ603" s="7"/>
      <c r="AK603" s="7"/>
      <c r="AL603" s="7"/>
      <c r="AM603" s="7"/>
      <c r="AN603" s="7"/>
      <c r="AO603" s="74"/>
      <c r="AP603" s="7"/>
      <c r="AQ603" s="74"/>
      <c r="AR603" s="101"/>
      <c r="AS603" s="7"/>
      <c r="AT603" s="101"/>
      <c r="AU603" s="7"/>
      <c r="AV603" s="101"/>
      <c r="AW603" s="7"/>
      <c r="AX603" s="183"/>
      <c r="AY603" s="107"/>
      <c r="AZ603" s="74"/>
      <c r="BA603" s="74"/>
      <c r="BB603" s="74"/>
      <c r="BC603" s="74"/>
      <c r="BD603" s="74"/>
      <c r="BE603" s="74"/>
      <c r="BF603" s="74"/>
      <c r="BG603" s="74"/>
      <c r="BH603" s="74"/>
      <c r="BI603" s="74"/>
      <c r="BJ603" s="74"/>
      <c r="BK603" s="7"/>
      <c r="BL603" s="74"/>
      <c r="BM603" s="7"/>
      <c r="BN603" s="74"/>
      <c r="BO603" s="74"/>
      <c r="BP603" s="74"/>
      <c r="BQ603" s="74"/>
      <c r="BR603" s="74"/>
      <c r="BS603" s="74"/>
      <c r="BT603" s="74"/>
      <c r="BU603" s="74"/>
      <c r="BV603" s="74"/>
      <c r="BW603" s="74"/>
      <c r="BX603" s="74"/>
      <c r="BY603" s="74"/>
      <c r="BZ603" s="74"/>
      <c r="CA603" s="74"/>
      <c r="CB603" s="74"/>
      <c r="CC603" s="74"/>
      <c r="CD603" s="74"/>
      <c r="CE603" s="7"/>
      <c r="CF603" s="74"/>
      <c r="CG603" s="74"/>
      <c r="CH603" s="7"/>
      <c r="CI603" s="74"/>
      <c r="CJ603" s="74"/>
      <c r="CK603" s="101"/>
      <c r="CL603" s="74"/>
      <c r="CM603" s="74"/>
      <c r="CN603" s="74"/>
      <c r="CO603" s="101"/>
      <c r="CP603" s="74"/>
      <c r="CQ603" s="74"/>
      <c r="CR603" s="74"/>
      <c r="CS603" s="74"/>
      <c r="CT603" s="74"/>
      <c r="CU603" s="74"/>
      <c r="CV603" s="74"/>
      <c r="CW603" s="74"/>
      <c r="CX603" s="74"/>
      <c r="CY603" s="74"/>
      <c r="CZ603" s="74"/>
      <c r="DA603" s="74"/>
      <c r="DB603" s="74"/>
      <c r="DC603" s="74"/>
      <c r="DD603" s="74"/>
      <c r="DE603" s="74"/>
      <c r="DF603" s="74"/>
      <c r="DG603" s="74"/>
      <c r="DH603" s="74"/>
      <c r="DI603" s="74"/>
      <c r="DJ603" s="74"/>
      <c r="DK603" s="74"/>
      <c r="DL603" s="74"/>
      <c r="DM603" s="74"/>
      <c r="DN603" s="74"/>
      <c r="DO603" s="74"/>
      <c r="DP603" s="74"/>
      <c r="DQ603" s="74"/>
      <c r="DR603" s="74"/>
      <c r="DS603" s="74"/>
      <c r="DT603" s="74"/>
      <c r="DU603" s="74"/>
      <c r="DV603" s="74"/>
      <c r="DW603" s="74"/>
      <c r="DX603" s="74"/>
      <c r="DY603" s="74"/>
      <c r="DZ603" s="8">
        <f t="shared" si="164"/>
        <v>0</v>
      </c>
      <c r="EA603" s="3">
        <f t="shared" si="165"/>
        <v>0</v>
      </c>
      <c r="EB603" s="2">
        <f t="shared" si="166"/>
        <v>0</v>
      </c>
      <c r="EC603" s="112">
        <f t="shared" si="175"/>
        <v>0</v>
      </c>
      <c r="ED603" s="29">
        <f t="shared" si="167"/>
        <v>0</v>
      </c>
      <c r="EE603" s="2">
        <f t="shared" si="168"/>
        <v>0</v>
      </c>
      <c r="EF603" s="46">
        <f t="shared" si="169"/>
        <v>0</v>
      </c>
      <c r="EG603" s="46">
        <f t="shared" si="170"/>
        <v>0</v>
      </c>
      <c r="EH603" s="2">
        <f t="shared" si="171"/>
        <v>0</v>
      </c>
      <c r="EI603" s="29">
        <f>IF(COUNT(I603:AD603)&lt;5,DZ603,SUMPRODUCT(LARGE(I603:AD603,{1,2,3,4,5}))/5)</f>
        <v>0</v>
      </c>
      <c r="EJ603" s="29">
        <f>IF(COUNT(I603:BE603)&lt;5,DZ603,SUMPRODUCT(LARGE(I603:BE603,{1,2,3,4,5}))/5)</f>
        <v>0</v>
      </c>
      <c r="EK603" s="29">
        <f t="shared" si="173"/>
        <v>0</v>
      </c>
      <c r="EL603" s="29">
        <f t="shared" si="176"/>
        <v>0</v>
      </c>
      <c r="EM603" s="116">
        <f t="shared" si="172"/>
        <v>0</v>
      </c>
      <c r="EQ603"/>
    </row>
    <row r="604" spans="1:147" x14ac:dyDescent="0.25">
      <c r="A604" s="59"/>
      <c r="B604" s="32"/>
      <c r="C604" s="5"/>
      <c r="D604" s="6"/>
      <c r="E604" s="6"/>
      <c r="F604" s="6"/>
      <c r="G604" s="5"/>
      <c r="H604" s="37"/>
      <c r="I604" s="107"/>
      <c r="J604" s="7"/>
      <c r="K604" s="74"/>
      <c r="L604" s="7"/>
      <c r="M604" s="74"/>
      <c r="N604" s="74"/>
      <c r="O604" s="7"/>
      <c r="P604" s="74"/>
      <c r="Q604" s="7"/>
      <c r="R604" s="74"/>
      <c r="S604" s="74"/>
      <c r="T604" s="7"/>
      <c r="U604" s="7"/>
      <c r="V604" s="74"/>
      <c r="W604" s="74"/>
      <c r="X604" s="74"/>
      <c r="Y604" s="227"/>
      <c r="Z604" s="228"/>
      <c r="AA604" s="74"/>
      <c r="AB604" s="74"/>
      <c r="AC604" s="74"/>
      <c r="AD604" s="74"/>
      <c r="AE604" s="7"/>
      <c r="AF604" s="74"/>
      <c r="AG604" s="74"/>
      <c r="AH604" s="7"/>
      <c r="AI604" s="7"/>
      <c r="AJ604" s="7"/>
      <c r="AK604" s="7"/>
      <c r="AL604" s="7"/>
      <c r="AM604" s="7"/>
      <c r="AN604" s="7"/>
      <c r="AO604" s="74"/>
      <c r="AP604" s="7"/>
      <c r="AQ604" s="74"/>
      <c r="AR604" s="101"/>
      <c r="AS604" s="7"/>
      <c r="AT604" s="101"/>
      <c r="AU604" s="7"/>
      <c r="AV604" s="101"/>
      <c r="AW604" s="7"/>
      <c r="AX604" s="183"/>
      <c r="AY604" s="107"/>
      <c r="AZ604" s="74"/>
      <c r="BA604" s="74"/>
      <c r="BB604" s="74"/>
      <c r="BC604" s="74"/>
      <c r="BD604" s="74"/>
      <c r="BE604" s="74"/>
      <c r="BF604" s="74"/>
      <c r="BG604" s="74"/>
      <c r="BH604" s="74"/>
      <c r="BI604" s="74"/>
      <c r="BJ604" s="74"/>
      <c r="BK604" s="7"/>
      <c r="BL604" s="74"/>
      <c r="BM604" s="7"/>
      <c r="BN604" s="74"/>
      <c r="BO604" s="74"/>
      <c r="BP604" s="74"/>
      <c r="BQ604" s="74"/>
      <c r="BR604" s="74"/>
      <c r="BS604" s="74"/>
      <c r="BT604" s="74"/>
      <c r="BU604" s="74"/>
      <c r="BV604" s="74"/>
      <c r="BW604" s="74"/>
      <c r="BX604" s="74"/>
      <c r="BY604" s="74"/>
      <c r="BZ604" s="74"/>
      <c r="CA604" s="74"/>
      <c r="CB604" s="74"/>
      <c r="CC604" s="74"/>
      <c r="CD604" s="74"/>
      <c r="CE604" s="7"/>
      <c r="CF604" s="74"/>
      <c r="CG604" s="74"/>
      <c r="CH604" s="7"/>
      <c r="CI604" s="74"/>
      <c r="CJ604" s="74"/>
      <c r="CK604" s="101"/>
      <c r="CL604" s="74"/>
      <c r="CM604" s="74"/>
      <c r="CN604" s="74"/>
      <c r="CO604" s="101"/>
      <c r="CP604" s="74"/>
      <c r="CQ604" s="74"/>
      <c r="CR604" s="74"/>
      <c r="CS604" s="74"/>
      <c r="CT604" s="74"/>
      <c r="CU604" s="74"/>
      <c r="CV604" s="74"/>
      <c r="CW604" s="74"/>
      <c r="CX604" s="74"/>
      <c r="CY604" s="74"/>
      <c r="CZ604" s="74"/>
      <c r="DA604" s="74"/>
      <c r="DB604" s="74"/>
      <c r="DC604" s="74"/>
      <c r="DD604" s="74"/>
      <c r="DE604" s="74"/>
      <c r="DF604" s="74"/>
      <c r="DG604" s="74"/>
      <c r="DH604" s="74"/>
      <c r="DI604" s="74"/>
      <c r="DJ604" s="74"/>
      <c r="DK604" s="74"/>
      <c r="DL604" s="74"/>
      <c r="DM604" s="74"/>
      <c r="DN604" s="74"/>
      <c r="DO604" s="74"/>
      <c r="DP604" s="74"/>
      <c r="DQ604" s="74"/>
      <c r="DR604" s="74"/>
      <c r="DS604" s="74"/>
      <c r="DT604" s="74"/>
      <c r="DU604" s="74"/>
      <c r="DV604" s="74"/>
      <c r="DW604" s="74"/>
      <c r="DX604" s="74"/>
      <c r="DY604" s="74"/>
      <c r="DZ604" s="8">
        <f t="shared" si="164"/>
        <v>0</v>
      </c>
      <c r="EA604" s="3">
        <f t="shared" si="165"/>
        <v>0</v>
      </c>
      <c r="EB604" s="2">
        <f t="shared" si="166"/>
        <v>0</v>
      </c>
      <c r="EC604" s="112">
        <f t="shared" si="175"/>
        <v>0</v>
      </c>
      <c r="ED604" s="29">
        <f t="shared" si="167"/>
        <v>0</v>
      </c>
      <c r="EE604" s="2">
        <f t="shared" si="168"/>
        <v>0</v>
      </c>
      <c r="EF604" s="46">
        <f t="shared" si="169"/>
        <v>0</v>
      </c>
      <c r="EG604" s="46">
        <f t="shared" si="170"/>
        <v>0</v>
      </c>
      <c r="EH604" s="29">
        <f t="shared" si="171"/>
        <v>0</v>
      </c>
      <c r="EI604" s="29">
        <f>IF(COUNT(I604:AD604)&lt;5,DZ604,SUMPRODUCT(LARGE(I604:AD604,{1,2,3,4,5}))/5)</f>
        <v>0</v>
      </c>
      <c r="EJ604" s="29">
        <f>IF(COUNT(I604:BE604)&lt;5,DZ604,SUMPRODUCT(LARGE(I604:BE604,{1,2,3,4,5}))/5)</f>
        <v>0</v>
      </c>
      <c r="EK604" s="29">
        <f t="shared" si="173"/>
        <v>0</v>
      </c>
      <c r="EL604" s="29">
        <f t="shared" si="176"/>
        <v>0</v>
      </c>
      <c r="EM604" s="116">
        <f t="shared" si="172"/>
        <v>0</v>
      </c>
      <c r="EQ604"/>
    </row>
    <row r="605" spans="1:147" x14ac:dyDescent="0.25">
      <c r="A605" s="59"/>
      <c r="B605" s="32"/>
      <c r="C605" s="5"/>
      <c r="D605" s="6"/>
      <c r="E605" s="6"/>
      <c r="F605" s="6"/>
      <c r="G605" s="5"/>
      <c r="H605" s="37"/>
      <c r="I605" s="107"/>
      <c r="J605" s="7"/>
      <c r="K605" s="74"/>
      <c r="L605" s="7"/>
      <c r="M605" s="74"/>
      <c r="N605" s="74"/>
      <c r="O605" s="7"/>
      <c r="P605" s="74"/>
      <c r="Q605" s="7"/>
      <c r="R605" s="74"/>
      <c r="S605" s="74"/>
      <c r="T605" s="7"/>
      <c r="U605" s="7"/>
      <c r="V605" s="74"/>
      <c r="W605" s="74"/>
      <c r="X605" s="74"/>
      <c r="Y605" s="227"/>
      <c r="Z605" s="228"/>
      <c r="AA605" s="74"/>
      <c r="AB605" s="74"/>
      <c r="AC605" s="74"/>
      <c r="AD605" s="74"/>
      <c r="AE605" s="7"/>
      <c r="AF605" s="74"/>
      <c r="AG605" s="74"/>
      <c r="AH605" s="7"/>
      <c r="AI605" s="7"/>
      <c r="AJ605" s="7"/>
      <c r="AK605" s="7"/>
      <c r="AL605" s="7"/>
      <c r="AM605" s="7"/>
      <c r="AN605" s="7"/>
      <c r="AO605" s="74"/>
      <c r="AP605" s="7"/>
      <c r="AQ605" s="74"/>
      <c r="AR605" s="101"/>
      <c r="AS605" s="7"/>
      <c r="AT605" s="101"/>
      <c r="AU605" s="7"/>
      <c r="AV605" s="101"/>
      <c r="AW605" s="7"/>
      <c r="AX605" s="183"/>
      <c r="AY605" s="107"/>
      <c r="AZ605" s="74"/>
      <c r="BA605" s="74"/>
      <c r="BB605" s="74"/>
      <c r="BC605" s="74"/>
      <c r="BD605" s="74"/>
      <c r="BE605" s="74"/>
      <c r="BF605" s="74"/>
      <c r="BG605" s="74"/>
      <c r="BH605" s="74"/>
      <c r="BI605" s="74"/>
      <c r="BJ605" s="74"/>
      <c r="BK605" s="7"/>
      <c r="BL605" s="74"/>
      <c r="BM605" s="7"/>
      <c r="BN605" s="74"/>
      <c r="BO605" s="74"/>
      <c r="BP605" s="74"/>
      <c r="BQ605" s="74"/>
      <c r="BR605" s="74"/>
      <c r="BS605" s="74"/>
      <c r="BT605" s="74"/>
      <c r="BU605" s="74"/>
      <c r="BV605" s="74"/>
      <c r="BW605" s="74"/>
      <c r="BX605" s="74"/>
      <c r="BY605" s="74"/>
      <c r="BZ605" s="74"/>
      <c r="CA605" s="74"/>
      <c r="CB605" s="74"/>
      <c r="CC605" s="74"/>
      <c r="CD605" s="74"/>
      <c r="CE605" s="7"/>
      <c r="CF605" s="74"/>
      <c r="CG605" s="74"/>
      <c r="CH605" s="7"/>
      <c r="CI605" s="74"/>
      <c r="CJ605" s="74"/>
      <c r="CK605" s="101"/>
      <c r="CL605" s="74"/>
      <c r="CM605" s="74"/>
      <c r="CN605" s="74"/>
      <c r="CO605" s="101"/>
      <c r="CP605" s="74"/>
      <c r="CQ605" s="74"/>
      <c r="CR605" s="74"/>
      <c r="CS605" s="74"/>
      <c r="CT605" s="74"/>
      <c r="CU605" s="74"/>
      <c r="CV605" s="74"/>
      <c r="CW605" s="74"/>
      <c r="CX605" s="74"/>
      <c r="CY605" s="74"/>
      <c r="CZ605" s="74"/>
      <c r="DA605" s="74"/>
      <c r="DB605" s="74"/>
      <c r="DC605" s="74"/>
      <c r="DD605" s="74"/>
      <c r="DE605" s="74"/>
      <c r="DF605" s="74"/>
      <c r="DG605" s="74"/>
      <c r="DH605" s="74"/>
      <c r="DI605" s="74"/>
      <c r="DJ605" s="74"/>
      <c r="DK605" s="74"/>
      <c r="DL605" s="74"/>
      <c r="DM605" s="74"/>
      <c r="DN605" s="74"/>
      <c r="DO605" s="74"/>
      <c r="DP605" s="74"/>
      <c r="DQ605" s="74"/>
      <c r="DR605" s="74"/>
      <c r="DS605" s="74"/>
      <c r="DT605" s="74"/>
      <c r="DU605" s="74"/>
      <c r="DV605" s="74"/>
      <c r="DW605" s="74"/>
      <c r="DX605" s="74"/>
      <c r="DY605" s="74"/>
      <c r="DZ605" s="8">
        <f t="shared" si="164"/>
        <v>0</v>
      </c>
      <c r="EA605" s="3">
        <f t="shared" si="165"/>
        <v>0</v>
      </c>
      <c r="EB605" s="2">
        <f t="shared" si="166"/>
        <v>0</v>
      </c>
      <c r="EC605" s="112">
        <f t="shared" si="175"/>
        <v>0</v>
      </c>
      <c r="ED605" s="29">
        <f t="shared" si="167"/>
        <v>0</v>
      </c>
      <c r="EE605" s="2">
        <f t="shared" si="168"/>
        <v>0</v>
      </c>
      <c r="EF605" s="46">
        <f t="shared" si="169"/>
        <v>0</v>
      </c>
      <c r="EG605" s="46">
        <f t="shared" si="170"/>
        <v>0</v>
      </c>
      <c r="EH605" s="29">
        <f t="shared" si="171"/>
        <v>0</v>
      </c>
      <c r="EI605" s="29">
        <f>IF(COUNT(I605:AD605)&lt;5,DZ605,SUMPRODUCT(LARGE(I605:AD605,{1,2,3,4,5}))/5)</f>
        <v>0</v>
      </c>
      <c r="EJ605" s="29">
        <f>IF(COUNT(I605:BE605)&lt;5,DZ605,SUMPRODUCT(LARGE(I605:BE605,{1,2,3,4,5}))/5)</f>
        <v>0</v>
      </c>
      <c r="EK605" s="29">
        <f t="shared" si="173"/>
        <v>0</v>
      </c>
      <c r="EL605" s="29">
        <f t="shared" si="176"/>
        <v>0</v>
      </c>
      <c r="EM605" s="116">
        <f t="shared" si="172"/>
        <v>0</v>
      </c>
      <c r="EQ605"/>
    </row>
    <row r="606" spans="1:147" x14ac:dyDescent="0.25">
      <c r="A606" s="59"/>
      <c r="B606" s="32"/>
      <c r="C606" s="5"/>
      <c r="D606" s="6"/>
      <c r="E606" s="6"/>
      <c r="F606" s="6"/>
      <c r="G606" s="5"/>
      <c r="H606" s="99"/>
      <c r="I606" s="36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227"/>
      <c r="Z606" s="228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4"/>
      <c r="AP606" s="7"/>
      <c r="AQ606" s="74"/>
      <c r="AR606" s="70"/>
      <c r="AS606" s="7"/>
      <c r="AT606" s="70"/>
      <c r="AU606" s="7"/>
      <c r="AV606" s="70"/>
      <c r="AW606" s="7"/>
      <c r="AX606" s="183"/>
      <c r="AY606" s="10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4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101"/>
      <c r="CL606" s="74"/>
      <c r="CM606" s="74"/>
      <c r="CN606" s="74"/>
      <c r="CO606" s="70"/>
      <c r="CP606" s="74"/>
      <c r="CQ606" s="7"/>
      <c r="CR606" s="74"/>
      <c r="CS606" s="74"/>
      <c r="CT606" s="74"/>
      <c r="CU606" s="74"/>
      <c r="CV606" s="7"/>
      <c r="CW606" s="7"/>
      <c r="CX606" s="7"/>
      <c r="CY606" s="7"/>
      <c r="CZ606" s="7"/>
      <c r="DA606" s="7"/>
      <c r="DB606" s="7"/>
      <c r="DC606" s="7"/>
      <c r="DD606" s="7"/>
      <c r="DE606" s="74"/>
      <c r="DF606" s="74"/>
      <c r="DG606" s="74"/>
      <c r="DH606" s="7"/>
      <c r="DI606" s="74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8">
        <f t="shared" si="164"/>
        <v>0</v>
      </c>
      <c r="EA606" s="3">
        <f t="shared" si="165"/>
        <v>0</v>
      </c>
      <c r="EB606" s="2">
        <f t="shared" si="166"/>
        <v>0</v>
      </c>
      <c r="EC606" s="112">
        <f t="shared" si="175"/>
        <v>0</v>
      </c>
      <c r="ED606" s="29">
        <f t="shared" si="167"/>
        <v>0</v>
      </c>
      <c r="EE606" s="2">
        <f t="shared" si="168"/>
        <v>0</v>
      </c>
      <c r="EF606" s="46">
        <f t="shared" si="169"/>
        <v>0</v>
      </c>
      <c r="EG606" s="46">
        <f t="shared" si="170"/>
        <v>0</v>
      </c>
      <c r="EH606" s="2">
        <f t="shared" si="171"/>
        <v>0</v>
      </c>
      <c r="EI606" s="29">
        <f>IF(COUNT(I606:AD606)&lt;5,DZ606,SUMPRODUCT(LARGE(I606:AD606,{1,2,3,4,5}))/5)</f>
        <v>0</v>
      </c>
      <c r="EJ606" s="29">
        <f>IF(COUNT(I606:BE606)&lt;5,DZ606,SUMPRODUCT(LARGE(I606:BE606,{1,2,3,4,5}))/5)</f>
        <v>0</v>
      </c>
      <c r="EK606" s="29">
        <f t="shared" si="173"/>
        <v>0</v>
      </c>
      <c r="EL606" s="29">
        <f t="shared" si="176"/>
        <v>0</v>
      </c>
      <c r="EM606" s="116">
        <f t="shared" si="172"/>
        <v>0</v>
      </c>
      <c r="EQ606"/>
    </row>
    <row r="607" spans="1:147" x14ac:dyDescent="0.25">
      <c r="A607" s="59"/>
      <c r="B607" s="32"/>
      <c r="C607" s="5"/>
      <c r="D607" s="6"/>
      <c r="E607" s="6"/>
      <c r="F607" s="6"/>
      <c r="G607" s="5"/>
      <c r="H607" s="37"/>
      <c r="I607" s="107"/>
      <c r="J607" s="7"/>
      <c r="K607" s="74"/>
      <c r="L607" s="7"/>
      <c r="M607" s="74"/>
      <c r="N607" s="74"/>
      <c r="O607" s="7"/>
      <c r="P607" s="74"/>
      <c r="Q607" s="7"/>
      <c r="R607" s="74"/>
      <c r="S607" s="74"/>
      <c r="T607" s="7"/>
      <c r="U607" s="7"/>
      <c r="V607" s="74"/>
      <c r="W607" s="74"/>
      <c r="X607" s="74"/>
      <c r="Y607" s="227"/>
      <c r="Z607" s="228"/>
      <c r="AA607" s="74"/>
      <c r="AB607" s="74"/>
      <c r="AC607" s="74"/>
      <c r="AD607" s="74"/>
      <c r="AE607" s="7"/>
      <c r="AF607" s="74"/>
      <c r="AG607" s="74"/>
      <c r="AH607" s="7"/>
      <c r="AI607" s="7"/>
      <c r="AJ607" s="7"/>
      <c r="AK607" s="7"/>
      <c r="AL607" s="7"/>
      <c r="AM607" s="7"/>
      <c r="AN607" s="7"/>
      <c r="AO607" s="74"/>
      <c r="AP607" s="7"/>
      <c r="AQ607" s="74"/>
      <c r="AR607" s="101"/>
      <c r="AS607" s="7"/>
      <c r="AT607" s="101"/>
      <c r="AU607" s="7"/>
      <c r="AV607" s="101"/>
      <c r="AW607" s="7"/>
      <c r="AX607" s="183"/>
      <c r="AY607" s="107"/>
      <c r="AZ607" s="74"/>
      <c r="BA607" s="74"/>
      <c r="BB607" s="74"/>
      <c r="BC607" s="74"/>
      <c r="BD607" s="74"/>
      <c r="BE607" s="74"/>
      <c r="BF607" s="74"/>
      <c r="BG607" s="74"/>
      <c r="BH607" s="74"/>
      <c r="BI607" s="74"/>
      <c r="BJ607" s="74"/>
      <c r="BK607" s="7"/>
      <c r="BL607" s="74"/>
      <c r="BM607" s="7"/>
      <c r="BN607" s="74"/>
      <c r="BO607" s="74"/>
      <c r="BP607" s="74"/>
      <c r="BQ607" s="74"/>
      <c r="BR607" s="74"/>
      <c r="BS607" s="74"/>
      <c r="BT607" s="74"/>
      <c r="BU607" s="74"/>
      <c r="BV607" s="74"/>
      <c r="BW607" s="74"/>
      <c r="BX607" s="74"/>
      <c r="BY607" s="74"/>
      <c r="BZ607" s="74"/>
      <c r="CA607" s="74"/>
      <c r="CB607" s="74"/>
      <c r="CC607" s="74"/>
      <c r="CD607" s="74"/>
      <c r="CE607" s="7"/>
      <c r="CF607" s="74"/>
      <c r="CG607" s="74"/>
      <c r="CH607" s="7"/>
      <c r="CI607" s="74"/>
      <c r="CJ607" s="74"/>
      <c r="CK607" s="101"/>
      <c r="CL607" s="74"/>
      <c r="CM607" s="74"/>
      <c r="CN607" s="74"/>
      <c r="CO607" s="101"/>
      <c r="CP607" s="74"/>
      <c r="CQ607" s="74"/>
      <c r="CR607" s="74"/>
      <c r="CS607" s="74"/>
      <c r="CT607" s="74"/>
      <c r="CU607" s="74"/>
      <c r="CV607" s="74"/>
      <c r="CW607" s="74"/>
      <c r="CX607" s="74"/>
      <c r="CY607" s="74"/>
      <c r="CZ607" s="74"/>
      <c r="DA607" s="74"/>
      <c r="DB607" s="74"/>
      <c r="DC607" s="74"/>
      <c r="DD607" s="74"/>
      <c r="DE607" s="74"/>
      <c r="DF607" s="74"/>
      <c r="DG607" s="74"/>
      <c r="DH607" s="74"/>
      <c r="DI607" s="74"/>
      <c r="DJ607" s="74"/>
      <c r="DK607" s="74"/>
      <c r="DL607" s="74"/>
      <c r="DM607" s="74"/>
      <c r="DN607" s="74"/>
      <c r="DO607" s="74"/>
      <c r="DP607" s="74"/>
      <c r="DQ607" s="74"/>
      <c r="DR607" s="74"/>
      <c r="DS607" s="74"/>
      <c r="DT607" s="74"/>
      <c r="DU607" s="74"/>
      <c r="DV607" s="74"/>
      <c r="DW607" s="74"/>
      <c r="DX607" s="74"/>
      <c r="DY607" s="74"/>
      <c r="DZ607" s="8">
        <f t="shared" si="164"/>
        <v>0</v>
      </c>
      <c r="EA607" s="3">
        <f t="shared" si="165"/>
        <v>0</v>
      </c>
      <c r="EB607" s="2">
        <f t="shared" si="166"/>
        <v>0</v>
      </c>
      <c r="EC607" s="112">
        <f t="shared" si="175"/>
        <v>0</v>
      </c>
      <c r="ED607" s="29">
        <f t="shared" si="167"/>
        <v>0</v>
      </c>
      <c r="EE607" s="2">
        <f t="shared" si="168"/>
        <v>0</v>
      </c>
      <c r="EF607" s="46">
        <f t="shared" si="169"/>
        <v>0</v>
      </c>
      <c r="EG607" s="46">
        <f t="shared" si="170"/>
        <v>0</v>
      </c>
      <c r="EH607" s="29">
        <f t="shared" si="171"/>
        <v>0</v>
      </c>
      <c r="EI607" s="29">
        <f>IF(COUNT(I607:AD607)&lt;5,DZ607,SUMPRODUCT(LARGE(I607:AD607,{1,2,3,4,5}))/5)</f>
        <v>0</v>
      </c>
      <c r="EJ607" s="29">
        <f>IF(COUNT(I607:BE607)&lt;5,DZ607,SUMPRODUCT(LARGE(I607:BE607,{1,2,3,4,5}))/5)</f>
        <v>0</v>
      </c>
      <c r="EK607" s="29">
        <f t="shared" si="173"/>
        <v>0</v>
      </c>
      <c r="EL607" s="29">
        <f t="shared" si="176"/>
        <v>0</v>
      </c>
      <c r="EM607" s="116">
        <f t="shared" si="172"/>
        <v>0</v>
      </c>
      <c r="EQ607"/>
    </row>
    <row r="608" spans="1:147" x14ac:dyDescent="0.25">
      <c r="A608" s="59"/>
      <c r="B608" s="32"/>
      <c r="C608" s="5"/>
      <c r="D608" s="6"/>
      <c r="E608" s="6"/>
      <c r="F608" s="6"/>
      <c r="G608" s="5"/>
      <c r="H608" s="37"/>
      <c r="I608" s="36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227"/>
      <c r="Z608" s="228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4"/>
      <c r="AP608" s="7"/>
      <c r="AQ608" s="74"/>
      <c r="AR608" s="70"/>
      <c r="AS608" s="7"/>
      <c r="AT608" s="70"/>
      <c r="AU608" s="7"/>
      <c r="AV608" s="70"/>
      <c r="AW608" s="7"/>
      <c r="AX608" s="183"/>
      <c r="AY608" s="10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101"/>
      <c r="CL608" s="74"/>
      <c r="CM608" s="74"/>
      <c r="CN608" s="74"/>
      <c r="CO608" s="70"/>
      <c r="CP608" s="74"/>
      <c r="CQ608" s="7"/>
      <c r="CR608" s="74"/>
      <c r="CS608" s="74"/>
      <c r="CT608" s="74"/>
      <c r="CU608" s="74"/>
      <c r="CV608" s="74"/>
      <c r="CW608" s="7"/>
      <c r="CX608" s="7"/>
      <c r="CY608" s="7"/>
      <c r="CZ608" s="7"/>
      <c r="DA608" s="7"/>
      <c r="DB608" s="7"/>
      <c r="DC608" s="7"/>
      <c r="DD608" s="7"/>
      <c r="DE608" s="74"/>
      <c r="DF608" s="74"/>
      <c r="DG608" s="74"/>
      <c r="DH608" s="74"/>
      <c r="DI608" s="74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8">
        <f t="shared" si="164"/>
        <v>0</v>
      </c>
      <c r="EA608" s="3">
        <f t="shared" si="165"/>
        <v>0</v>
      </c>
      <c r="EB608" s="2">
        <f t="shared" si="166"/>
        <v>0</v>
      </c>
      <c r="EC608" s="112">
        <f t="shared" si="175"/>
        <v>0</v>
      </c>
      <c r="ED608" s="29">
        <f t="shared" si="167"/>
        <v>0</v>
      </c>
      <c r="EE608" s="2">
        <f t="shared" si="168"/>
        <v>0</v>
      </c>
      <c r="EF608" s="46">
        <f t="shared" si="169"/>
        <v>0</v>
      </c>
      <c r="EG608" s="46">
        <f t="shared" si="170"/>
        <v>0</v>
      </c>
      <c r="EH608" s="2">
        <f t="shared" si="171"/>
        <v>0</v>
      </c>
      <c r="EI608" s="29">
        <f>IF(COUNT(I608:AD608)&lt;5,DZ608,SUMPRODUCT(LARGE(I608:AD608,{1,2,3,4,5}))/5)</f>
        <v>0</v>
      </c>
      <c r="EJ608" s="29">
        <f>IF(COUNT(I608:BE608)&lt;5,DZ608,SUMPRODUCT(LARGE(I608:BE608,{1,2,3,4,5}))/5)</f>
        <v>0</v>
      </c>
      <c r="EK608" s="29">
        <f t="shared" si="173"/>
        <v>0</v>
      </c>
      <c r="EL608" s="29">
        <f t="shared" si="176"/>
        <v>0</v>
      </c>
      <c r="EM608" s="116">
        <f t="shared" si="172"/>
        <v>0</v>
      </c>
      <c r="EQ608"/>
    </row>
    <row r="609" spans="1:147" x14ac:dyDescent="0.25">
      <c r="A609" s="59"/>
      <c r="B609" s="32"/>
      <c r="C609" s="5"/>
      <c r="D609" s="6"/>
      <c r="E609" s="6"/>
      <c r="F609" s="6"/>
      <c r="G609" s="5"/>
      <c r="H609" s="37"/>
      <c r="I609" s="107"/>
      <c r="J609" s="7"/>
      <c r="K609" s="74"/>
      <c r="L609" s="7"/>
      <c r="M609" s="74"/>
      <c r="N609" s="74"/>
      <c r="O609" s="7"/>
      <c r="P609" s="74"/>
      <c r="Q609" s="7"/>
      <c r="R609" s="74"/>
      <c r="S609" s="74"/>
      <c r="T609" s="7"/>
      <c r="U609" s="7"/>
      <c r="V609" s="74"/>
      <c r="W609" s="7"/>
      <c r="X609" s="74"/>
      <c r="Y609" s="227"/>
      <c r="Z609" s="228"/>
      <c r="AA609" s="74"/>
      <c r="AB609" s="74"/>
      <c r="AC609" s="74"/>
      <c r="AD609" s="74"/>
      <c r="AE609" s="7"/>
      <c r="AF609" s="74"/>
      <c r="AG609" s="74"/>
      <c r="AH609" s="7"/>
      <c r="AI609" s="7"/>
      <c r="AJ609" s="7"/>
      <c r="AK609" s="7"/>
      <c r="AL609" s="7"/>
      <c r="AM609" s="7"/>
      <c r="AN609" s="7"/>
      <c r="AO609" s="74"/>
      <c r="AP609" s="7"/>
      <c r="AQ609" s="74"/>
      <c r="AR609" s="101"/>
      <c r="AS609" s="7"/>
      <c r="AT609" s="101"/>
      <c r="AU609" s="7"/>
      <c r="AV609" s="101"/>
      <c r="AW609" s="7"/>
      <c r="AX609" s="8"/>
      <c r="AY609" s="36"/>
      <c r="AZ609" s="74"/>
      <c r="BA609" s="74"/>
      <c r="BB609" s="74"/>
      <c r="BC609" s="74"/>
      <c r="BD609" s="74"/>
      <c r="BE609" s="74"/>
      <c r="BF609" s="74"/>
      <c r="BG609" s="74"/>
      <c r="BH609" s="74"/>
      <c r="BI609" s="74"/>
      <c r="BJ609" s="74"/>
      <c r="BK609" s="7"/>
      <c r="BL609" s="74"/>
      <c r="BM609" s="7"/>
      <c r="BN609" s="74"/>
      <c r="BO609" s="74"/>
      <c r="BP609" s="74"/>
      <c r="BQ609" s="74"/>
      <c r="BR609" s="74"/>
      <c r="BS609" s="74"/>
      <c r="BT609" s="74"/>
      <c r="BU609" s="74"/>
      <c r="BV609" s="74"/>
      <c r="BW609" s="74"/>
      <c r="BX609" s="74"/>
      <c r="BY609" s="74"/>
      <c r="BZ609" s="74"/>
      <c r="CA609" s="74"/>
      <c r="CB609" s="74"/>
      <c r="CC609" s="74"/>
      <c r="CD609" s="74"/>
      <c r="CE609" s="7"/>
      <c r="CF609" s="74"/>
      <c r="CG609" s="74"/>
      <c r="CH609" s="7"/>
      <c r="CI609" s="74"/>
      <c r="CJ609" s="74"/>
      <c r="CK609" s="101"/>
      <c r="CL609" s="74"/>
      <c r="CM609" s="74"/>
      <c r="CN609" s="74"/>
      <c r="CO609" s="101"/>
      <c r="CP609" s="74"/>
      <c r="CQ609" s="74"/>
      <c r="CR609" s="74"/>
      <c r="CS609" s="74"/>
      <c r="CT609" s="74"/>
      <c r="CU609" s="74"/>
      <c r="CV609" s="74"/>
      <c r="CW609" s="74"/>
      <c r="CX609" s="74"/>
      <c r="CY609" s="74"/>
      <c r="CZ609" s="74"/>
      <c r="DA609" s="74"/>
      <c r="DB609" s="74"/>
      <c r="DC609" s="74"/>
      <c r="DD609" s="74"/>
      <c r="DE609" s="74"/>
      <c r="DF609" s="74"/>
      <c r="DG609" s="74"/>
      <c r="DH609" s="74"/>
      <c r="DI609" s="74"/>
      <c r="DJ609" s="74"/>
      <c r="DK609" s="74"/>
      <c r="DL609" s="74"/>
      <c r="DM609" s="74"/>
      <c r="DN609" s="74"/>
      <c r="DO609" s="74"/>
      <c r="DP609" s="74"/>
      <c r="DQ609" s="74"/>
      <c r="DR609" s="74"/>
      <c r="DS609" s="74"/>
      <c r="DT609" s="74"/>
      <c r="DU609" s="74"/>
      <c r="DV609" s="74"/>
      <c r="DW609" s="74"/>
      <c r="DX609" s="74"/>
      <c r="DY609" s="74"/>
      <c r="DZ609" s="8">
        <f t="shared" si="164"/>
        <v>0</v>
      </c>
      <c r="EA609" s="3">
        <f t="shared" si="165"/>
        <v>0</v>
      </c>
      <c r="EB609" s="2">
        <f t="shared" si="166"/>
        <v>0</v>
      </c>
      <c r="EC609" s="112">
        <f t="shared" si="175"/>
        <v>0</v>
      </c>
      <c r="ED609" s="29">
        <f t="shared" si="167"/>
        <v>0</v>
      </c>
      <c r="EE609" s="2">
        <f t="shared" si="168"/>
        <v>0</v>
      </c>
      <c r="EF609" s="46">
        <f t="shared" si="169"/>
        <v>0</v>
      </c>
      <c r="EG609" s="46">
        <f t="shared" si="170"/>
        <v>0</v>
      </c>
      <c r="EH609" s="29">
        <f t="shared" si="171"/>
        <v>0</v>
      </c>
      <c r="EI609" s="29">
        <f>IF(COUNT(I609:AD609)&lt;5,DZ609,SUMPRODUCT(LARGE(I609:AD609,{1,2,3,4,5}))/5)</f>
        <v>0</v>
      </c>
      <c r="EJ609" s="29">
        <f>IF(COUNT(I609:BE609)&lt;5,DZ609,SUMPRODUCT(LARGE(I609:BE609,{1,2,3,4,5}))/5)</f>
        <v>0</v>
      </c>
      <c r="EK609" s="29">
        <f t="shared" si="173"/>
        <v>0</v>
      </c>
      <c r="EL609" s="29">
        <f t="shared" si="176"/>
        <v>0</v>
      </c>
      <c r="EM609" s="116">
        <f t="shared" si="172"/>
        <v>0</v>
      </c>
      <c r="EQ609"/>
    </row>
    <row r="610" spans="1:147" x14ac:dyDescent="0.25">
      <c r="A610" s="59"/>
      <c r="B610" s="32"/>
      <c r="C610" s="5"/>
      <c r="D610" s="6"/>
      <c r="E610" s="6"/>
      <c r="F610" s="6"/>
      <c r="G610" s="5"/>
      <c r="H610" s="37"/>
      <c r="I610" s="107"/>
      <c r="J610" s="7"/>
      <c r="K610" s="74"/>
      <c r="L610" s="7"/>
      <c r="M610" s="74"/>
      <c r="N610" s="74"/>
      <c r="O610" s="7"/>
      <c r="P610" s="74"/>
      <c r="Q610" s="7"/>
      <c r="R610" s="74"/>
      <c r="S610" s="74"/>
      <c r="T610" s="7"/>
      <c r="U610" s="7"/>
      <c r="V610" s="74"/>
      <c r="W610" s="74"/>
      <c r="X610" s="74"/>
      <c r="Y610" s="227"/>
      <c r="Z610" s="228"/>
      <c r="AA610" s="74"/>
      <c r="AB610" s="74"/>
      <c r="AC610" s="74"/>
      <c r="AD610" s="74"/>
      <c r="AE610" s="7"/>
      <c r="AF610" s="74"/>
      <c r="AG610" s="74"/>
      <c r="AH610" s="7"/>
      <c r="AI610" s="7"/>
      <c r="AJ610" s="7"/>
      <c r="AK610" s="7"/>
      <c r="AL610" s="7"/>
      <c r="AM610" s="7"/>
      <c r="AN610" s="7"/>
      <c r="AO610" s="74"/>
      <c r="AP610" s="7"/>
      <c r="AQ610" s="74"/>
      <c r="AR610" s="101"/>
      <c r="AS610" s="7"/>
      <c r="AT610" s="101"/>
      <c r="AU610" s="7"/>
      <c r="AV610" s="101"/>
      <c r="AW610" s="7"/>
      <c r="AX610" s="183"/>
      <c r="AY610" s="107"/>
      <c r="AZ610" s="74"/>
      <c r="BA610" s="74"/>
      <c r="BB610" s="74"/>
      <c r="BC610" s="74"/>
      <c r="BD610" s="74"/>
      <c r="BE610" s="74"/>
      <c r="BF610" s="74"/>
      <c r="BG610" s="74"/>
      <c r="BH610" s="74"/>
      <c r="BI610" s="74"/>
      <c r="BJ610" s="74"/>
      <c r="BK610" s="7"/>
      <c r="BL610" s="74"/>
      <c r="BM610" s="7"/>
      <c r="BN610" s="74"/>
      <c r="BO610" s="74"/>
      <c r="BP610" s="74"/>
      <c r="BQ610" s="74"/>
      <c r="BR610" s="74"/>
      <c r="BS610" s="74"/>
      <c r="BT610" s="74"/>
      <c r="BU610" s="74"/>
      <c r="BV610" s="74"/>
      <c r="BW610" s="74"/>
      <c r="BX610" s="74"/>
      <c r="BY610" s="74"/>
      <c r="BZ610" s="74"/>
      <c r="CA610" s="74"/>
      <c r="CB610" s="74"/>
      <c r="CC610" s="74"/>
      <c r="CD610" s="74"/>
      <c r="CE610" s="7"/>
      <c r="CF610" s="74"/>
      <c r="CG610" s="74"/>
      <c r="CH610" s="7"/>
      <c r="CI610" s="74"/>
      <c r="CJ610" s="74"/>
      <c r="CK610" s="101"/>
      <c r="CL610" s="74"/>
      <c r="CM610" s="74"/>
      <c r="CN610" s="74"/>
      <c r="CO610" s="101"/>
      <c r="CP610" s="74"/>
      <c r="CQ610" s="74"/>
      <c r="CR610" s="74"/>
      <c r="CS610" s="74"/>
      <c r="CT610" s="74"/>
      <c r="CU610" s="74"/>
      <c r="CV610" s="74"/>
      <c r="CW610" s="74"/>
      <c r="CX610" s="74"/>
      <c r="CY610" s="74"/>
      <c r="CZ610" s="74"/>
      <c r="DA610" s="74"/>
      <c r="DB610" s="74"/>
      <c r="DC610" s="74"/>
      <c r="DD610" s="74"/>
      <c r="DE610" s="74"/>
      <c r="DF610" s="74"/>
      <c r="DG610" s="74"/>
      <c r="DH610" s="74"/>
      <c r="DI610" s="74"/>
      <c r="DJ610" s="7"/>
      <c r="DK610" s="74"/>
      <c r="DL610" s="7"/>
      <c r="DM610" s="74"/>
      <c r="DN610" s="74"/>
      <c r="DO610" s="74"/>
      <c r="DP610" s="74"/>
      <c r="DQ610" s="74"/>
      <c r="DR610" s="74"/>
      <c r="DS610" s="74"/>
      <c r="DT610" s="74"/>
      <c r="DU610" s="74"/>
      <c r="DV610" s="74"/>
      <c r="DW610" s="74"/>
      <c r="DX610" s="74"/>
      <c r="DY610" s="74"/>
      <c r="DZ610" s="8">
        <f t="shared" si="164"/>
        <v>0</v>
      </c>
      <c r="EA610" s="3">
        <f t="shared" si="165"/>
        <v>0</v>
      </c>
      <c r="EB610" s="2">
        <f t="shared" si="166"/>
        <v>0</v>
      </c>
      <c r="EC610" s="112">
        <f t="shared" si="175"/>
        <v>0</v>
      </c>
      <c r="ED610" s="29">
        <f t="shared" si="167"/>
        <v>0</v>
      </c>
      <c r="EE610" s="2">
        <f t="shared" si="168"/>
        <v>0</v>
      </c>
      <c r="EF610" s="46">
        <f t="shared" si="169"/>
        <v>0</v>
      </c>
      <c r="EG610" s="46">
        <f t="shared" si="170"/>
        <v>0</v>
      </c>
      <c r="EH610" s="29">
        <f t="shared" si="171"/>
        <v>0</v>
      </c>
      <c r="EI610" s="29">
        <f>IF(COUNT(I610:AD610)&lt;5,DZ610,SUMPRODUCT(LARGE(I610:AD610,{1,2,3,4,5}))/5)</f>
        <v>0</v>
      </c>
      <c r="EJ610" s="29">
        <f>IF(COUNT(I610:BE610)&lt;5,DZ610,SUMPRODUCT(LARGE(I610:BE610,{1,2,3,4,5}))/5)</f>
        <v>0</v>
      </c>
      <c r="EK610" s="29">
        <f t="shared" si="173"/>
        <v>0</v>
      </c>
      <c r="EL610" s="29">
        <f t="shared" si="176"/>
        <v>0</v>
      </c>
      <c r="EM610" s="116">
        <f t="shared" si="172"/>
        <v>0</v>
      </c>
      <c r="EQ610"/>
    </row>
    <row r="611" spans="1:147" x14ac:dyDescent="0.25">
      <c r="A611" s="59"/>
      <c r="B611" s="32"/>
      <c r="C611" s="5"/>
      <c r="D611" s="6"/>
      <c r="E611" s="6"/>
      <c r="F611" s="6"/>
      <c r="G611" s="5"/>
      <c r="H611" s="37"/>
      <c r="I611" s="107"/>
      <c r="J611" s="7"/>
      <c r="K611" s="74"/>
      <c r="L611" s="7"/>
      <c r="M611" s="74"/>
      <c r="N611" s="74"/>
      <c r="O611" s="7"/>
      <c r="P611" s="74"/>
      <c r="Q611" s="7"/>
      <c r="R611" s="74"/>
      <c r="S611" s="74"/>
      <c r="T611" s="7"/>
      <c r="U611" s="7"/>
      <c r="V611" s="74"/>
      <c r="W611" s="74"/>
      <c r="X611" s="74"/>
      <c r="Y611" s="227"/>
      <c r="Z611" s="228"/>
      <c r="AA611" s="74"/>
      <c r="AB611" s="74"/>
      <c r="AC611" s="74"/>
      <c r="AD611" s="74"/>
      <c r="AE611" s="7"/>
      <c r="AF611" s="74"/>
      <c r="AG611" s="74"/>
      <c r="AH611" s="7"/>
      <c r="AI611" s="7"/>
      <c r="AJ611" s="7"/>
      <c r="AK611" s="7"/>
      <c r="AL611" s="7"/>
      <c r="AM611" s="7"/>
      <c r="AN611" s="7"/>
      <c r="AO611" s="74"/>
      <c r="AP611" s="7"/>
      <c r="AQ611" s="74"/>
      <c r="AR611" s="101"/>
      <c r="AS611" s="7"/>
      <c r="AT611" s="101"/>
      <c r="AU611" s="7"/>
      <c r="AV611" s="101"/>
      <c r="AW611" s="7"/>
      <c r="AX611" s="8"/>
      <c r="AY611" s="36"/>
      <c r="AZ611" s="74"/>
      <c r="BA611" s="74"/>
      <c r="BB611" s="74"/>
      <c r="BC611" s="74"/>
      <c r="BD611" s="74"/>
      <c r="BE611" s="74"/>
      <c r="BF611" s="74"/>
      <c r="BG611" s="74"/>
      <c r="BH611" s="74"/>
      <c r="BI611" s="74"/>
      <c r="BJ611" s="74"/>
      <c r="BK611" s="7"/>
      <c r="BL611" s="74"/>
      <c r="BM611" s="7"/>
      <c r="BN611" s="74"/>
      <c r="BO611" s="74"/>
      <c r="BP611" s="74"/>
      <c r="BQ611" s="74"/>
      <c r="BR611" s="74"/>
      <c r="BS611" s="74"/>
      <c r="BT611" s="74"/>
      <c r="BU611" s="74"/>
      <c r="BV611" s="74"/>
      <c r="BW611" s="74"/>
      <c r="BX611" s="74"/>
      <c r="BY611" s="74"/>
      <c r="BZ611" s="74"/>
      <c r="CA611" s="74"/>
      <c r="CB611" s="74"/>
      <c r="CC611" s="74"/>
      <c r="CD611" s="74"/>
      <c r="CE611" s="7"/>
      <c r="CF611" s="74"/>
      <c r="CG611" s="74"/>
      <c r="CH611" s="7"/>
      <c r="CI611" s="74"/>
      <c r="CJ611" s="74"/>
      <c r="CK611" s="101"/>
      <c r="CL611" s="74"/>
      <c r="CM611" s="74"/>
      <c r="CN611" s="74"/>
      <c r="CO611" s="101"/>
      <c r="CP611" s="74"/>
      <c r="CQ611" s="74"/>
      <c r="CR611" s="74"/>
      <c r="CS611" s="74"/>
      <c r="CT611" s="74"/>
      <c r="CU611" s="74"/>
      <c r="CV611" s="74"/>
      <c r="CW611" s="74"/>
      <c r="CX611" s="74"/>
      <c r="CY611" s="74"/>
      <c r="CZ611" s="74"/>
      <c r="DA611" s="74"/>
      <c r="DB611" s="74"/>
      <c r="DC611" s="74"/>
      <c r="DD611" s="74"/>
      <c r="DE611" s="74"/>
      <c r="DF611" s="74"/>
      <c r="DG611" s="74"/>
      <c r="DH611" s="74"/>
      <c r="DI611" s="74"/>
      <c r="DJ611" s="74"/>
      <c r="DK611" s="74"/>
      <c r="DL611" s="74"/>
      <c r="DM611" s="74"/>
      <c r="DN611" s="74"/>
      <c r="DO611" s="74"/>
      <c r="DP611" s="74"/>
      <c r="DQ611" s="74"/>
      <c r="DR611" s="74"/>
      <c r="DS611" s="74"/>
      <c r="DT611" s="74"/>
      <c r="DU611" s="74"/>
      <c r="DV611" s="74"/>
      <c r="DW611" s="74"/>
      <c r="DX611" s="74"/>
      <c r="DY611" s="74"/>
      <c r="DZ611" s="8">
        <f t="shared" si="164"/>
        <v>0</v>
      </c>
      <c r="EA611" s="3">
        <f t="shared" si="165"/>
        <v>0</v>
      </c>
      <c r="EB611" s="2">
        <f t="shared" si="166"/>
        <v>0</v>
      </c>
      <c r="EC611" s="112">
        <f t="shared" si="175"/>
        <v>0</v>
      </c>
      <c r="ED611" s="29">
        <f t="shared" si="167"/>
        <v>0</v>
      </c>
      <c r="EE611" s="2">
        <f t="shared" si="168"/>
        <v>0</v>
      </c>
      <c r="EF611" s="46">
        <f t="shared" si="169"/>
        <v>0</v>
      </c>
      <c r="EG611" s="46">
        <f t="shared" si="170"/>
        <v>0</v>
      </c>
      <c r="EH611" s="29">
        <f t="shared" si="171"/>
        <v>0</v>
      </c>
      <c r="EI611" s="29">
        <f>IF(COUNT(I611:AD611)&lt;5,DZ611,SUMPRODUCT(LARGE(I611:AD611,{1,2,3,4,5}))/5)</f>
        <v>0</v>
      </c>
      <c r="EJ611" s="29">
        <f>IF(COUNT(I611:BE611)&lt;5,DZ611,SUMPRODUCT(LARGE(I611:BE611,{1,2,3,4,5}))/5)</f>
        <v>0</v>
      </c>
      <c r="EK611" s="29">
        <f t="shared" si="173"/>
        <v>0</v>
      </c>
      <c r="EL611" s="29">
        <f t="shared" si="176"/>
        <v>0</v>
      </c>
      <c r="EM611" s="116">
        <f t="shared" si="172"/>
        <v>0</v>
      </c>
      <c r="EQ611"/>
    </row>
    <row r="612" spans="1:147" x14ac:dyDescent="0.25">
      <c r="A612" s="59"/>
      <c r="B612" s="4"/>
      <c r="C612" s="5"/>
      <c r="D612" s="5"/>
      <c r="E612" s="6"/>
      <c r="F612" s="6"/>
      <c r="G612" s="5"/>
      <c r="H612" s="99"/>
      <c r="I612" s="107"/>
      <c r="J612" s="7"/>
      <c r="K612" s="74"/>
      <c r="L612" s="7"/>
      <c r="M612" s="74"/>
      <c r="N612" s="74"/>
      <c r="O612" s="7"/>
      <c r="P612" s="74"/>
      <c r="Q612" s="7"/>
      <c r="R612" s="74"/>
      <c r="S612" s="74"/>
      <c r="T612" s="7"/>
      <c r="U612" s="7"/>
      <c r="V612" s="74"/>
      <c r="W612" s="74"/>
      <c r="X612" s="74"/>
      <c r="Y612" s="227"/>
      <c r="Z612" s="228"/>
      <c r="AA612" s="74"/>
      <c r="AB612" s="74"/>
      <c r="AC612" s="74"/>
      <c r="AD612" s="74"/>
      <c r="AE612" s="7"/>
      <c r="AF612" s="74"/>
      <c r="AG612" s="74"/>
      <c r="AH612" s="7"/>
      <c r="AI612" s="7"/>
      <c r="AJ612" s="7"/>
      <c r="AK612" s="7"/>
      <c r="AL612" s="7"/>
      <c r="AM612" s="7"/>
      <c r="AN612" s="7"/>
      <c r="AO612" s="74"/>
      <c r="AP612" s="7"/>
      <c r="AQ612" s="74"/>
      <c r="AR612" s="101"/>
      <c r="AS612" s="7"/>
      <c r="AT612" s="101"/>
      <c r="AU612" s="7"/>
      <c r="AV612" s="101"/>
      <c r="AW612" s="7"/>
      <c r="AX612" s="183"/>
      <c r="AY612" s="107"/>
      <c r="AZ612" s="74"/>
      <c r="BA612" s="74"/>
      <c r="BB612" s="74"/>
      <c r="BC612" s="74"/>
      <c r="BD612" s="74"/>
      <c r="BE612" s="74"/>
      <c r="BF612" s="74"/>
      <c r="BG612" s="74"/>
      <c r="BH612" s="74"/>
      <c r="BI612" s="74"/>
      <c r="BJ612" s="74"/>
      <c r="BK612" s="7"/>
      <c r="BL612" s="74"/>
      <c r="BM612" s="7"/>
      <c r="BN612" s="74"/>
      <c r="BO612" s="74"/>
      <c r="BP612" s="74"/>
      <c r="BQ612" s="74"/>
      <c r="BR612" s="74"/>
      <c r="BS612" s="74"/>
      <c r="BT612" s="74"/>
      <c r="BU612" s="74"/>
      <c r="BV612" s="74"/>
      <c r="BW612" s="74"/>
      <c r="BX612" s="74"/>
      <c r="BY612" s="74"/>
      <c r="BZ612" s="74"/>
      <c r="CA612" s="74"/>
      <c r="CB612" s="74"/>
      <c r="CC612" s="74"/>
      <c r="CD612" s="74"/>
      <c r="CE612" s="7"/>
      <c r="CF612" s="74"/>
      <c r="CG612" s="74"/>
      <c r="CH612" s="7"/>
      <c r="CI612" s="74"/>
      <c r="CJ612" s="74"/>
      <c r="CK612" s="101"/>
      <c r="CL612" s="74"/>
      <c r="CM612" s="74"/>
      <c r="CN612" s="74"/>
      <c r="CO612" s="101"/>
      <c r="CP612" s="74"/>
      <c r="CQ612" s="74"/>
      <c r="CR612" s="74"/>
      <c r="CS612" s="74"/>
      <c r="CT612" s="74"/>
      <c r="CU612" s="74"/>
      <c r="CV612" s="74"/>
      <c r="CW612" s="74"/>
      <c r="CX612" s="74"/>
      <c r="CY612" s="74"/>
      <c r="CZ612" s="74"/>
      <c r="DA612" s="74"/>
      <c r="DB612" s="74"/>
      <c r="DC612" s="74"/>
      <c r="DD612" s="74"/>
      <c r="DE612" s="74"/>
      <c r="DF612" s="74"/>
      <c r="DG612" s="74"/>
      <c r="DH612" s="74"/>
      <c r="DI612" s="74"/>
      <c r="DJ612" s="74"/>
      <c r="DK612" s="74"/>
      <c r="DL612" s="74"/>
      <c r="DM612" s="74"/>
      <c r="DN612" s="74"/>
      <c r="DO612" s="74"/>
      <c r="DP612" s="74"/>
      <c r="DQ612" s="74"/>
      <c r="DR612" s="74"/>
      <c r="DS612" s="74"/>
      <c r="DT612" s="74"/>
      <c r="DU612" s="74"/>
      <c r="DV612" s="74"/>
      <c r="DW612" s="74"/>
      <c r="DX612" s="74"/>
      <c r="DY612" s="74"/>
      <c r="DZ612" s="8">
        <f t="shared" si="164"/>
        <v>0</v>
      </c>
      <c r="EA612" s="3">
        <f t="shared" si="165"/>
        <v>0</v>
      </c>
      <c r="EB612" s="2">
        <f t="shared" si="166"/>
        <v>0</v>
      </c>
      <c r="EC612" s="112">
        <f t="shared" si="175"/>
        <v>0</v>
      </c>
      <c r="ED612" s="29">
        <f t="shared" si="167"/>
        <v>0</v>
      </c>
      <c r="EE612" s="2">
        <f t="shared" si="168"/>
        <v>0</v>
      </c>
      <c r="EF612" s="46">
        <f t="shared" si="169"/>
        <v>0</v>
      </c>
      <c r="EG612" s="46">
        <f t="shared" si="170"/>
        <v>0</v>
      </c>
      <c r="EH612" s="29">
        <f t="shared" si="171"/>
        <v>0</v>
      </c>
      <c r="EI612" s="29">
        <f>IF(COUNT(I612:AD612)&lt;5,DZ612,SUMPRODUCT(LARGE(I612:AD612,{1,2,3,4,5}))/5)</f>
        <v>0</v>
      </c>
      <c r="EJ612" s="29">
        <f>IF(COUNT(I612:BE612)&lt;5,DZ612,SUMPRODUCT(LARGE(I612:BE612,{1,2,3,4,5}))/5)</f>
        <v>0</v>
      </c>
      <c r="EK612" s="29">
        <f t="shared" si="173"/>
        <v>0</v>
      </c>
      <c r="EL612" s="29">
        <f t="shared" si="176"/>
        <v>0</v>
      </c>
      <c r="EM612" s="116">
        <f t="shared" si="172"/>
        <v>0</v>
      </c>
      <c r="EQ612"/>
    </row>
    <row r="613" spans="1:147" x14ac:dyDescent="0.25">
      <c r="A613" s="59"/>
      <c r="B613" s="32"/>
      <c r="C613" s="5"/>
      <c r="D613" s="6"/>
      <c r="E613" s="6"/>
      <c r="F613" s="6"/>
      <c r="G613" s="5"/>
      <c r="H613" s="37"/>
      <c r="I613" s="36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227"/>
      <c r="Z613" s="228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4"/>
      <c r="AP613" s="7"/>
      <c r="AQ613" s="74"/>
      <c r="AR613" s="70"/>
      <c r="AS613" s="7"/>
      <c r="AT613" s="70"/>
      <c r="AU613" s="7"/>
      <c r="AV613" s="70"/>
      <c r="AW613" s="7"/>
      <c r="AX613" s="183"/>
      <c r="AY613" s="10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4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101"/>
      <c r="CL613" s="74"/>
      <c r="CM613" s="74"/>
      <c r="CN613" s="74"/>
      <c r="CO613" s="70"/>
      <c r="CP613" s="74"/>
      <c r="CQ613" s="7"/>
      <c r="CR613" s="74"/>
      <c r="CS613" s="74"/>
      <c r="CT613" s="74"/>
      <c r="CU613" s="74"/>
      <c r="CV613" s="7"/>
      <c r="CW613" s="7"/>
      <c r="CX613" s="7"/>
      <c r="CY613" s="7"/>
      <c r="CZ613" s="7"/>
      <c r="DA613" s="7"/>
      <c r="DB613" s="7"/>
      <c r="DC613" s="7"/>
      <c r="DD613" s="7"/>
      <c r="DE613" s="74"/>
      <c r="DF613" s="74"/>
      <c r="DG613" s="74"/>
      <c r="DH613" s="7"/>
      <c r="DI613" s="74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8">
        <f t="shared" si="164"/>
        <v>0</v>
      </c>
      <c r="EA613" s="3">
        <f t="shared" si="165"/>
        <v>0</v>
      </c>
      <c r="EB613" s="2">
        <f t="shared" si="166"/>
        <v>0</v>
      </c>
      <c r="EC613" s="112">
        <f t="shared" si="175"/>
        <v>0</v>
      </c>
      <c r="ED613" s="29">
        <f t="shared" si="167"/>
        <v>0</v>
      </c>
      <c r="EE613" s="2">
        <f t="shared" si="168"/>
        <v>0</v>
      </c>
      <c r="EF613" s="46">
        <f t="shared" si="169"/>
        <v>0</v>
      </c>
      <c r="EG613" s="46">
        <f t="shared" si="170"/>
        <v>0</v>
      </c>
      <c r="EH613" s="2">
        <f t="shared" si="171"/>
        <v>0</v>
      </c>
      <c r="EI613" s="29">
        <f>IF(COUNT(I613:AD613)&lt;5,DZ613,SUMPRODUCT(LARGE(I613:AD613,{1,2,3,4,5}))/5)</f>
        <v>0</v>
      </c>
      <c r="EJ613" s="29">
        <f>IF(COUNT(I613:BE613)&lt;5,DZ613,SUMPRODUCT(LARGE(I613:BE613,{1,2,3,4,5}))/5)</f>
        <v>0</v>
      </c>
      <c r="EK613" s="29">
        <f t="shared" si="173"/>
        <v>0</v>
      </c>
      <c r="EL613" s="29">
        <f t="shared" si="176"/>
        <v>0</v>
      </c>
      <c r="EM613" s="116">
        <f t="shared" si="172"/>
        <v>0</v>
      </c>
      <c r="EQ613"/>
    </row>
    <row r="614" spans="1:147" x14ac:dyDescent="0.25">
      <c r="A614" s="59"/>
      <c r="B614" s="32"/>
      <c r="C614" s="5"/>
      <c r="D614" s="6"/>
      <c r="E614" s="6"/>
      <c r="F614" s="6"/>
      <c r="G614" s="5"/>
      <c r="H614" s="37"/>
      <c r="I614" s="36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227"/>
      <c r="Z614" s="228"/>
      <c r="AA614" s="7"/>
      <c r="AB614" s="7"/>
      <c r="AC614" s="7"/>
      <c r="AD614" s="7"/>
      <c r="AE614" s="7"/>
      <c r="AF614" s="7"/>
      <c r="AG614" s="74"/>
      <c r="AH614" s="7"/>
      <c r="AI614" s="7"/>
      <c r="AJ614" s="7"/>
      <c r="AK614" s="7"/>
      <c r="AL614" s="7"/>
      <c r="AM614" s="7"/>
      <c r="AN614" s="7"/>
      <c r="AO614" s="74"/>
      <c r="AP614" s="7"/>
      <c r="AQ614" s="74"/>
      <c r="AR614" s="70"/>
      <c r="AS614" s="7"/>
      <c r="AT614" s="70"/>
      <c r="AU614" s="7"/>
      <c r="AV614" s="70"/>
      <c r="AW614" s="7"/>
      <c r="AX614" s="183"/>
      <c r="AY614" s="10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101"/>
      <c r="CL614" s="74"/>
      <c r="CM614" s="74"/>
      <c r="CN614" s="74"/>
      <c r="CO614" s="70"/>
      <c r="CP614" s="74"/>
      <c r="CQ614" s="7"/>
      <c r="CR614" s="74"/>
      <c r="CS614" s="74"/>
      <c r="CT614" s="74"/>
      <c r="CU614" s="74"/>
      <c r="CV614" s="74"/>
      <c r="CW614" s="7"/>
      <c r="CX614" s="7"/>
      <c r="CY614" s="7"/>
      <c r="CZ614" s="74"/>
      <c r="DA614" s="7"/>
      <c r="DB614" s="7"/>
      <c r="DC614" s="7"/>
      <c r="DD614" s="7"/>
      <c r="DE614" s="74"/>
      <c r="DF614" s="74"/>
      <c r="DG614" s="74"/>
      <c r="DH614" s="74"/>
      <c r="DI614" s="74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8">
        <f t="shared" si="164"/>
        <v>0</v>
      </c>
      <c r="EA614" s="3">
        <f t="shared" si="165"/>
        <v>0</v>
      </c>
      <c r="EB614" s="2">
        <f t="shared" si="166"/>
        <v>0</v>
      </c>
      <c r="EC614" s="112">
        <f t="shared" si="175"/>
        <v>0</v>
      </c>
      <c r="ED614" s="29">
        <f t="shared" si="167"/>
        <v>0</v>
      </c>
      <c r="EE614" s="2">
        <f t="shared" si="168"/>
        <v>0</v>
      </c>
      <c r="EF614" s="46">
        <f t="shared" si="169"/>
        <v>0</v>
      </c>
      <c r="EG614" s="46">
        <f t="shared" si="170"/>
        <v>0</v>
      </c>
      <c r="EH614" s="2">
        <f t="shared" si="171"/>
        <v>0</v>
      </c>
      <c r="EI614" s="29">
        <f>IF(COUNT(I614:AD614)&lt;5,DZ614,SUMPRODUCT(LARGE(I614:AD614,{1,2,3,4,5}))/5)</f>
        <v>0</v>
      </c>
      <c r="EJ614" s="29">
        <f>IF(COUNT(I614:BE614)&lt;5,DZ614,SUMPRODUCT(LARGE(I614:BE614,{1,2,3,4,5}))/5)</f>
        <v>0</v>
      </c>
      <c r="EK614" s="29">
        <f t="shared" si="173"/>
        <v>0</v>
      </c>
      <c r="EL614" s="29">
        <f t="shared" si="176"/>
        <v>0</v>
      </c>
      <c r="EM614" s="116">
        <f t="shared" si="172"/>
        <v>0</v>
      </c>
      <c r="EQ614"/>
    </row>
    <row r="615" spans="1:147" x14ac:dyDescent="0.25">
      <c r="A615" s="59"/>
      <c r="B615" s="32"/>
      <c r="C615" s="5"/>
      <c r="D615" s="6"/>
      <c r="E615" s="6"/>
      <c r="F615" s="6"/>
      <c r="G615" s="5"/>
      <c r="H615" s="37"/>
      <c r="I615" s="107"/>
      <c r="J615" s="7"/>
      <c r="K615" s="74"/>
      <c r="L615" s="7"/>
      <c r="M615" s="74"/>
      <c r="N615" s="74"/>
      <c r="O615" s="7"/>
      <c r="P615" s="74"/>
      <c r="Q615" s="7"/>
      <c r="R615" s="74"/>
      <c r="S615" s="74"/>
      <c r="T615" s="7"/>
      <c r="U615" s="7"/>
      <c r="V615" s="74"/>
      <c r="W615" s="74"/>
      <c r="X615" s="74"/>
      <c r="Y615" s="227"/>
      <c r="Z615" s="228"/>
      <c r="AA615" s="74"/>
      <c r="AB615" s="74"/>
      <c r="AC615" s="74"/>
      <c r="AD615" s="74"/>
      <c r="AE615" s="7"/>
      <c r="AF615" s="74"/>
      <c r="AG615" s="74"/>
      <c r="AH615" s="7"/>
      <c r="AI615" s="7"/>
      <c r="AJ615" s="7"/>
      <c r="AK615" s="7"/>
      <c r="AL615" s="7"/>
      <c r="AM615" s="7"/>
      <c r="AN615" s="7"/>
      <c r="AO615" s="74"/>
      <c r="AP615" s="7"/>
      <c r="AQ615" s="74"/>
      <c r="AR615" s="101"/>
      <c r="AS615" s="7"/>
      <c r="AT615" s="101"/>
      <c r="AU615" s="7"/>
      <c r="AV615" s="101"/>
      <c r="AW615" s="7"/>
      <c r="AX615" s="183"/>
      <c r="AY615" s="107"/>
      <c r="AZ615" s="74"/>
      <c r="BA615" s="74"/>
      <c r="BB615" s="74"/>
      <c r="BC615" s="74"/>
      <c r="BD615" s="74"/>
      <c r="BE615" s="74"/>
      <c r="BF615" s="74"/>
      <c r="BG615" s="74"/>
      <c r="BH615" s="74"/>
      <c r="BI615" s="74"/>
      <c r="BJ615" s="74"/>
      <c r="BK615" s="7"/>
      <c r="BL615" s="74"/>
      <c r="BM615" s="7"/>
      <c r="BN615" s="74"/>
      <c r="BO615" s="74"/>
      <c r="BP615" s="74"/>
      <c r="BQ615" s="74"/>
      <c r="BR615" s="74"/>
      <c r="BS615" s="74"/>
      <c r="BT615" s="74"/>
      <c r="BU615" s="74"/>
      <c r="BV615" s="74"/>
      <c r="BW615" s="74"/>
      <c r="BX615" s="74"/>
      <c r="BY615" s="74"/>
      <c r="BZ615" s="74"/>
      <c r="CA615" s="74"/>
      <c r="CB615" s="74"/>
      <c r="CC615" s="74"/>
      <c r="CD615" s="74"/>
      <c r="CE615" s="7"/>
      <c r="CF615" s="74"/>
      <c r="CG615" s="74"/>
      <c r="CH615" s="7"/>
      <c r="CI615" s="74"/>
      <c r="CJ615" s="74"/>
      <c r="CK615" s="101"/>
      <c r="CL615" s="74"/>
      <c r="CM615" s="74"/>
      <c r="CN615" s="74"/>
      <c r="CO615" s="101"/>
      <c r="CP615" s="74"/>
      <c r="CQ615" s="74"/>
      <c r="CR615" s="74"/>
      <c r="CS615" s="74"/>
      <c r="CT615" s="74"/>
      <c r="CU615" s="74"/>
      <c r="CV615" s="74"/>
      <c r="CW615" s="74"/>
      <c r="CX615" s="74"/>
      <c r="CY615" s="74"/>
      <c r="CZ615" s="74"/>
      <c r="DA615" s="74"/>
      <c r="DB615" s="74"/>
      <c r="DC615" s="74"/>
      <c r="DD615" s="74"/>
      <c r="DE615" s="74"/>
      <c r="DF615" s="74"/>
      <c r="DG615" s="74"/>
      <c r="DH615" s="74"/>
      <c r="DI615" s="74"/>
      <c r="DJ615" s="74"/>
      <c r="DK615" s="74"/>
      <c r="DL615" s="74"/>
      <c r="DM615" s="74"/>
      <c r="DN615" s="74"/>
      <c r="DO615" s="74"/>
      <c r="DP615" s="74"/>
      <c r="DQ615" s="74"/>
      <c r="DR615" s="74"/>
      <c r="DS615" s="74"/>
      <c r="DT615" s="74"/>
      <c r="DU615" s="74"/>
      <c r="DV615" s="74"/>
      <c r="DW615" s="74"/>
      <c r="DX615" s="74"/>
      <c r="DY615" s="74"/>
      <c r="DZ615" s="8">
        <f t="shared" si="164"/>
        <v>0</v>
      </c>
      <c r="EA615" s="3">
        <f t="shared" si="165"/>
        <v>0</v>
      </c>
      <c r="EB615" s="2">
        <f t="shared" si="166"/>
        <v>0</v>
      </c>
      <c r="EC615" s="112">
        <f t="shared" si="175"/>
        <v>0</v>
      </c>
      <c r="ED615" s="29">
        <f t="shared" si="167"/>
        <v>0</v>
      </c>
      <c r="EE615" s="2">
        <f t="shared" si="168"/>
        <v>0</v>
      </c>
      <c r="EF615" s="46">
        <f t="shared" si="169"/>
        <v>0</v>
      </c>
      <c r="EG615" s="46">
        <f t="shared" si="170"/>
        <v>0</v>
      </c>
      <c r="EH615" s="29">
        <f t="shared" si="171"/>
        <v>0</v>
      </c>
      <c r="EI615" s="29">
        <f>IF(COUNT(I615:AD615)&lt;5,DZ615,SUMPRODUCT(LARGE(I615:AD615,{1,2,3,4,5}))/5)</f>
        <v>0</v>
      </c>
      <c r="EJ615" s="29">
        <f>IF(COUNT(I615:BE615)&lt;5,DZ615,SUMPRODUCT(LARGE(I615:BE615,{1,2,3,4,5}))/5)</f>
        <v>0</v>
      </c>
      <c r="EK615" s="29">
        <f t="shared" si="173"/>
        <v>0</v>
      </c>
      <c r="EL615" s="29">
        <f t="shared" si="176"/>
        <v>0</v>
      </c>
      <c r="EM615" s="116">
        <f t="shared" si="172"/>
        <v>0</v>
      </c>
      <c r="EQ615"/>
    </row>
    <row r="616" spans="1:147" x14ac:dyDescent="0.25">
      <c r="A616" s="59"/>
      <c r="B616" s="32"/>
      <c r="C616" s="5"/>
      <c r="D616" s="6"/>
      <c r="E616" s="6"/>
      <c r="F616" s="6"/>
      <c r="G616" s="5"/>
      <c r="H616" s="37"/>
      <c r="I616" s="36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227"/>
      <c r="Z616" s="228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4"/>
      <c r="AP616" s="7"/>
      <c r="AQ616" s="74"/>
      <c r="AR616" s="70"/>
      <c r="AS616" s="7"/>
      <c r="AT616" s="70"/>
      <c r="AU616" s="7"/>
      <c r="AV616" s="70"/>
      <c r="AW616" s="7"/>
      <c r="AX616" s="8"/>
      <c r="AY616" s="36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4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101"/>
      <c r="CL616" s="74"/>
      <c r="CM616" s="74"/>
      <c r="CN616" s="74"/>
      <c r="CO616" s="70"/>
      <c r="CP616" s="74"/>
      <c r="CQ616" s="7"/>
      <c r="CR616" s="74"/>
      <c r="CS616" s="74"/>
      <c r="CT616" s="74"/>
      <c r="CU616" s="74"/>
      <c r="CV616" s="74"/>
      <c r="CW616" s="7"/>
      <c r="CX616" s="7"/>
      <c r="CY616" s="7"/>
      <c r="CZ616" s="7"/>
      <c r="DA616" s="7"/>
      <c r="DB616" s="7"/>
      <c r="DC616" s="7"/>
      <c r="DD616" s="7"/>
      <c r="DE616" s="74"/>
      <c r="DF616" s="74"/>
      <c r="DG616" s="74"/>
      <c r="DH616" s="74"/>
      <c r="DI616" s="74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8">
        <f t="shared" si="164"/>
        <v>0</v>
      </c>
      <c r="EA616" s="3">
        <f t="shared" si="165"/>
        <v>0</v>
      </c>
      <c r="EB616" s="2">
        <f t="shared" si="166"/>
        <v>0</v>
      </c>
      <c r="EC616" s="112">
        <f t="shared" si="175"/>
        <v>0</v>
      </c>
      <c r="ED616" s="29">
        <f t="shared" si="167"/>
        <v>0</v>
      </c>
      <c r="EE616" s="2">
        <f t="shared" si="168"/>
        <v>0</v>
      </c>
      <c r="EF616" s="46">
        <f t="shared" si="169"/>
        <v>0</v>
      </c>
      <c r="EG616" s="46">
        <f t="shared" si="170"/>
        <v>0</v>
      </c>
      <c r="EH616" s="2">
        <f t="shared" si="171"/>
        <v>0</v>
      </c>
      <c r="EI616" s="29">
        <f>IF(COUNT(I616:AD616)&lt;5,DZ616,SUMPRODUCT(LARGE(I616:AD616,{1,2,3,4,5}))/5)</f>
        <v>0</v>
      </c>
      <c r="EJ616" s="29">
        <f>IF(COUNT(I616:BE616)&lt;5,DZ616,SUMPRODUCT(LARGE(I616:BE616,{1,2,3,4,5}))/5)</f>
        <v>0</v>
      </c>
      <c r="EK616" s="29">
        <f t="shared" si="173"/>
        <v>0</v>
      </c>
      <c r="EL616" s="29">
        <f t="shared" si="176"/>
        <v>0</v>
      </c>
      <c r="EM616" s="116">
        <f t="shared" si="172"/>
        <v>0</v>
      </c>
      <c r="EQ616"/>
    </row>
    <row r="617" spans="1:147" x14ac:dyDescent="0.25">
      <c r="A617" s="59"/>
      <c r="B617" s="32"/>
      <c r="C617" s="5"/>
      <c r="D617" s="6"/>
      <c r="E617" s="6"/>
      <c r="F617" s="6"/>
      <c r="G617" s="5"/>
      <c r="H617" s="37"/>
      <c r="I617" s="36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227"/>
      <c r="Z617" s="228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4"/>
      <c r="AP617" s="7"/>
      <c r="AQ617" s="74"/>
      <c r="AR617" s="70"/>
      <c r="AS617" s="7"/>
      <c r="AT617" s="70"/>
      <c r="AU617" s="7"/>
      <c r="AV617" s="70"/>
      <c r="AW617" s="7"/>
      <c r="AX617" s="8"/>
      <c r="AY617" s="36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4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101"/>
      <c r="CL617" s="74"/>
      <c r="CM617" s="74"/>
      <c r="CN617" s="74"/>
      <c r="CO617" s="70"/>
      <c r="CP617" s="74"/>
      <c r="CQ617" s="7"/>
      <c r="CR617" s="74"/>
      <c r="CS617" s="74"/>
      <c r="CT617" s="74"/>
      <c r="CU617" s="74"/>
      <c r="CV617" s="7"/>
      <c r="CW617" s="7"/>
      <c r="CX617" s="7"/>
      <c r="CY617" s="7"/>
      <c r="CZ617" s="7"/>
      <c r="DA617" s="7"/>
      <c r="DB617" s="7"/>
      <c r="DC617" s="7"/>
      <c r="DD617" s="7"/>
      <c r="DE617" s="74"/>
      <c r="DF617" s="74"/>
      <c r="DG617" s="74"/>
      <c r="DH617" s="7"/>
      <c r="DI617" s="74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8">
        <f t="shared" si="164"/>
        <v>0</v>
      </c>
      <c r="EA617" s="3">
        <f t="shared" si="165"/>
        <v>0</v>
      </c>
      <c r="EB617" s="2">
        <f t="shared" si="166"/>
        <v>0</v>
      </c>
      <c r="EC617" s="112">
        <f t="shared" si="175"/>
        <v>0</v>
      </c>
      <c r="ED617" s="29">
        <f t="shared" si="167"/>
        <v>0</v>
      </c>
      <c r="EE617" s="2">
        <f t="shared" si="168"/>
        <v>0</v>
      </c>
      <c r="EF617" s="46">
        <f t="shared" si="169"/>
        <v>0</v>
      </c>
      <c r="EG617" s="46">
        <f t="shared" si="170"/>
        <v>0</v>
      </c>
      <c r="EH617" s="2">
        <f t="shared" si="171"/>
        <v>0</v>
      </c>
      <c r="EI617" s="29">
        <f>IF(COUNT(I617:AD617)&lt;5,DZ617,SUMPRODUCT(LARGE(I617:AD617,{1,2,3,4,5}))/5)</f>
        <v>0</v>
      </c>
      <c r="EJ617" s="29">
        <f>IF(COUNT(I617:BE617)&lt;5,DZ617,SUMPRODUCT(LARGE(I617:BE617,{1,2,3,4,5}))/5)</f>
        <v>0</v>
      </c>
      <c r="EK617" s="29">
        <f t="shared" si="173"/>
        <v>0</v>
      </c>
      <c r="EL617" s="29">
        <f t="shared" si="176"/>
        <v>0</v>
      </c>
      <c r="EM617" s="116">
        <f t="shared" si="172"/>
        <v>0</v>
      </c>
      <c r="EQ617"/>
    </row>
    <row r="618" spans="1:147" x14ac:dyDescent="0.25">
      <c r="A618" s="59"/>
      <c r="B618" s="32"/>
      <c r="C618" s="5"/>
      <c r="D618" s="6"/>
      <c r="E618" s="6"/>
      <c r="F618" s="6"/>
      <c r="G618" s="5"/>
      <c r="H618" s="37"/>
      <c r="I618" s="107"/>
      <c r="J618" s="7"/>
      <c r="K618" s="74"/>
      <c r="L618" s="7"/>
      <c r="M618" s="74"/>
      <c r="N618" s="74"/>
      <c r="O618" s="7"/>
      <c r="P618" s="74"/>
      <c r="Q618" s="7"/>
      <c r="R618" s="74"/>
      <c r="S618" s="74"/>
      <c r="T618" s="7"/>
      <c r="U618" s="7"/>
      <c r="V618" s="74"/>
      <c r="W618" s="7"/>
      <c r="X618" s="74"/>
      <c r="Y618" s="227"/>
      <c r="Z618" s="228"/>
      <c r="AA618" s="74"/>
      <c r="AB618" s="74"/>
      <c r="AC618" s="74"/>
      <c r="AD618" s="74"/>
      <c r="AE618" s="7"/>
      <c r="AF618" s="74"/>
      <c r="AG618" s="74"/>
      <c r="AH618" s="7"/>
      <c r="AI618" s="7"/>
      <c r="AJ618" s="7"/>
      <c r="AK618" s="7"/>
      <c r="AL618" s="7"/>
      <c r="AM618" s="7"/>
      <c r="AN618" s="7"/>
      <c r="AO618" s="74"/>
      <c r="AP618" s="7"/>
      <c r="AQ618" s="74"/>
      <c r="AR618" s="101"/>
      <c r="AS618" s="7"/>
      <c r="AT618" s="101"/>
      <c r="AU618" s="7"/>
      <c r="AV618" s="101"/>
      <c r="AW618" s="7"/>
      <c r="AX618" s="183"/>
      <c r="AY618" s="107"/>
      <c r="AZ618" s="74"/>
      <c r="BA618" s="74"/>
      <c r="BB618" s="74"/>
      <c r="BC618" s="74"/>
      <c r="BD618" s="74"/>
      <c r="BE618" s="74"/>
      <c r="BF618" s="74"/>
      <c r="BG618" s="74"/>
      <c r="BH618" s="74"/>
      <c r="BI618" s="74"/>
      <c r="BJ618" s="74"/>
      <c r="BK618" s="7"/>
      <c r="BL618" s="74"/>
      <c r="BM618" s="7"/>
      <c r="BN618" s="74"/>
      <c r="BO618" s="74"/>
      <c r="BP618" s="74"/>
      <c r="BQ618" s="74"/>
      <c r="BR618" s="74"/>
      <c r="BS618" s="74"/>
      <c r="BT618" s="74"/>
      <c r="BU618" s="74"/>
      <c r="BV618" s="74"/>
      <c r="BW618" s="74"/>
      <c r="BX618" s="74"/>
      <c r="BY618" s="74"/>
      <c r="BZ618" s="74"/>
      <c r="CA618" s="74"/>
      <c r="CB618" s="74"/>
      <c r="CC618" s="74"/>
      <c r="CD618" s="74"/>
      <c r="CE618" s="7"/>
      <c r="CF618" s="74"/>
      <c r="CG618" s="74"/>
      <c r="CH618" s="7"/>
      <c r="CI618" s="74"/>
      <c r="CJ618" s="74"/>
      <c r="CK618" s="101"/>
      <c r="CL618" s="74"/>
      <c r="CM618" s="74"/>
      <c r="CN618" s="74"/>
      <c r="CO618" s="101"/>
      <c r="CP618" s="74"/>
      <c r="CQ618" s="74"/>
      <c r="CR618" s="74"/>
      <c r="CS618" s="74"/>
      <c r="CT618" s="74"/>
      <c r="CU618" s="74"/>
      <c r="CV618" s="74"/>
      <c r="CW618" s="74"/>
      <c r="CX618" s="74"/>
      <c r="CY618" s="74"/>
      <c r="CZ618" s="74"/>
      <c r="DA618" s="74"/>
      <c r="DB618" s="74"/>
      <c r="DC618" s="74"/>
      <c r="DD618" s="74"/>
      <c r="DE618" s="74"/>
      <c r="DF618" s="74"/>
      <c r="DG618" s="74"/>
      <c r="DH618" s="74"/>
      <c r="DI618" s="74"/>
      <c r="DJ618" s="74"/>
      <c r="DK618" s="74"/>
      <c r="DL618" s="74"/>
      <c r="DM618" s="74"/>
      <c r="DN618" s="74"/>
      <c r="DO618" s="74"/>
      <c r="DP618" s="74"/>
      <c r="DQ618" s="74"/>
      <c r="DR618" s="74"/>
      <c r="DS618" s="74"/>
      <c r="DT618" s="74"/>
      <c r="DU618" s="74"/>
      <c r="DV618" s="74"/>
      <c r="DW618" s="74"/>
      <c r="DX618" s="74"/>
      <c r="DY618" s="74"/>
      <c r="DZ618" s="8">
        <f t="shared" si="164"/>
        <v>0</v>
      </c>
      <c r="EA618" s="3">
        <f t="shared" si="165"/>
        <v>0</v>
      </c>
      <c r="EB618" s="2">
        <f t="shared" si="166"/>
        <v>0</v>
      </c>
      <c r="EC618" s="112">
        <f t="shared" si="175"/>
        <v>0</v>
      </c>
      <c r="ED618" s="29">
        <f t="shared" si="167"/>
        <v>0</v>
      </c>
      <c r="EE618" s="2">
        <f t="shared" si="168"/>
        <v>0</v>
      </c>
      <c r="EF618" s="46">
        <f t="shared" si="169"/>
        <v>0</v>
      </c>
      <c r="EG618" s="46">
        <f t="shared" si="170"/>
        <v>0</v>
      </c>
      <c r="EH618" s="2">
        <f t="shared" si="171"/>
        <v>0</v>
      </c>
      <c r="EI618" s="29">
        <f>IF(COUNT(I618:AD618)&lt;5,DZ618,SUMPRODUCT(LARGE(I618:AD618,{1,2,3,4,5}))/5)</f>
        <v>0</v>
      </c>
      <c r="EJ618" s="29">
        <f>IF(COUNT(I618:BE618)&lt;5,DZ618,SUMPRODUCT(LARGE(I618:BE618,{1,2,3,4,5}))/5)</f>
        <v>0</v>
      </c>
      <c r="EK618" s="29">
        <f t="shared" si="173"/>
        <v>0</v>
      </c>
      <c r="EL618" s="29">
        <f t="shared" si="176"/>
        <v>0</v>
      </c>
      <c r="EM618" s="116">
        <f t="shared" si="172"/>
        <v>0</v>
      </c>
      <c r="EQ618"/>
    </row>
    <row r="619" spans="1:147" x14ac:dyDescent="0.25">
      <c r="A619" s="59"/>
      <c r="B619" s="32"/>
      <c r="C619" s="5"/>
      <c r="D619" s="6"/>
      <c r="E619" s="6"/>
      <c r="F619" s="6"/>
      <c r="G619" s="5"/>
      <c r="H619" s="99"/>
      <c r="I619" s="36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227"/>
      <c r="Z619" s="228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4"/>
      <c r="AP619" s="7"/>
      <c r="AQ619" s="74"/>
      <c r="AR619" s="70"/>
      <c r="AS619" s="7"/>
      <c r="AT619" s="70"/>
      <c r="AU619" s="7"/>
      <c r="AV619" s="70"/>
      <c r="AW619" s="7"/>
      <c r="AX619" s="8"/>
      <c r="AY619" s="36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4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4"/>
      <c r="CI619" s="7"/>
      <c r="CJ619" s="7"/>
      <c r="CK619" s="101"/>
      <c r="CL619" s="74"/>
      <c r="CM619" s="74"/>
      <c r="CN619" s="74"/>
      <c r="CO619" s="70"/>
      <c r="CP619" s="74"/>
      <c r="CQ619" s="7"/>
      <c r="CR619" s="74"/>
      <c r="CS619" s="74"/>
      <c r="CT619" s="74"/>
      <c r="CU619" s="74"/>
      <c r="CV619" s="7"/>
      <c r="CW619" s="7"/>
      <c r="CX619" s="7"/>
      <c r="CY619" s="7"/>
      <c r="CZ619" s="7"/>
      <c r="DA619" s="7"/>
      <c r="DB619" s="7"/>
      <c r="DC619" s="7"/>
      <c r="DD619" s="7"/>
      <c r="DE619" s="74"/>
      <c r="DF619" s="74"/>
      <c r="DG619" s="74"/>
      <c r="DH619" s="7"/>
      <c r="DI619" s="74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8">
        <f t="shared" si="164"/>
        <v>0</v>
      </c>
      <c r="EA619" s="3">
        <f t="shared" si="165"/>
        <v>0</v>
      </c>
      <c r="EB619" s="2">
        <f t="shared" si="166"/>
        <v>0</v>
      </c>
      <c r="EC619" s="112">
        <f t="shared" si="175"/>
        <v>0</v>
      </c>
      <c r="ED619" s="29">
        <f t="shared" si="167"/>
        <v>0</v>
      </c>
      <c r="EE619" s="2">
        <f t="shared" si="168"/>
        <v>0</v>
      </c>
      <c r="EF619" s="46">
        <f t="shared" si="169"/>
        <v>0</v>
      </c>
      <c r="EG619" s="46">
        <f t="shared" si="170"/>
        <v>0</v>
      </c>
      <c r="EH619" s="2">
        <f t="shared" si="171"/>
        <v>0</v>
      </c>
      <c r="EI619" s="29">
        <f>IF(COUNT(I619:AD619)&lt;5,DZ619,SUMPRODUCT(LARGE(I619:AD619,{1,2,3,4,5}))/5)</f>
        <v>0</v>
      </c>
      <c r="EJ619" s="29">
        <f>IF(COUNT(I619:BE619)&lt;5,DZ619,SUMPRODUCT(LARGE(I619:BE619,{1,2,3,4,5}))/5)</f>
        <v>0</v>
      </c>
      <c r="EK619" s="29">
        <f t="shared" si="173"/>
        <v>0</v>
      </c>
      <c r="EL619" s="29">
        <f>(EK619*100)/101.59</f>
        <v>0</v>
      </c>
      <c r="EM619" s="116">
        <f t="shared" si="172"/>
        <v>0</v>
      </c>
      <c r="EQ619"/>
    </row>
    <row r="620" spans="1:147" x14ac:dyDescent="0.25">
      <c r="A620" s="59"/>
      <c r="B620" s="32"/>
      <c r="C620" s="5"/>
      <c r="D620" s="6"/>
      <c r="E620" s="6"/>
      <c r="F620" s="6"/>
      <c r="G620" s="5"/>
      <c r="H620" s="37"/>
      <c r="I620" s="107"/>
      <c r="J620" s="7"/>
      <c r="K620" s="74"/>
      <c r="L620" s="7"/>
      <c r="M620" s="74"/>
      <c r="N620" s="74"/>
      <c r="O620" s="7"/>
      <c r="P620" s="74"/>
      <c r="Q620" s="7"/>
      <c r="R620" s="74"/>
      <c r="S620" s="74"/>
      <c r="T620" s="7"/>
      <c r="U620" s="7"/>
      <c r="V620" s="74"/>
      <c r="W620" s="74"/>
      <c r="X620" s="74"/>
      <c r="Y620" s="227"/>
      <c r="Z620" s="228"/>
      <c r="AA620" s="74"/>
      <c r="AB620" s="74"/>
      <c r="AC620" s="74"/>
      <c r="AD620" s="74"/>
      <c r="AE620" s="7"/>
      <c r="AF620" s="74"/>
      <c r="AG620" s="74"/>
      <c r="AH620" s="7"/>
      <c r="AI620" s="7"/>
      <c r="AJ620" s="7"/>
      <c r="AK620" s="7"/>
      <c r="AL620" s="7"/>
      <c r="AM620" s="7"/>
      <c r="AN620" s="7"/>
      <c r="AO620" s="74"/>
      <c r="AP620" s="7"/>
      <c r="AQ620" s="74"/>
      <c r="AR620" s="101"/>
      <c r="AS620" s="7"/>
      <c r="AT620" s="101"/>
      <c r="AU620" s="7"/>
      <c r="AV620" s="101"/>
      <c r="AW620" s="7"/>
      <c r="AX620" s="8"/>
      <c r="AY620" s="36"/>
      <c r="AZ620" s="74"/>
      <c r="BA620" s="74"/>
      <c r="BB620" s="74"/>
      <c r="BC620" s="74"/>
      <c r="BD620" s="74"/>
      <c r="BE620" s="74"/>
      <c r="BF620" s="74"/>
      <c r="BG620" s="74"/>
      <c r="BH620" s="74"/>
      <c r="BI620" s="74"/>
      <c r="BJ620" s="74"/>
      <c r="BK620" s="7"/>
      <c r="BL620" s="74"/>
      <c r="BM620" s="7"/>
      <c r="BN620" s="74"/>
      <c r="BO620" s="74"/>
      <c r="BP620" s="74"/>
      <c r="BQ620" s="74"/>
      <c r="BR620" s="74"/>
      <c r="BS620" s="74"/>
      <c r="BT620" s="74"/>
      <c r="BU620" s="74"/>
      <c r="BV620" s="74"/>
      <c r="BW620" s="74"/>
      <c r="BX620" s="74"/>
      <c r="BY620" s="74"/>
      <c r="BZ620" s="74"/>
      <c r="CA620" s="74"/>
      <c r="CB620" s="74"/>
      <c r="CC620" s="74"/>
      <c r="CD620" s="74"/>
      <c r="CE620" s="7"/>
      <c r="CF620" s="74"/>
      <c r="CG620" s="74"/>
      <c r="CH620" s="7"/>
      <c r="CI620" s="74"/>
      <c r="CJ620" s="74"/>
      <c r="CK620" s="101"/>
      <c r="CL620" s="74"/>
      <c r="CM620" s="74"/>
      <c r="CN620" s="74"/>
      <c r="CO620" s="101"/>
      <c r="CP620" s="74"/>
      <c r="CQ620" s="74"/>
      <c r="CR620" s="74"/>
      <c r="CS620" s="74"/>
      <c r="CT620" s="74"/>
      <c r="CU620" s="74"/>
      <c r="CV620" s="74"/>
      <c r="CW620" s="74"/>
      <c r="CX620" s="74"/>
      <c r="CY620" s="74"/>
      <c r="CZ620" s="74"/>
      <c r="DA620" s="74"/>
      <c r="DB620" s="74"/>
      <c r="DC620" s="74"/>
      <c r="DD620" s="74"/>
      <c r="DE620" s="74"/>
      <c r="DF620" s="74"/>
      <c r="DG620" s="74"/>
      <c r="DH620" s="74"/>
      <c r="DI620" s="74"/>
      <c r="DJ620" s="74"/>
      <c r="DK620" s="74"/>
      <c r="DL620" s="74"/>
      <c r="DM620" s="74"/>
      <c r="DN620" s="74"/>
      <c r="DO620" s="74"/>
      <c r="DP620" s="74"/>
      <c r="DQ620" s="74"/>
      <c r="DR620" s="74"/>
      <c r="DS620" s="74"/>
      <c r="DT620" s="74"/>
      <c r="DU620" s="74"/>
      <c r="DV620" s="74"/>
      <c r="DW620" s="74"/>
      <c r="DX620" s="74"/>
      <c r="DY620" s="74"/>
      <c r="DZ620" s="8">
        <f t="shared" si="164"/>
        <v>0</v>
      </c>
      <c r="EA620" s="3">
        <f t="shared" si="165"/>
        <v>0</v>
      </c>
      <c r="EB620" s="2">
        <f t="shared" si="166"/>
        <v>0</v>
      </c>
      <c r="EC620" s="112">
        <f t="shared" si="175"/>
        <v>0</v>
      </c>
      <c r="ED620" s="29">
        <f t="shared" si="167"/>
        <v>0</v>
      </c>
      <c r="EE620" s="2">
        <f t="shared" si="168"/>
        <v>0</v>
      </c>
      <c r="EF620" s="46">
        <f t="shared" si="169"/>
        <v>0</v>
      </c>
      <c r="EG620" s="46">
        <f t="shared" si="170"/>
        <v>0</v>
      </c>
      <c r="EH620" s="2">
        <f t="shared" si="171"/>
        <v>0</v>
      </c>
      <c r="EI620" s="29">
        <f>IF(COUNT(I620:AD620)&lt;5,DZ620,SUMPRODUCT(LARGE(I620:AD620,{1,2,3,4,5}))/5)</f>
        <v>0</v>
      </c>
      <c r="EJ620" s="29">
        <f>IF(COUNT(I620:BE620)&lt;5,DZ620,SUMPRODUCT(LARGE(I620:BE620,{1,2,3,4,5}))/5)</f>
        <v>0</v>
      </c>
      <c r="EK620" s="29">
        <f t="shared" si="173"/>
        <v>0</v>
      </c>
      <c r="EL620" s="29">
        <f t="shared" ref="EL620:EL626" si="177">(EK620*100)/101.28</f>
        <v>0</v>
      </c>
      <c r="EM620" s="116">
        <f t="shared" si="172"/>
        <v>0</v>
      </c>
      <c r="EQ620"/>
    </row>
    <row r="621" spans="1:147" x14ac:dyDescent="0.25">
      <c r="A621" s="59"/>
      <c r="B621" s="4"/>
      <c r="C621" s="5"/>
      <c r="D621" s="5"/>
      <c r="E621" s="6"/>
      <c r="F621" s="6"/>
      <c r="G621" s="5"/>
      <c r="H621" s="99"/>
      <c r="I621" s="36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227"/>
      <c r="Z621" s="228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4"/>
      <c r="AP621" s="7"/>
      <c r="AQ621" s="74"/>
      <c r="AR621" s="70"/>
      <c r="AS621" s="7"/>
      <c r="AT621" s="70"/>
      <c r="AU621" s="7"/>
      <c r="AV621" s="70"/>
      <c r="AW621" s="7"/>
      <c r="AX621" s="183"/>
      <c r="AY621" s="10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101"/>
      <c r="CL621" s="74"/>
      <c r="CM621" s="74"/>
      <c r="CN621" s="74"/>
      <c r="CO621" s="70"/>
      <c r="CP621" s="74"/>
      <c r="CQ621" s="7"/>
      <c r="CR621" s="74"/>
      <c r="CS621" s="74"/>
      <c r="CT621" s="74"/>
      <c r="CU621" s="74"/>
      <c r="CV621" s="74"/>
      <c r="CW621" s="7"/>
      <c r="CX621" s="7"/>
      <c r="CY621" s="7"/>
      <c r="CZ621" s="7"/>
      <c r="DA621" s="7"/>
      <c r="DB621" s="7"/>
      <c r="DC621" s="7"/>
      <c r="DD621" s="7"/>
      <c r="DE621" s="74"/>
      <c r="DF621" s="74"/>
      <c r="DG621" s="74"/>
      <c r="DH621" s="74"/>
      <c r="DI621" s="74"/>
      <c r="DJ621" s="7"/>
      <c r="DK621" s="7"/>
      <c r="DL621" s="7"/>
      <c r="DM621" s="7"/>
      <c r="DN621" s="74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8">
        <f t="shared" si="164"/>
        <v>0</v>
      </c>
      <c r="EA621" s="3">
        <f t="shared" si="165"/>
        <v>0</v>
      </c>
      <c r="EB621" s="2">
        <f t="shared" si="166"/>
        <v>0</v>
      </c>
      <c r="EC621" s="112">
        <f t="shared" si="175"/>
        <v>0</v>
      </c>
      <c r="ED621" s="29">
        <f t="shared" si="167"/>
        <v>0</v>
      </c>
      <c r="EE621" s="2">
        <f t="shared" si="168"/>
        <v>0</v>
      </c>
      <c r="EF621" s="46">
        <f t="shared" si="169"/>
        <v>0</v>
      </c>
      <c r="EG621" s="46">
        <f t="shared" si="170"/>
        <v>0</v>
      </c>
      <c r="EH621" s="2">
        <f t="shared" si="171"/>
        <v>0</v>
      </c>
      <c r="EI621" s="29">
        <f>IF(COUNT(I621:AD621)&lt;5,DZ621,SUMPRODUCT(LARGE(I621:AD621,{1,2,3,4,5}))/5)</f>
        <v>0</v>
      </c>
      <c r="EJ621" s="29">
        <f>IF(COUNT(I621:BE621)&lt;5,DZ621,SUMPRODUCT(LARGE(I621:BE621,{1,2,3,4,5}))/5)</f>
        <v>0</v>
      </c>
      <c r="EK621" s="29">
        <f t="shared" si="173"/>
        <v>0</v>
      </c>
      <c r="EL621" s="29">
        <f t="shared" si="177"/>
        <v>0</v>
      </c>
      <c r="EM621" s="116">
        <f t="shared" si="172"/>
        <v>0</v>
      </c>
      <c r="EQ621"/>
    </row>
    <row r="622" spans="1:147" x14ac:dyDescent="0.25">
      <c r="A622" s="59"/>
      <c r="B622" s="32"/>
      <c r="C622" s="5"/>
      <c r="D622" s="6"/>
      <c r="E622" s="6"/>
      <c r="F622" s="6"/>
      <c r="G622" s="5"/>
      <c r="H622" s="37"/>
      <c r="I622" s="107"/>
      <c r="J622" s="7"/>
      <c r="K622" s="74"/>
      <c r="L622" s="7"/>
      <c r="M622" s="74"/>
      <c r="N622" s="74"/>
      <c r="O622" s="7"/>
      <c r="P622" s="74"/>
      <c r="Q622" s="7"/>
      <c r="R622" s="74"/>
      <c r="S622" s="74"/>
      <c r="T622" s="7"/>
      <c r="U622" s="7"/>
      <c r="V622" s="74"/>
      <c r="W622" s="7"/>
      <c r="X622" s="74"/>
      <c r="Y622" s="227"/>
      <c r="Z622" s="228"/>
      <c r="AA622" s="74"/>
      <c r="AB622" s="74"/>
      <c r="AC622" s="74"/>
      <c r="AD622" s="74"/>
      <c r="AE622" s="7"/>
      <c r="AF622" s="74"/>
      <c r="AG622" s="74"/>
      <c r="AH622" s="7"/>
      <c r="AI622" s="7"/>
      <c r="AJ622" s="7"/>
      <c r="AK622" s="7"/>
      <c r="AL622" s="7"/>
      <c r="AM622" s="7"/>
      <c r="AN622" s="7"/>
      <c r="AO622" s="74"/>
      <c r="AP622" s="7"/>
      <c r="AQ622" s="7"/>
      <c r="AR622" s="101"/>
      <c r="AS622" s="7"/>
      <c r="AT622" s="101"/>
      <c r="AU622" s="7"/>
      <c r="AV622" s="101"/>
      <c r="AW622" s="7"/>
      <c r="AX622" s="8"/>
      <c r="AY622" s="36"/>
      <c r="AZ622" s="74"/>
      <c r="BA622" s="74"/>
      <c r="BB622" s="74"/>
      <c r="BC622" s="74"/>
      <c r="BD622" s="74"/>
      <c r="BE622" s="74"/>
      <c r="BF622" s="74"/>
      <c r="BG622" s="74"/>
      <c r="BH622" s="74"/>
      <c r="BI622" s="74"/>
      <c r="BJ622" s="74"/>
      <c r="BK622" s="7"/>
      <c r="BL622" s="74"/>
      <c r="BM622" s="7"/>
      <c r="BN622" s="74"/>
      <c r="BO622" s="74"/>
      <c r="BP622" s="74"/>
      <c r="BQ622" s="74"/>
      <c r="BR622" s="74"/>
      <c r="BS622" s="74"/>
      <c r="BT622" s="74"/>
      <c r="BU622" s="74"/>
      <c r="BV622" s="74"/>
      <c r="BW622" s="74"/>
      <c r="BX622" s="74"/>
      <c r="BY622" s="74"/>
      <c r="BZ622" s="74"/>
      <c r="CA622" s="74"/>
      <c r="CB622" s="74"/>
      <c r="CC622" s="74"/>
      <c r="CD622" s="74"/>
      <c r="CE622" s="7"/>
      <c r="CF622" s="7"/>
      <c r="CG622" s="74"/>
      <c r="CH622" s="7"/>
      <c r="CI622" s="74"/>
      <c r="CJ622" s="74"/>
      <c r="CK622" s="101"/>
      <c r="CL622" s="74"/>
      <c r="CM622" s="74"/>
      <c r="CN622" s="74"/>
      <c r="CO622" s="101"/>
      <c r="CP622" s="74"/>
      <c r="CQ622" s="74"/>
      <c r="CR622" s="74"/>
      <c r="CS622" s="74"/>
      <c r="CT622" s="74"/>
      <c r="CU622" s="74"/>
      <c r="CV622" s="74"/>
      <c r="CW622" s="74"/>
      <c r="CX622" s="74"/>
      <c r="CY622" s="74"/>
      <c r="CZ622" s="74"/>
      <c r="DA622" s="74"/>
      <c r="DB622" s="74"/>
      <c r="DC622" s="74"/>
      <c r="DD622" s="74"/>
      <c r="DE622" s="74"/>
      <c r="DF622" s="74"/>
      <c r="DG622" s="74"/>
      <c r="DH622" s="74"/>
      <c r="DI622" s="74"/>
      <c r="DJ622" s="74"/>
      <c r="DK622" s="74"/>
      <c r="DL622" s="74"/>
      <c r="DM622" s="74"/>
      <c r="DN622" s="74"/>
      <c r="DO622" s="74"/>
      <c r="DP622" s="74"/>
      <c r="DQ622" s="74"/>
      <c r="DR622" s="74"/>
      <c r="DS622" s="74"/>
      <c r="DT622" s="74"/>
      <c r="DU622" s="74"/>
      <c r="DV622" s="74"/>
      <c r="DW622" s="74"/>
      <c r="DX622" s="74"/>
      <c r="DY622" s="74"/>
      <c r="DZ622" s="8">
        <f t="shared" si="164"/>
        <v>0</v>
      </c>
      <c r="EA622" s="3">
        <f t="shared" si="165"/>
        <v>0</v>
      </c>
      <c r="EB622" s="2">
        <f t="shared" si="166"/>
        <v>0</v>
      </c>
      <c r="EC622" s="112">
        <f t="shared" si="175"/>
        <v>0</v>
      </c>
      <c r="ED622" s="29">
        <f t="shared" si="167"/>
        <v>0</v>
      </c>
      <c r="EE622" s="2">
        <f t="shared" si="168"/>
        <v>0</v>
      </c>
      <c r="EF622" s="46">
        <f t="shared" si="169"/>
        <v>0</v>
      </c>
      <c r="EG622" s="46">
        <f t="shared" si="170"/>
        <v>0</v>
      </c>
      <c r="EH622" s="29">
        <f t="shared" si="171"/>
        <v>0</v>
      </c>
      <c r="EI622" s="29">
        <f>IF(COUNT(I622:AD622)&lt;5,DZ622,SUMPRODUCT(LARGE(I622:AD622,{1,2,3,4,5}))/5)</f>
        <v>0</v>
      </c>
      <c r="EJ622" s="29">
        <f>IF(COUNT(I622:BE622)&lt;5,DZ622,SUMPRODUCT(LARGE(I622:BE622,{1,2,3,4,5}))/5)</f>
        <v>0</v>
      </c>
      <c r="EK622" s="29">
        <f t="shared" si="173"/>
        <v>0</v>
      </c>
      <c r="EL622" s="29">
        <f t="shared" si="177"/>
        <v>0</v>
      </c>
      <c r="EM622" s="116">
        <f t="shared" si="172"/>
        <v>0</v>
      </c>
      <c r="EQ622"/>
    </row>
    <row r="623" spans="1:147" x14ac:dyDescent="0.25">
      <c r="A623" s="59"/>
      <c r="B623" s="32"/>
      <c r="C623" s="5"/>
      <c r="D623" s="6"/>
      <c r="E623" s="6"/>
      <c r="F623" s="6"/>
      <c r="G623" s="5"/>
      <c r="H623" s="37"/>
      <c r="I623" s="107"/>
      <c r="J623" s="7"/>
      <c r="K623" s="74"/>
      <c r="L623" s="7"/>
      <c r="M623" s="74"/>
      <c r="N623" s="74"/>
      <c r="O623" s="7"/>
      <c r="P623" s="74"/>
      <c r="Q623" s="7"/>
      <c r="R623" s="74"/>
      <c r="S623" s="74"/>
      <c r="T623" s="7"/>
      <c r="U623" s="7"/>
      <c r="V623" s="74"/>
      <c r="W623" s="7"/>
      <c r="X623" s="74"/>
      <c r="Y623" s="227"/>
      <c r="Z623" s="228"/>
      <c r="AA623" s="74"/>
      <c r="AB623" s="74"/>
      <c r="AC623" s="74"/>
      <c r="AD623" s="7"/>
      <c r="AE623" s="7"/>
      <c r="AF623" s="74"/>
      <c r="AG623" s="74"/>
      <c r="AH623" s="7"/>
      <c r="AI623" s="7"/>
      <c r="AJ623" s="7"/>
      <c r="AK623" s="7"/>
      <c r="AL623" s="7"/>
      <c r="AM623" s="7"/>
      <c r="AN623" s="7"/>
      <c r="AO623" s="74"/>
      <c r="AP623" s="7"/>
      <c r="AQ623" s="7"/>
      <c r="AR623" s="101"/>
      <c r="AS623" s="7"/>
      <c r="AT623" s="101"/>
      <c r="AU623" s="7"/>
      <c r="AV623" s="101"/>
      <c r="AW623" s="7"/>
      <c r="AX623" s="183"/>
      <c r="AY623" s="107"/>
      <c r="AZ623" s="74"/>
      <c r="BA623" s="74"/>
      <c r="BB623" s="74"/>
      <c r="BC623" s="74"/>
      <c r="BD623" s="74"/>
      <c r="BE623" s="74"/>
      <c r="BF623" s="74"/>
      <c r="BG623" s="74"/>
      <c r="BH623" s="74"/>
      <c r="BI623" s="74"/>
      <c r="BJ623" s="74"/>
      <c r="BK623" s="7"/>
      <c r="BL623" s="74"/>
      <c r="BM623" s="7"/>
      <c r="BN623" s="74"/>
      <c r="BO623" s="74"/>
      <c r="BP623" s="74"/>
      <c r="BQ623" s="74"/>
      <c r="BR623" s="74"/>
      <c r="BS623" s="74"/>
      <c r="BT623" s="74"/>
      <c r="BU623" s="74"/>
      <c r="BV623" s="74"/>
      <c r="BW623" s="74"/>
      <c r="BX623" s="74"/>
      <c r="BY623" s="74"/>
      <c r="BZ623" s="74"/>
      <c r="CA623" s="74"/>
      <c r="CB623" s="74"/>
      <c r="CC623" s="74"/>
      <c r="CD623" s="74"/>
      <c r="CE623" s="7"/>
      <c r="CF623" s="74"/>
      <c r="CG623" s="74"/>
      <c r="CH623" s="7"/>
      <c r="CI623" s="74"/>
      <c r="CJ623" s="74"/>
      <c r="CK623" s="101"/>
      <c r="CL623" s="74"/>
      <c r="CM623" s="74"/>
      <c r="CN623" s="74"/>
      <c r="CO623" s="101"/>
      <c r="CP623" s="74"/>
      <c r="CQ623" s="74"/>
      <c r="CR623" s="74"/>
      <c r="CS623" s="74"/>
      <c r="CT623" s="74"/>
      <c r="CU623" s="74"/>
      <c r="CV623" s="74"/>
      <c r="CW623" s="74"/>
      <c r="CX623" s="74"/>
      <c r="CY623" s="74"/>
      <c r="CZ623" s="74"/>
      <c r="DA623" s="74"/>
      <c r="DB623" s="74"/>
      <c r="DC623" s="74"/>
      <c r="DD623" s="74"/>
      <c r="DE623" s="74"/>
      <c r="DF623" s="74"/>
      <c r="DG623" s="74"/>
      <c r="DH623" s="74"/>
      <c r="DI623" s="74"/>
      <c r="DJ623" s="74"/>
      <c r="DK623" s="74"/>
      <c r="DL623" s="74"/>
      <c r="DM623" s="74"/>
      <c r="DN623" s="74"/>
      <c r="DO623" s="74"/>
      <c r="DP623" s="74"/>
      <c r="DQ623" s="74"/>
      <c r="DR623" s="74"/>
      <c r="DS623" s="74"/>
      <c r="DT623" s="74"/>
      <c r="DU623" s="74"/>
      <c r="DV623" s="74"/>
      <c r="DW623" s="74"/>
      <c r="DX623" s="74"/>
      <c r="DY623" s="74"/>
      <c r="DZ623" s="8">
        <f t="shared" si="164"/>
        <v>0</v>
      </c>
      <c r="EA623" s="3">
        <f t="shared" si="165"/>
        <v>0</v>
      </c>
      <c r="EB623" s="2">
        <f t="shared" si="166"/>
        <v>0</v>
      </c>
      <c r="EC623" s="112">
        <f t="shared" si="175"/>
        <v>0</v>
      </c>
      <c r="ED623" s="29">
        <f t="shared" si="167"/>
        <v>0</v>
      </c>
      <c r="EE623" s="2">
        <f t="shared" si="168"/>
        <v>0</v>
      </c>
      <c r="EF623" s="46">
        <f t="shared" si="169"/>
        <v>0</v>
      </c>
      <c r="EG623" s="46">
        <f t="shared" si="170"/>
        <v>0</v>
      </c>
      <c r="EH623" s="2">
        <f t="shared" si="171"/>
        <v>0</v>
      </c>
      <c r="EI623" s="29">
        <f>IF(COUNT(I623:AD623)&lt;5,DZ623,SUMPRODUCT(LARGE(I623:AD623,{1,2,3,4,5}))/5)</f>
        <v>0</v>
      </c>
      <c r="EJ623" s="29">
        <f>IF(COUNT(I623:BE623)&lt;5,DZ623,SUMPRODUCT(LARGE(I623:BE623,{1,2,3,4,5}))/5)</f>
        <v>0</v>
      </c>
      <c r="EK623" s="29">
        <f t="shared" si="173"/>
        <v>0</v>
      </c>
      <c r="EL623" s="29">
        <f t="shared" si="177"/>
        <v>0</v>
      </c>
      <c r="EM623" s="116">
        <f t="shared" si="172"/>
        <v>0</v>
      </c>
      <c r="EQ623"/>
    </row>
    <row r="624" spans="1:147" x14ac:dyDescent="0.25">
      <c r="A624" s="59"/>
      <c r="B624" s="32"/>
      <c r="C624" s="5"/>
      <c r="D624" s="6"/>
      <c r="E624" s="6"/>
      <c r="F624" s="6"/>
      <c r="G624" s="5"/>
      <c r="H624" s="37"/>
      <c r="I624" s="36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227"/>
      <c r="Z624" s="228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4"/>
      <c r="AP624" s="7"/>
      <c r="AQ624" s="74"/>
      <c r="AR624" s="70"/>
      <c r="AS624" s="7"/>
      <c r="AT624" s="70"/>
      <c r="AU624" s="7"/>
      <c r="AV624" s="70"/>
      <c r="AW624" s="7"/>
      <c r="AX624" s="8"/>
      <c r="AY624" s="36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4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101"/>
      <c r="CL624" s="74"/>
      <c r="CM624" s="74"/>
      <c r="CN624" s="74"/>
      <c r="CO624" s="70"/>
      <c r="CP624" s="74"/>
      <c r="CQ624" s="7"/>
      <c r="CR624" s="74"/>
      <c r="CS624" s="74"/>
      <c r="CT624" s="74"/>
      <c r="CU624" s="74"/>
      <c r="CV624" s="7"/>
      <c r="CW624" s="7"/>
      <c r="CX624" s="7"/>
      <c r="CY624" s="7"/>
      <c r="CZ624" s="7"/>
      <c r="DA624" s="7"/>
      <c r="DB624" s="7"/>
      <c r="DC624" s="7"/>
      <c r="DD624" s="7"/>
      <c r="DE624" s="74"/>
      <c r="DF624" s="74"/>
      <c r="DG624" s="74"/>
      <c r="DH624" s="7"/>
      <c r="DI624" s="74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8">
        <f t="shared" si="164"/>
        <v>0</v>
      </c>
      <c r="EA624" s="3">
        <f t="shared" si="165"/>
        <v>0</v>
      </c>
      <c r="EB624" s="2">
        <f t="shared" si="166"/>
        <v>0</v>
      </c>
      <c r="EC624" s="112">
        <f t="shared" si="175"/>
        <v>0</v>
      </c>
      <c r="ED624" s="29">
        <f t="shared" si="167"/>
        <v>0</v>
      </c>
      <c r="EE624" s="2">
        <f t="shared" si="168"/>
        <v>0</v>
      </c>
      <c r="EF624" s="46">
        <f t="shared" si="169"/>
        <v>0</v>
      </c>
      <c r="EG624" s="46">
        <f t="shared" si="170"/>
        <v>0</v>
      </c>
      <c r="EH624" s="2">
        <f t="shared" si="171"/>
        <v>0</v>
      </c>
      <c r="EI624" s="29">
        <f>IF(COUNT(I624:AD624)&lt;5,DZ624,SUMPRODUCT(LARGE(I624:AD624,{1,2,3,4,5}))/5)</f>
        <v>0</v>
      </c>
      <c r="EJ624" s="29">
        <f>IF(COUNT(I624:BE624)&lt;5,DZ624,SUMPRODUCT(LARGE(I624:BE624,{1,2,3,4,5}))/5)</f>
        <v>0</v>
      </c>
      <c r="EK624" s="29">
        <f t="shared" si="173"/>
        <v>0</v>
      </c>
      <c r="EL624" s="29">
        <f t="shared" si="177"/>
        <v>0</v>
      </c>
      <c r="EM624" s="116">
        <f t="shared" si="172"/>
        <v>0</v>
      </c>
      <c r="EQ624"/>
    </row>
    <row r="625" spans="1:147" x14ac:dyDescent="0.25">
      <c r="A625" s="59"/>
      <c r="B625" s="32"/>
      <c r="C625" s="5"/>
      <c r="D625" s="6"/>
      <c r="E625" s="6"/>
      <c r="F625" s="6"/>
      <c r="G625" s="5"/>
      <c r="H625" s="37"/>
      <c r="I625" s="36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227"/>
      <c r="Z625" s="228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4"/>
      <c r="AP625" s="7"/>
      <c r="AQ625" s="74"/>
      <c r="AR625" s="70"/>
      <c r="AS625" s="7"/>
      <c r="AT625" s="70"/>
      <c r="AU625" s="7"/>
      <c r="AV625" s="70"/>
      <c r="AW625" s="7"/>
      <c r="AX625" s="183"/>
      <c r="AY625" s="10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4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0"/>
      <c r="CK625" s="101"/>
      <c r="CL625" s="74"/>
      <c r="CM625" s="74"/>
      <c r="CN625" s="74"/>
      <c r="CO625" s="70"/>
      <c r="CP625" s="74"/>
      <c r="CQ625" s="7"/>
      <c r="CR625" s="74"/>
      <c r="CS625" s="74"/>
      <c r="CT625" s="74"/>
      <c r="CU625" s="74"/>
      <c r="CV625" s="7"/>
      <c r="CW625" s="7"/>
      <c r="CX625" s="7"/>
      <c r="CY625" s="7"/>
      <c r="CZ625" s="7"/>
      <c r="DA625" s="7"/>
      <c r="DB625" s="7"/>
      <c r="DC625" s="7"/>
      <c r="DD625" s="7"/>
      <c r="DE625" s="74"/>
      <c r="DF625" s="74"/>
      <c r="DG625" s="74"/>
      <c r="DH625" s="7"/>
      <c r="DI625" s="74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8">
        <f t="shared" si="164"/>
        <v>0</v>
      </c>
      <c r="EA625" s="3">
        <f t="shared" si="165"/>
        <v>0</v>
      </c>
      <c r="EB625" s="2">
        <f t="shared" si="166"/>
        <v>0</v>
      </c>
      <c r="EC625" s="112">
        <f t="shared" si="175"/>
        <v>0</v>
      </c>
      <c r="ED625" s="29">
        <f t="shared" si="167"/>
        <v>0</v>
      </c>
      <c r="EE625" s="2">
        <f t="shared" si="168"/>
        <v>0</v>
      </c>
      <c r="EF625" s="46">
        <f t="shared" si="169"/>
        <v>0</v>
      </c>
      <c r="EG625" s="46">
        <f t="shared" si="170"/>
        <v>0</v>
      </c>
      <c r="EH625" s="2">
        <f t="shared" si="171"/>
        <v>0</v>
      </c>
      <c r="EI625" s="29">
        <f>IF(COUNT(I625:AD625)&lt;5,DZ625,SUMPRODUCT(LARGE(I625:AD625,{1,2,3,4,5}))/5)</f>
        <v>0</v>
      </c>
      <c r="EJ625" s="29">
        <f>IF(COUNT(I625:BE625)&lt;5,DZ625,SUMPRODUCT(LARGE(I625:BE625,{1,2,3,4,5}))/5)</f>
        <v>0</v>
      </c>
      <c r="EK625" s="29">
        <f t="shared" si="173"/>
        <v>0</v>
      </c>
      <c r="EL625" s="29">
        <f t="shared" si="177"/>
        <v>0</v>
      </c>
      <c r="EM625" s="116">
        <f t="shared" si="172"/>
        <v>0</v>
      </c>
      <c r="EQ625"/>
    </row>
    <row r="626" spans="1:147" x14ac:dyDescent="0.25">
      <c r="A626" s="59"/>
      <c r="B626" s="32"/>
      <c r="C626" s="5"/>
      <c r="D626" s="6"/>
      <c r="E626" s="6"/>
      <c r="F626" s="6"/>
      <c r="G626" s="5"/>
      <c r="H626" s="37"/>
      <c r="I626" s="107"/>
      <c r="J626" s="7"/>
      <c r="K626" s="74"/>
      <c r="L626" s="7"/>
      <c r="M626" s="74"/>
      <c r="N626" s="74"/>
      <c r="O626" s="7"/>
      <c r="P626" s="74"/>
      <c r="Q626" s="7"/>
      <c r="R626" s="74"/>
      <c r="S626" s="74"/>
      <c r="T626" s="7"/>
      <c r="U626" s="7"/>
      <c r="V626" s="74"/>
      <c r="W626" s="74"/>
      <c r="X626" s="74"/>
      <c r="Y626" s="227"/>
      <c r="Z626" s="228"/>
      <c r="AA626" s="74"/>
      <c r="AB626" s="74"/>
      <c r="AC626" s="74"/>
      <c r="AD626" s="74"/>
      <c r="AE626" s="7"/>
      <c r="AF626" s="74"/>
      <c r="AG626" s="74"/>
      <c r="AH626" s="7"/>
      <c r="AI626" s="7"/>
      <c r="AJ626" s="7"/>
      <c r="AK626" s="7"/>
      <c r="AL626" s="7"/>
      <c r="AM626" s="7"/>
      <c r="AN626" s="7"/>
      <c r="AO626" s="74"/>
      <c r="AP626" s="7"/>
      <c r="AQ626" s="74"/>
      <c r="AR626" s="101"/>
      <c r="AS626" s="7"/>
      <c r="AT626" s="101"/>
      <c r="AU626" s="7"/>
      <c r="AV626" s="101"/>
      <c r="AW626" s="7"/>
      <c r="AX626" s="183"/>
      <c r="AY626" s="107"/>
      <c r="AZ626" s="74"/>
      <c r="BA626" s="74"/>
      <c r="BB626" s="74"/>
      <c r="BC626" s="74"/>
      <c r="BD626" s="74"/>
      <c r="BE626" s="74"/>
      <c r="BF626" s="74"/>
      <c r="BG626" s="74"/>
      <c r="BH626" s="74"/>
      <c r="BI626" s="74"/>
      <c r="BJ626" s="74"/>
      <c r="BK626" s="7"/>
      <c r="BL626" s="74"/>
      <c r="BM626" s="7"/>
      <c r="BN626" s="74"/>
      <c r="BO626" s="74"/>
      <c r="BP626" s="74"/>
      <c r="BQ626" s="74"/>
      <c r="BR626" s="74"/>
      <c r="BS626" s="74"/>
      <c r="BT626" s="74"/>
      <c r="BU626" s="74"/>
      <c r="BV626" s="74"/>
      <c r="BW626" s="74"/>
      <c r="BX626" s="74"/>
      <c r="BY626" s="74"/>
      <c r="BZ626" s="74"/>
      <c r="CA626" s="74"/>
      <c r="CB626" s="74"/>
      <c r="CC626" s="74"/>
      <c r="CD626" s="74"/>
      <c r="CE626" s="7"/>
      <c r="CF626" s="74"/>
      <c r="CG626" s="74"/>
      <c r="CH626" s="7"/>
      <c r="CI626" s="101"/>
      <c r="CJ626" s="74"/>
      <c r="CK626" s="101"/>
      <c r="CL626" s="74"/>
      <c r="CM626" s="74"/>
      <c r="CN626" s="74"/>
      <c r="CO626" s="101"/>
      <c r="CP626" s="74"/>
      <c r="CQ626" s="74"/>
      <c r="CR626" s="74"/>
      <c r="CS626" s="74"/>
      <c r="CT626" s="74"/>
      <c r="CU626" s="74"/>
      <c r="CV626" s="74"/>
      <c r="CW626" s="74"/>
      <c r="CX626" s="74"/>
      <c r="CY626" s="74"/>
      <c r="CZ626" s="74"/>
      <c r="DA626" s="74"/>
      <c r="DB626" s="74"/>
      <c r="DC626" s="74"/>
      <c r="DD626" s="74"/>
      <c r="DE626" s="74"/>
      <c r="DF626" s="74"/>
      <c r="DG626" s="74"/>
      <c r="DH626" s="74"/>
      <c r="DI626" s="74"/>
      <c r="DJ626" s="74"/>
      <c r="DK626" s="74"/>
      <c r="DL626" s="74"/>
      <c r="DM626" s="74"/>
      <c r="DN626" s="74"/>
      <c r="DO626" s="74"/>
      <c r="DP626" s="74"/>
      <c r="DQ626" s="74"/>
      <c r="DR626" s="74"/>
      <c r="DS626" s="74"/>
      <c r="DT626" s="74"/>
      <c r="DU626" s="74"/>
      <c r="DV626" s="74"/>
      <c r="DW626" s="74"/>
      <c r="DX626" s="74"/>
      <c r="DY626" s="74"/>
      <c r="DZ626" s="8">
        <f t="shared" si="164"/>
        <v>0</v>
      </c>
      <c r="EA626" s="3">
        <f t="shared" si="165"/>
        <v>0</v>
      </c>
      <c r="EB626" s="2">
        <f t="shared" si="166"/>
        <v>0</v>
      </c>
      <c r="EC626" s="112">
        <f t="shared" si="175"/>
        <v>0</v>
      </c>
      <c r="ED626" s="29">
        <f t="shared" si="167"/>
        <v>0</v>
      </c>
      <c r="EE626" s="2">
        <f t="shared" si="168"/>
        <v>0</v>
      </c>
      <c r="EF626" s="46">
        <f t="shared" si="169"/>
        <v>0</v>
      </c>
      <c r="EG626" s="46">
        <f t="shared" si="170"/>
        <v>0</v>
      </c>
      <c r="EH626" s="29">
        <f t="shared" si="171"/>
        <v>0</v>
      </c>
      <c r="EI626" s="29">
        <f>IF(COUNT(I626:AD626)&lt;5,DZ626,SUMPRODUCT(LARGE(I626:AD626,{1,2,3,4,5}))/5)</f>
        <v>0</v>
      </c>
      <c r="EJ626" s="29">
        <f>IF(COUNT(I626:BE626)&lt;5,DZ626,SUMPRODUCT(LARGE(I626:BE626,{1,2,3,4,5}))/5)</f>
        <v>0</v>
      </c>
      <c r="EK626" s="29">
        <f t="shared" si="173"/>
        <v>0</v>
      </c>
      <c r="EL626" s="29">
        <f t="shared" si="177"/>
        <v>0</v>
      </c>
      <c r="EM626" s="116">
        <f t="shared" si="172"/>
        <v>0</v>
      </c>
      <c r="EQ626"/>
    </row>
    <row r="627" spans="1:147" x14ac:dyDescent="0.25">
      <c r="A627" s="59"/>
      <c r="B627" s="32"/>
      <c r="C627" s="5"/>
      <c r="D627" s="6"/>
      <c r="E627" s="6"/>
      <c r="F627" s="6"/>
      <c r="G627" s="5"/>
      <c r="H627" s="37"/>
      <c r="I627" s="36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227"/>
      <c r="Z627" s="228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4"/>
      <c r="AP627" s="7"/>
      <c r="AQ627" s="74"/>
      <c r="AR627" s="70"/>
      <c r="AS627" s="7"/>
      <c r="AT627" s="70"/>
      <c r="AU627" s="7"/>
      <c r="AV627" s="70"/>
      <c r="AW627" s="7"/>
      <c r="AX627" s="8"/>
      <c r="AY627" s="36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4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101"/>
      <c r="CL627" s="74"/>
      <c r="CM627" s="74"/>
      <c r="CN627" s="74"/>
      <c r="CO627" s="70"/>
      <c r="CP627" s="74"/>
      <c r="CQ627" s="7"/>
      <c r="CR627" s="74"/>
      <c r="CS627" s="74"/>
      <c r="CT627" s="74"/>
      <c r="CU627" s="74"/>
      <c r="CV627" s="7"/>
      <c r="CW627" s="7"/>
      <c r="CX627" s="7"/>
      <c r="CY627" s="7"/>
      <c r="CZ627" s="7"/>
      <c r="DA627" s="7"/>
      <c r="DB627" s="7"/>
      <c r="DC627" s="7"/>
      <c r="DD627" s="7"/>
      <c r="DE627" s="74"/>
      <c r="DF627" s="74"/>
      <c r="DG627" s="74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8">
        <f t="shared" si="164"/>
        <v>0</v>
      </c>
      <c r="EA627" s="3">
        <f t="shared" si="165"/>
        <v>0</v>
      </c>
      <c r="EB627" s="2">
        <f t="shared" si="166"/>
        <v>0</v>
      </c>
      <c r="EC627" s="112">
        <f t="shared" si="175"/>
        <v>0</v>
      </c>
      <c r="ED627" s="29">
        <f t="shared" si="167"/>
        <v>0</v>
      </c>
      <c r="EE627" s="2">
        <f t="shared" si="168"/>
        <v>0</v>
      </c>
      <c r="EF627" s="46">
        <f t="shared" si="169"/>
        <v>0</v>
      </c>
      <c r="EG627" s="46">
        <f t="shared" si="170"/>
        <v>0</v>
      </c>
      <c r="EH627" s="2">
        <f t="shared" si="171"/>
        <v>0</v>
      </c>
      <c r="EI627" s="29">
        <f>IF(COUNT(I627:AD627)&lt;5,DZ627,SUMPRODUCT(LARGE(I627:AD627,{1,2,3,4,5}))/5)</f>
        <v>0</v>
      </c>
      <c r="EJ627" s="29">
        <f>IF(COUNT(I627:BE627)&lt;5,DZ627,SUMPRODUCT(LARGE(I627:BE627,{1,2,3,4,5}))/5)</f>
        <v>0</v>
      </c>
      <c r="EK627" s="29">
        <f t="shared" si="173"/>
        <v>0</v>
      </c>
      <c r="EL627" s="29">
        <f>(EK627*100)/101.59</f>
        <v>0</v>
      </c>
      <c r="EM627" s="116">
        <f t="shared" si="172"/>
        <v>0</v>
      </c>
      <c r="EQ627"/>
    </row>
    <row r="628" spans="1:147" x14ac:dyDescent="0.25">
      <c r="A628" s="59"/>
      <c r="B628" s="32"/>
      <c r="C628" s="5"/>
      <c r="D628" s="6"/>
      <c r="E628" s="6"/>
      <c r="F628" s="6"/>
      <c r="G628" s="5"/>
      <c r="H628" s="99"/>
      <c r="I628" s="36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227"/>
      <c r="Z628" s="228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4"/>
      <c r="AP628" s="7"/>
      <c r="AQ628" s="74"/>
      <c r="AR628" s="70"/>
      <c r="AS628" s="7"/>
      <c r="AT628" s="70"/>
      <c r="AU628" s="7"/>
      <c r="AV628" s="70"/>
      <c r="AW628" s="7"/>
      <c r="AX628" s="8"/>
      <c r="AY628" s="36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4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101"/>
      <c r="CL628" s="74"/>
      <c r="CM628" s="74"/>
      <c r="CN628" s="74"/>
      <c r="CO628" s="70"/>
      <c r="CP628" s="74"/>
      <c r="CQ628" s="7"/>
      <c r="CR628" s="74"/>
      <c r="CS628" s="74"/>
      <c r="CT628" s="74"/>
      <c r="CU628" s="74"/>
      <c r="CV628" s="7"/>
      <c r="CW628" s="7"/>
      <c r="CX628" s="7"/>
      <c r="CY628" s="7"/>
      <c r="CZ628" s="7"/>
      <c r="DA628" s="7"/>
      <c r="DB628" s="7"/>
      <c r="DC628" s="7"/>
      <c r="DD628" s="7"/>
      <c r="DE628" s="74"/>
      <c r="DF628" s="74"/>
      <c r="DG628" s="74"/>
      <c r="DH628" s="7"/>
      <c r="DI628" s="74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8">
        <f t="shared" si="164"/>
        <v>0</v>
      </c>
      <c r="EA628" s="3">
        <f t="shared" si="165"/>
        <v>0</v>
      </c>
      <c r="EB628" s="2">
        <f t="shared" si="166"/>
        <v>0</v>
      </c>
      <c r="EC628" s="112">
        <f t="shared" si="175"/>
        <v>0</v>
      </c>
      <c r="ED628" s="29">
        <f t="shared" si="167"/>
        <v>0</v>
      </c>
      <c r="EE628" s="2">
        <f t="shared" si="168"/>
        <v>0</v>
      </c>
      <c r="EF628" s="46">
        <f t="shared" si="169"/>
        <v>0</v>
      </c>
      <c r="EG628" s="46">
        <f t="shared" si="170"/>
        <v>0</v>
      </c>
      <c r="EH628" s="2">
        <f t="shared" si="171"/>
        <v>0</v>
      </c>
      <c r="EI628" s="29">
        <f>IF(COUNT(I628:AD628)&lt;5,DZ628,SUMPRODUCT(LARGE(I628:AD628,{1,2,3,4,5}))/5)</f>
        <v>0</v>
      </c>
      <c r="EJ628" s="29">
        <f>IF(COUNT(I628:BE628)&lt;5,DZ628,SUMPRODUCT(LARGE(I628:BE628,{1,2,3,4,5}))/5)</f>
        <v>0</v>
      </c>
      <c r="EK628" s="29">
        <f t="shared" si="173"/>
        <v>0</v>
      </c>
      <c r="EL628" s="29">
        <f>(EK628*100)/101.28</f>
        <v>0</v>
      </c>
      <c r="EM628" s="116">
        <f t="shared" si="172"/>
        <v>0</v>
      </c>
      <c r="EQ628"/>
    </row>
    <row r="629" spans="1:147" x14ac:dyDescent="0.25">
      <c r="A629" s="59"/>
      <c r="B629" s="4"/>
      <c r="C629" s="5"/>
      <c r="D629" s="5"/>
      <c r="E629" s="6"/>
      <c r="F629" s="6"/>
      <c r="G629" s="5"/>
      <c r="H629" s="99"/>
      <c r="I629" s="107"/>
      <c r="J629" s="7"/>
      <c r="K629" s="74"/>
      <c r="L629" s="7"/>
      <c r="M629" s="74"/>
      <c r="N629" s="74"/>
      <c r="O629" s="7"/>
      <c r="P629" s="74"/>
      <c r="Q629" s="7"/>
      <c r="R629" s="74"/>
      <c r="S629" s="74"/>
      <c r="T629" s="7"/>
      <c r="U629" s="7"/>
      <c r="V629" s="74"/>
      <c r="W629" s="74"/>
      <c r="X629" s="74"/>
      <c r="Y629" s="227"/>
      <c r="Z629" s="228"/>
      <c r="AA629" s="74"/>
      <c r="AB629" s="74"/>
      <c r="AC629" s="74"/>
      <c r="AD629" s="74"/>
      <c r="AE629" s="7"/>
      <c r="AF629" s="74"/>
      <c r="AG629" s="74"/>
      <c r="AH629" s="7"/>
      <c r="AI629" s="7"/>
      <c r="AJ629" s="7"/>
      <c r="AK629" s="7"/>
      <c r="AL629" s="7"/>
      <c r="AM629" s="7"/>
      <c r="AN629" s="7"/>
      <c r="AO629" s="74"/>
      <c r="AP629" s="7"/>
      <c r="AQ629" s="74"/>
      <c r="AR629" s="101"/>
      <c r="AS629" s="7"/>
      <c r="AT629" s="101"/>
      <c r="AU629" s="7"/>
      <c r="AV629" s="101"/>
      <c r="AW629" s="7"/>
      <c r="AX629" s="183"/>
      <c r="AY629" s="107"/>
      <c r="AZ629" s="74"/>
      <c r="BA629" s="74"/>
      <c r="BB629" s="74"/>
      <c r="BC629" s="74"/>
      <c r="BD629" s="74"/>
      <c r="BE629" s="74"/>
      <c r="BF629" s="74"/>
      <c r="BG629" s="74"/>
      <c r="BH629" s="74"/>
      <c r="BI629" s="74"/>
      <c r="BJ629" s="74"/>
      <c r="BK629" s="7"/>
      <c r="BL629" s="74"/>
      <c r="BM629" s="7"/>
      <c r="BN629" s="74"/>
      <c r="BO629" s="74"/>
      <c r="BP629" s="74"/>
      <c r="BQ629" s="74"/>
      <c r="BR629" s="74"/>
      <c r="BS629" s="74"/>
      <c r="BT629" s="74"/>
      <c r="BU629" s="74"/>
      <c r="BV629" s="74"/>
      <c r="BW629" s="74"/>
      <c r="BX629" s="74"/>
      <c r="BY629" s="74"/>
      <c r="BZ629" s="74"/>
      <c r="CA629" s="74"/>
      <c r="CB629" s="74"/>
      <c r="CC629" s="74"/>
      <c r="CD629" s="74"/>
      <c r="CE629" s="7"/>
      <c r="CF629" s="74"/>
      <c r="CG629" s="74"/>
      <c r="CH629" s="7"/>
      <c r="CI629" s="74"/>
      <c r="CJ629" s="74"/>
      <c r="CK629" s="101"/>
      <c r="CL629" s="74"/>
      <c r="CM629" s="74"/>
      <c r="CN629" s="74"/>
      <c r="CO629" s="101"/>
      <c r="CP629" s="74"/>
      <c r="CQ629" s="74"/>
      <c r="CR629" s="74"/>
      <c r="CS629" s="74"/>
      <c r="CT629" s="74"/>
      <c r="CU629" s="74"/>
      <c r="CV629" s="74"/>
      <c r="CW629" s="74"/>
      <c r="CX629" s="74"/>
      <c r="CY629" s="74"/>
      <c r="CZ629" s="74"/>
      <c r="DA629" s="74"/>
      <c r="DB629" s="74"/>
      <c r="DC629" s="74"/>
      <c r="DD629" s="74"/>
      <c r="DE629" s="74"/>
      <c r="DF629" s="74"/>
      <c r="DG629" s="74"/>
      <c r="DH629" s="74"/>
      <c r="DI629" s="74"/>
      <c r="DJ629" s="74"/>
      <c r="DK629" s="74"/>
      <c r="DL629" s="74"/>
      <c r="DM629" s="74"/>
      <c r="DN629" s="74"/>
      <c r="DO629" s="74"/>
      <c r="DP629" s="74"/>
      <c r="DQ629" s="74"/>
      <c r="DR629" s="74"/>
      <c r="DS629" s="74"/>
      <c r="DT629" s="74"/>
      <c r="DU629" s="74"/>
      <c r="DV629" s="74"/>
      <c r="DW629" s="74"/>
      <c r="DX629" s="74"/>
      <c r="DY629" s="74"/>
      <c r="DZ629" s="8">
        <f t="shared" si="164"/>
        <v>0</v>
      </c>
      <c r="EA629" s="3">
        <f t="shared" si="165"/>
        <v>0</v>
      </c>
      <c r="EB629" s="2">
        <f t="shared" si="166"/>
        <v>0</v>
      </c>
      <c r="EC629" s="112">
        <f t="shared" si="175"/>
        <v>0</v>
      </c>
      <c r="ED629" s="29">
        <f t="shared" si="167"/>
        <v>0</v>
      </c>
      <c r="EE629" s="2">
        <f t="shared" si="168"/>
        <v>0</v>
      </c>
      <c r="EF629" s="46">
        <f t="shared" si="169"/>
        <v>0</v>
      </c>
      <c r="EG629" s="46">
        <f t="shared" si="170"/>
        <v>0</v>
      </c>
      <c r="EH629" s="29">
        <f t="shared" si="171"/>
        <v>0</v>
      </c>
      <c r="EI629" s="29">
        <f>IF(COUNT(I629:AD629)&lt;5,DZ629,SUMPRODUCT(LARGE(I629:AD629,{1,2,3,4,5}))/5)</f>
        <v>0</v>
      </c>
      <c r="EJ629" s="29">
        <f>IF(COUNT(I629:BE629)&lt;5,DZ629,SUMPRODUCT(LARGE(I629:BE629,{1,2,3,4,5}))/5)</f>
        <v>0</v>
      </c>
      <c r="EK629" s="29">
        <f t="shared" si="173"/>
        <v>0</v>
      </c>
      <c r="EL629" s="29">
        <f>(EK629*100)/101.28</f>
        <v>0</v>
      </c>
      <c r="EM629" s="116">
        <f t="shared" si="172"/>
        <v>0</v>
      </c>
      <c r="EQ629"/>
    </row>
    <row r="630" spans="1:147" x14ac:dyDescent="0.25">
      <c r="A630" s="59"/>
      <c r="B630" s="32"/>
      <c r="C630" s="5"/>
      <c r="D630" s="6"/>
      <c r="E630" s="6"/>
      <c r="F630" s="6"/>
      <c r="G630" s="5"/>
      <c r="H630" s="37"/>
      <c r="I630" s="107"/>
      <c r="J630" s="7"/>
      <c r="K630" s="74"/>
      <c r="L630" s="7"/>
      <c r="M630" s="74"/>
      <c r="N630" s="74"/>
      <c r="O630" s="7"/>
      <c r="P630" s="74"/>
      <c r="Q630" s="7"/>
      <c r="R630" s="74"/>
      <c r="S630" s="74"/>
      <c r="T630" s="7"/>
      <c r="U630" s="7"/>
      <c r="V630" s="74"/>
      <c r="W630" s="74"/>
      <c r="X630" s="74"/>
      <c r="Y630" s="227"/>
      <c r="Z630" s="228"/>
      <c r="AA630" s="74"/>
      <c r="AB630" s="74"/>
      <c r="AC630" s="74"/>
      <c r="AD630" s="74"/>
      <c r="AE630" s="7"/>
      <c r="AF630" s="74"/>
      <c r="AG630" s="74"/>
      <c r="AH630" s="7"/>
      <c r="AI630" s="7"/>
      <c r="AJ630" s="7"/>
      <c r="AK630" s="7"/>
      <c r="AL630" s="7"/>
      <c r="AM630" s="7"/>
      <c r="AN630" s="7"/>
      <c r="AO630" s="74"/>
      <c r="AP630" s="7"/>
      <c r="AQ630" s="74"/>
      <c r="AR630" s="101"/>
      <c r="AS630" s="7"/>
      <c r="AT630" s="101"/>
      <c r="AU630" s="7"/>
      <c r="AV630" s="101"/>
      <c r="AW630" s="7"/>
      <c r="AX630" s="8"/>
      <c r="AY630" s="36"/>
      <c r="AZ630" s="74"/>
      <c r="BA630" s="74"/>
      <c r="BB630" s="74"/>
      <c r="BC630" s="74"/>
      <c r="BD630" s="74"/>
      <c r="BE630" s="74"/>
      <c r="BF630" s="74"/>
      <c r="BG630" s="74"/>
      <c r="BH630" s="74"/>
      <c r="BI630" s="74"/>
      <c r="BJ630" s="74"/>
      <c r="BK630" s="7"/>
      <c r="BL630" s="74"/>
      <c r="BM630" s="7"/>
      <c r="BN630" s="74"/>
      <c r="BO630" s="74"/>
      <c r="BP630" s="74"/>
      <c r="BQ630" s="74"/>
      <c r="BR630" s="74"/>
      <c r="BS630" s="74"/>
      <c r="BT630" s="74"/>
      <c r="BU630" s="74"/>
      <c r="BV630" s="74"/>
      <c r="BW630" s="74"/>
      <c r="BX630" s="74"/>
      <c r="BY630" s="74"/>
      <c r="BZ630" s="74"/>
      <c r="CA630" s="74"/>
      <c r="CB630" s="74"/>
      <c r="CC630" s="74"/>
      <c r="CD630" s="74"/>
      <c r="CE630" s="7"/>
      <c r="CF630" s="74"/>
      <c r="CG630" s="74"/>
      <c r="CH630" s="7"/>
      <c r="CI630" s="74"/>
      <c r="CJ630" s="74"/>
      <c r="CK630" s="101"/>
      <c r="CL630" s="74"/>
      <c r="CM630" s="74"/>
      <c r="CN630" s="74"/>
      <c r="CO630" s="101"/>
      <c r="CP630" s="74"/>
      <c r="CQ630" s="74"/>
      <c r="CR630" s="74"/>
      <c r="CS630" s="74"/>
      <c r="CT630" s="74"/>
      <c r="CU630" s="74"/>
      <c r="CV630" s="74"/>
      <c r="CW630" s="74"/>
      <c r="CX630" s="74"/>
      <c r="CY630" s="74"/>
      <c r="CZ630" s="74"/>
      <c r="DA630" s="74"/>
      <c r="DB630" s="74"/>
      <c r="DC630" s="74"/>
      <c r="DD630" s="74"/>
      <c r="DE630" s="74"/>
      <c r="DF630" s="74"/>
      <c r="DG630" s="74"/>
      <c r="DH630" s="74"/>
      <c r="DI630" s="74"/>
      <c r="DJ630" s="74"/>
      <c r="DK630" s="74"/>
      <c r="DL630" s="74"/>
      <c r="DM630" s="74"/>
      <c r="DN630" s="74"/>
      <c r="DO630" s="74"/>
      <c r="DP630" s="74"/>
      <c r="DQ630" s="74"/>
      <c r="DR630" s="74"/>
      <c r="DS630" s="74"/>
      <c r="DT630" s="74"/>
      <c r="DU630" s="74"/>
      <c r="DV630" s="74"/>
      <c r="DW630" s="74"/>
      <c r="DX630" s="74"/>
      <c r="DY630" s="74"/>
      <c r="DZ630" s="8">
        <f t="shared" si="164"/>
        <v>0</v>
      </c>
      <c r="EA630" s="3">
        <f t="shared" si="165"/>
        <v>0</v>
      </c>
      <c r="EB630" s="2">
        <f t="shared" si="166"/>
        <v>0</v>
      </c>
      <c r="EC630" s="112">
        <f t="shared" si="175"/>
        <v>0</v>
      </c>
      <c r="ED630" s="29">
        <f t="shared" si="167"/>
        <v>0</v>
      </c>
      <c r="EE630" s="2">
        <f t="shared" si="168"/>
        <v>0</v>
      </c>
      <c r="EF630" s="46">
        <f t="shared" si="169"/>
        <v>0</v>
      </c>
      <c r="EG630" s="46">
        <f t="shared" si="170"/>
        <v>0</v>
      </c>
      <c r="EH630" s="29">
        <f t="shared" si="171"/>
        <v>0</v>
      </c>
      <c r="EI630" s="29">
        <f>IF(COUNT(I630:AD630)&lt;5,DZ630,SUMPRODUCT(LARGE(I630:AD630,{1,2,3,4,5}))/5)</f>
        <v>0</v>
      </c>
      <c r="EJ630" s="29">
        <f>IF(COUNT(I630:BE630)&lt;5,DZ630,SUMPRODUCT(LARGE(I630:BE630,{1,2,3,4,5}))/5)</f>
        <v>0</v>
      </c>
      <c r="EK630" s="29">
        <f t="shared" si="173"/>
        <v>0</v>
      </c>
      <c r="EL630" s="29">
        <f>(EK630*100)/101.28</f>
        <v>0</v>
      </c>
      <c r="EM630" s="116">
        <f t="shared" si="172"/>
        <v>0</v>
      </c>
      <c r="EQ630"/>
    </row>
    <row r="631" spans="1:147" x14ac:dyDescent="0.25">
      <c r="A631" s="59"/>
      <c r="B631" s="32"/>
      <c r="C631" s="5"/>
      <c r="D631" s="6"/>
      <c r="E631" s="6"/>
      <c r="F631" s="6"/>
      <c r="G631" s="5"/>
      <c r="H631" s="37"/>
      <c r="I631" s="107"/>
      <c r="J631" s="7"/>
      <c r="K631" s="74"/>
      <c r="L631" s="7"/>
      <c r="M631" s="74"/>
      <c r="N631" s="74"/>
      <c r="O631" s="7"/>
      <c r="P631" s="74"/>
      <c r="Q631" s="7"/>
      <c r="R631" s="74"/>
      <c r="S631" s="74"/>
      <c r="T631" s="7"/>
      <c r="U631" s="7"/>
      <c r="V631" s="74"/>
      <c r="W631" s="74"/>
      <c r="X631" s="74"/>
      <c r="Y631" s="227"/>
      <c r="Z631" s="228"/>
      <c r="AA631" s="74"/>
      <c r="AB631" s="74"/>
      <c r="AC631" s="74"/>
      <c r="AD631" s="74"/>
      <c r="AE631" s="7"/>
      <c r="AF631" s="74"/>
      <c r="AG631" s="74"/>
      <c r="AH631" s="7"/>
      <c r="AI631" s="7"/>
      <c r="AJ631" s="7"/>
      <c r="AK631" s="7"/>
      <c r="AL631" s="7"/>
      <c r="AM631" s="7"/>
      <c r="AN631" s="7"/>
      <c r="AO631" s="74"/>
      <c r="AP631" s="7"/>
      <c r="AQ631" s="74"/>
      <c r="AR631" s="74"/>
      <c r="AS631" s="7"/>
      <c r="AT631" s="101"/>
      <c r="AU631" s="7"/>
      <c r="AV631" s="101"/>
      <c r="AW631" s="7"/>
      <c r="AX631" s="8"/>
      <c r="AY631" s="36"/>
      <c r="AZ631" s="74"/>
      <c r="BA631" s="74"/>
      <c r="BB631" s="74"/>
      <c r="BC631" s="74"/>
      <c r="BD631" s="74"/>
      <c r="BE631" s="74"/>
      <c r="BF631" s="74"/>
      <c r="BG631" s="74"/>
      <c r="BH631" s="74"/>
      <c r="BI631" s="74"/>
      <c r="BJ631" s="74"/>
      <c r="BK631" s="7"/>
      <c r="BL631" s="74"/>
      <c r="BM631" s="7"/>
      <c r="BN631" s="74"/>
      <c r="BO631" s="74"/>
      <c r="BP631" s="74"/>
      <c r="BQ631" s="74"/>
      <c r="BR631" s="74"/>
      <c r="BS631" s="74"/>
      <c r="BT631" s="74"/>
      <c r="BU631" s="74"/>
      <c r="BV631" s="74"/>
      <c r="BW631" s="74"/>
      <c r="BX631" s="74"/>
      <c r="BY631" s="74"/>
      <c r="BZ631" s="74"/>
      <c r="CA631" s="74"/>
      <c r="CB631" s="74"/>
      <c r="CC631" s="74"/>
      <c r="CD631" s="74"/>
      <c r="CE631" s="7"/>
      <c r="CF631" s="74"/>
      <c r="CG631" s="74"/>
      <c r="CH631" s="7"/>
      <c r="CI631" s="74"/>
      <c r="CJ631" s="74"/>
      <c r="CK631" s="101"/>
      <c r="CL631" s="74"/>
      <c r="CM631" s="74"/>
      <c r="CN631" s="74"/>
      <c r="CO631" s="101"/>
      <c r="CP631" s="74"/>
      <c r="CQ631" s="74"/>
      <c r="CR631" s="74"/>
      <c r="CS631" s="74"/>
      <c r="CT631" s="74"/>
      <c r="CU631" s="74"/>
      <c r="CV631" s="74"/>
      <c r="CW631" s="74"/>
      <c r="CX631" s="74"/>
      <c r="CY631" s="74"/>
      <c r="CZ631" s="74"/>
      <c r="DA631" s="74"/>
      <c r="DB631" s="74"/>
      <c r="DC631" s="74"/>
      <c r="DD631" s="74"/>
      <c r="DE631" s="74"/>
      <c r="DF631" s="74"/>
      <c r="DG631" s="74"/>
      <c r="DH631" s="74"/>
      <c r="DI631" s="74"/>
      <c r="DJ631" s="74"/>
      <c r="DK631" s="74"/>
      <c r="DL631" s="74"/>
      <c r="DM631" s="74"/>
      <c r="DN631" s="74"/>
      <c r="DO631" s="74"/>
      <c r="DP631" s="74"/>
      <c r="DQ631" s="74"/>
      <c r="DR631" s="74"/>
      <c r="DS631" s="74"/>
      <c r="DT631" s="74"/>
      <c r="DU631" s="74"/>
      <c r="DV631" s="74"/>
      <c r="DW631" s="74"/>
      <c r="DX631" s="74"/>
      <c r="DY631" s="74"/>
      <c r="DZ631" s="8">
        <f t="shared" si="164"/>
        <v>0</v>
      </c>
      <c r="EA631" s="3">
        <f t="shared" si="165"/>
        <v>0</v>
      </c>
      <c r="EB631" s="2">
        <f t="shared" si="166"/>
        <v>0</v>
      </c>
      <c r="EC631" s="112">
        <f t="shared" si="175"/>
        <v>0</v>
      </c>
      <c r="ED631" s="29">
        <f t="shared" si="167"/>
        <v>0</v>
      </c>
      <c r="EE631" s="2">
        <f t="shared" si="168"/>
        <v>0</v>
      </c>
      <c r="EF631" s="46">
        <f t="shared" si="169"/>
        <v>0</v>
      </c>
      <c r="EG631" s="46">
        <f t="shared" si="170"/>
        <v>0</v>
      </c>
      <c r="EH631" s="29">
        <f t="shared" si="171"/>
        <v>0</v>
      </c>
      <c r="EI631" s="29">
        <f>IF(COUNT(I631:AD631)&lt;5,DZ631,SUMPRODUCT(LARGE(I631:AD631,{1,2,3,4,5}))/5)</f>
        <v>0</v>
      </c>
      <c r="EJ631" s="29">
        <f>IF(COUNT(I631:BE631)&lt;5,DZ631,SUMPRODUCT(LARGE(I631:BE631,{1,2,3,4,5}))/5)</f>
        <v>0</v>
      </c>
      <c r="EK631" s="29">
        <f t="shared" si="173"/>
        <v>0</v>
      </c>
      <c r="EL631" s="29">
        <f>(EK631*100)/101.28</f>
        <v>0</v>
      </c>
      <c r="EM631" s="116">
        <f t="shared" si="172"/>
        <v>0</v>
      </c>
      <c r="EQ631"/>
    </row>
    <row r="632" spans="1:147" x14ac:dyDescent="0.25">
      <c r="A632" s="59"/>
      <c r="B632" s="32"/>
      <c r="C632" s="5"/>
      <c r="D632" s="6"/>
      <c r="E632" s="6"/>
      <c r="F632" s="6"/>
      <c r="G632" s="5"/>
      <c r="H632" s="37"/>
      <c r="I632" s="107"/>
      <c r="J632" s="7"/>
      <c r="K632" s="74"/>
      <c r="L632" s="7"/>
      <c r="M632" s="74"/>
      <c r="N632" s="74"/>
      <c r="O632" s="7"/>
      <c r="P632" s="74"/>
      <c r="Q632" s="7"/>
      <c r="R632" s="74"/>
      <c r="S632" s="74"/>
      <c r="T632" s="7"/>
      <c r="U632" s="7"/>
      <c r="V632" s="74"/>
      <c r="W632" s="74"/>
      <c r="X632" s="74"/>
      <c r="Y632" s="227"/>
      <c r="Z632" s="228"/>
      <c r="AA632" s="74"/>
      <c r="AB632" s="74"/>
      <c r="AC632" s="74"/>
      <c r="AD632" s="74"/>
      <c r="AE632" s="7"/>
      <c r="AF632" s="74"/>
      <c r="AG632" s="74"/>
      <c r="AH632" s="7"/>
      <c r="AI632" s="7"/>
      <c r="AJ632" s="7"/>
      <c r="AK632" s="7"/>
      <c r="AL632" s="7"/>
      <c r="AM632" s="7"/>
      <c r="AN632" s="7"/>
      <c r="AO632" s="74"/>
      <c r="AP632" s="7"/>
      <c r="AQ632" s="74"/>
      <c r="AR632" s="101"/>
      <c r="AS632" s="7"/>
      <c r="AT632" s="101"/>
      <c r="AU632" s="7"/>
      <c r="AV632" s="101"/>
      <c r="AW632" s="7"/>
      <c r="AX632" s="183"/>
      <c r="AY632" s="107"/>
      <c r="AZ632" s="74"/>
      <c r="BA632" s="74"/>
      <c r="BB632" s="7"/>
      <c r="BC632" s="74"/>
      <c r="BD632" s="74"/>
      <c r="BE632" s="74"/>
      <c r="BF632" s="74"/>
      <c r="BG632" s="74"/>
      <c r="BH632" s="74"/>
      <c r="BI632" s="74"/>
      <c r="BJ632" s="74"/>
      <c r="BK632" s="7"/>
      <c r="BL632" s="74"/>
      <c r="BM632" s="7"/>
      <c r="BN632" s="74"/>
      <c r="BO632" s="74"/>
      <c r="BP632" s="74"/>
      <c r="BQ632" s="74"/>
      <c r="BR632" s="74"/>
      <c r="BS632" s="74"/>
      <c r="BT632" s="74"/>
      <c r="BU632" s="74"/>
      <c r="BV632" s="74"/>
      <c r="BW632" s="74"/>
      <c r="BX632" s="74"/>
      <c r="BY632" s="74"/>
      <c r="BZ632" s="74"/>
      <c r="CA632" s="74"/>
      <c r="CB632" s="74"/>
      <c r="CC632" s="74"/>
      <c r="CD632" s="74"/>
      <c r="CE632" s="7"/>
      <c r="CF632" s="74"/>
      <c r="CG632" s="74"/>
      <c r="CH632" s="7"/>
      <c r="CI632" s="74"/>
      <c r="CJ632" s="74"/>
      <c r="CK632" s="101"/>
      <c r="CL632" s="74"/>
      <c r="CM632" s="74"/>
      <c r="CN632" s="74"/>
      <c r="CO632" s="101"/>
      <c r="CP632" s="74"/>
      <c r="CQ632" s="74"/>
      <c r="CR632" s="74"/>
      <c r="CS632" s="74"/>
      <c r="CT632" s="74"/>
      <c r="CU632" s="74"/>
      <c r="CV632" s="74"/>
      <c r="CW632" s="74"/>
      <c r="CX632" s="74"/>
      <c r="CY632" s="74"/>
      <c r="CZ632" s="74"/>
      <c r="DA632" s="74"/>
      <c r="DB632" s="74"/>
      <c r="DC632" s="74"/>
      <c r="DD632" s="74"/>
      <c r="DE632" s="74"/>
      <c r="DF632" s="74"/>
      <c r="DG632" s="74"/>
      <c r="DH632" s="74"/>
      <c r="DI632" s="74"/>
      <c r="DJ632" s="74"/>
      <c r="DK632" s="74"/>
      <c r="DL632" s="74"/>
      <c r="DM632" s="74"/>
      <c r="DN632" s="74"/>
      <c r="DO632" s="74"/>
      <c r="DP632" s="74"/>
      <c r="DQ632" s="74"/>
      <c r="DR632" s="74"/>
      <c r="DS632" s="74"/>
      <c r="DT632" s="74"/>
      <c r="DU632" s="74"/>
      <c r="DV632" s="74"/>
      <c r="DW632" s="74"/>
      <c r="DX632" s="74"/>
      <c r="DY632" s="74"/>
      <c r="DZ632" s="8">
        <f t="shared" si="164"/>
        <v>0</v>
      </c>
      <c r="EA632" s="3">
        <f t="shared" si="165"/>
        <v>0</v>
      </c>
      <c r="EB632" s="2">
        <f t="shared" si="166"/>
        <v>0</v>
      </c>
      <c r="EC632" s="112">
        <f t="shared" si="175"/>
        <v>0</v>
      </c>
      <c r="ED632" s="29">
        <f t="shared" si="167"/>
        <v>0</v>
      </c>
      <c r="EE632" s="2">
        <f t="shared" si="168"/>
        <v>0</v>
      </c>
      <c r="EF632" s="46">
        <f t="shared" si="169"/>
        <v>0</v>
      </c>
      <c r="EG632" s="46">
        <f t="shared" si="170"/>
        <v>0</v>
      </c>
      <c r="EH632" s="2">
        <f t="shared" si="171"/>
        <v>0</v>
      </c>
      <c r="EI632" s="29">
        <f>IF(COUNT(I632:AD632)&lt;5,DZ632,SUMPRODUCT(LARGE(I632:AD632,{1,2,3,4,5}))/5)</f>
        <v>0</v>
      </c>
      <c r="EJ632" s="29">
        <f>IF(COUNT(I632:BE632)&lt;5,DZ632,SUMPRODUCT(LARGE(I632:BE632,{1,2,3,4,5}))/5)</f>
        <v>0</v>
      </c>
      <c r="EK632" s="29">
        <f t="shared" si="173"/>
        <v>0</v>
      </c>
      <c r="EL632" s="29">
        <f>(EK632*100)/101.28</f>
        <v>0</v>
      </c>
      <c r="EM632" s="116">
        <f t="shared" si="172"/>
        <v>0</v>
      </c>
      <c r="EQ632"/>
    </row>
    <row r="633" spans="1:147" x14ac:dyDescent="0.25">
      <c r="A633" s="59"/>
      <c r="B633" s="32"/>
      <c r="C633" s="5"/>
      <c r="D633" s="6"/>
      <c r="E633" s="6"/>
      <c r="F633" s="6"/>
      <c r="G633" s="5"/>
      <c r="H633" s="37"/>
      <c r="I633" s="36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227"/>
      <c r="Z633" s="228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4"/>
      <c r="AP633" s="7"/>
      <c r="AQ633" s="74"/>
      <c r="AR633" s="70"/>
      <c r="AS633" s="7"/>
      <c r="AT633" s="70"/>
      <c r="AU633" s="7"/>
      <c r="AV633" s="70"/>
      <c r="AW633" s="7"/>
      <c r="AX633" s="183"/>
      <c r="AY633" s="10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4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4"/>
      <c r="CI633" s="7"/>
      <c r="CJ633" s="7"/>
      <c r="CK633" s="101"/>
      <c r="CL633" s="74"/>
      <c r="CM633" s="74"/>
      <c r="CN633" s="74"/>
      <c r="CO633" s="70"/>
      <c r="CP633" s="74"/>
      <c r="CQ633" s="7"/>
      <c r="CR633" s="74"/>
      <c r="CS633" s="74"/>
      <c r="CT633" s="74"/>
      <c r="CU633" s="74"/>
      <c r="CV633" s="7"/>
      <c r="CW633" s="7"/>
      <c r="CX633" s="7"/>
      <c r="CY633" s="7"/>
      <c r="CZ633" s="7"/>
      <c r="DA633" s="7"/>
      <c r="DB633" s="7"/>
      <c r="DC633" s="7"/>
      <c r="DD633" s="7"/>
      <c r="DE633" s="74"/>
      <c r="DF633" s="74"/>
      <c r="DG633" s="74"/>
      <c r="DH633" s="7"/>
      <c r="DI633" s="74"/>
      <c r="DJ633" s="7"/>
      <c r="DK633" s="7"/>
      <c r="DL633" s="7"/>
      <c r="DM633" s="7"/>
      <c r="DN633" s="7"/>
      <c r="DO633" s="7"/>
      <c r="DP633" s="7"/>
      <c r="DQ633" s="7"/>
      <c r="DR633" s="7"/>
      <c r="DS633" s="74"/>
      <c r="DT633" s="74"/>
      <c r="DU633" s="74"/>
      <c r="DV633" s="7"/>
      <c r="DW633" s="7"/>
      <c r="DX633" s="7"/>
      <c r="DY633" s="7"/>
      <c r="DZ633" s="8">
        <f t="shared" si="164"/>
        <v>0</v>
      </c>
      <c r="EA633" s="3">
        <f t="shared" si="165"/>
        <v>0</v>
      </c>
      <c r="EB633" s="2">
        <f t="shared" si="166"/>
        <v>0</v>
      </c>
      <c r="EC633" s="112">
        <f t="shared" si="175"/>
        <v>0</v>
      </c>
      <c r="ED633" s="29">
        <f t="shared" si="167"/>
        <v>0</v>
      </c>
      <c r="EE633" s="2">
        <f t="shared" si="168"/>
        <v>0</v>
      </c>
      <c r="EF633" s="46">
        <f t="shared" si="169"/>
        <v>0</v>
      </c>
      <c r="EG633" s="46">
        <f t="shared" si="170"/>
        <v>0</v>
      </c>
      <c r="EH633" s="2">
        <f t="shared" si="171"/>
        <v>0</v>
      </c>
      <c r="EI633" s="29">
        <f>IF(COUNT(I633:AD633)&lt;5,DZ633,SUMPRODUCT(LARGE(I633:AD633,{1,2,3,4,5}))/5)</f>
        <v>0</v>
      </c>
      <c r="EJ633" s="29">
        <f>IF(COUNT(I633:BE633)&lt;5,DZ633,SUMPRODUCT(LARGE(I633:BE633,{1,2,3,4,5}))/5)</f>
        <v>0</v>
      </c>
      <c r="EK633" s="29">
        <f t="shared" si="173"/>
        <v>0</v>
      </c>
      <c r="EL633" s="29">
        <f>(EK633*100)/101.59</f>
        <v>0</v>
      </c>
      <c r="EM633" s="116">
        <f t="shared" si="172"/>
        <v>0</v>
      </c>
      <c r="EQ633"/>
    </row>
    <row r="634" spans="1:147" x14ac:dyDescent="0.25">
      <c r="A634" s="59"/>
      <c r="B634" s="32"/>
      <c r="C634" s="5"/>
      <c r="D634" s="6"/>
      <c r="E634" s="6"/>
      <c r="F634" s="6"/>
      <c r="G634" s="5"/>
      <c r="H634" s="99"/>
      <c r="I634" s="36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227"/>
      <c r="Z634" s="228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4"/>
      <c r="AP634" s="7"/>
      <c r="AQ634" s="74"/>
      <c r="AR634" s="70"/>
      <c r="AS634" s="7"/>
      <c r="AT634" s="70"/>
      <c r="AU634" s="7"/>
      <c r="AV634" s="70"/>
      <c r="AW634" s="7"/>
      <c r="AX634" s="183"/>
      <c r="AY634" s="10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4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101"/>
      <c r="CL634" s="74"/>
      <c r="CM634" s="74"/>
      <c r="CN634" s="74"/>
      <c r="CO634" s="70"/>
      <c r="CP634" s="74"/>
      <c r="CQ634" s="7"/>
      <c r="CR634" s="74"/>
      <c r="CS634" s="74"/>
      <c r="CT634" s="74"/>
      <c r="CU634" s="74"/>
      <c r="CV634" s="7"/>
      <c r="CW634" s="7"/>
      <c r="CX634" s="7"/>
      <c r="CY634" s="7"/>
      <c r="CZ634" s="7"/>
      <c r="DA634" s="7"/>
      <c r="DB634" s="7"/>
      <c r="DC634" s="7"/>
      <c r="DD634" s="7"/>
      <c r="DE634" s="74"/>
      <c r="DF634" s="74"/>
      <c r="DG634" s="74"/>
      <c r="DH634" s="7"/>
      <c r="DI634" s="74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8">
        <f t="shared" si="164"/>
        <v>0</v>
      </c>
      <c r="EA634" s="3">
        <f t="shared" si="165"/>
        <v>0</v>
      </c>
      <c r="EB634" s="2">
        <f t="shared" si="166"/>
        <v>0</v>
      </c>
      <c r="EC634" s="112">
        <f t="shared" si="175"/>
        <v>0</v>
      </c>
      <c r="ED634" s="29">
        <f t="shared" si="167"/>
        <v>0</v>
      </c>
      <c r="EE634" s="2">
        <f t="shared" si="168"/>
        <v>0</v>
      </c>
      <c r="EF634" s="46">
        <f t="shared" si="169"/>
        <v>0</v>
      </c>
      <c r="EG634" s="46">
        <f t="shared" si="170"/>
        <v>0</v>
      </c>
      <c r="EH634" s="2">
        <f t="shared" si="171"/>
        <v>0</v>
      </c>
      <c r="EI634" s="29">
        <f>IF(COUNT(I634:AD634)&lt;5,DZ634,SUMPRODUCT(LARGE(I634:AD634,{1,2,3,4,5}))/5)</f>
        <v>0</v>
      </c>
      <c r="EJ634" s="29">
        <f>IF(COUNT(I634:BE634)&lt;5,DZ634,SUMPRODUCT(LARGE(I634:BE634,{1,2,3,4,5}))/5)</f>
        <v>0</v>
      </c>
      <c r="EK634" s="29">
        <f t="shared" si="173"/>
        <v>0</v>
      </c>
      <c r="EL634" s="29">
        <f>(EK634*100)/101.28</f>
        <v>0</v>
      </c>
      <c r="EM634" s="116">
        <f t="shared" si="172"/>
        <v>0</v>
      </c>
      <c r="EQ634"/>
    </row>
    <row r="635" spans="1:147" x14ac:dyDescent="0.25">
      <c r="A635" s="59"/>
      <c r="B635" s="32"/>
      <c r="C635" s="5"/>
      <c r="D635" s="6"/>
      <c r="E635" s="6"/>
      <c r="F635" s="6"/>
      <c r="G635" s="5"/>
      <c r="H635" s="99"/>
      <c r="I635" s="36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227"/>
      <c r="Z635" s="228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4"/>
      <c r="AP635" s="7"/>
      <c r="AQ635" s="74"/>
      <c r="AR635" s="70"/>
      <c r="AS635" s="7"/>
      <c r="AT635" s="70"/>
      <c r="AU635" s="7"/>
      <c r="AV635" s="70"/>
      <c r="AW635" s="7"/>
      <c r="AX635" s="183"/>
      <c r="AY635" s="10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4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101"/>
      <c r="CL635" s="74"/>
      <c r="CM635" s="74"/>
      <c r="CN635" s="74"/>
      <c r="CO635" s="70"/>
      <c r="CP635" s="74"/>
      <c r="CQ635" s="7"/>
      <c r="CR635" s="74"/>
      <c r="CS635" s="74"/>
      <c r="CT635" s="74"/>
      <c r="CU635" s="74"/>
      <c r="CV635" s="7"/>
      <c r="CW635" s="7"/>
      <c r="CX635" s="7"/>
      <c r="CY635" s="7"/>
      <c r="CZ635" s="7"/>
      <c r="DA635" s="7"/>
      <c r="DB635" s="7"/>
      <c r="DC635" s="7"/>
      <c r="DD635" s="7"/>
      <c r="DE635" s="74"/>
      <c r="DF635" s="74"/>
      <c r="DG635" s="74"/>
      <c r="DH635" s="7"/>
      <c r="DI635" s="74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8">
        <f t="shared" si="164"/>
        <v>0</v>
      </c>
      <c r="EA635" s="3">
        <f t="shared" si="165"/>
        <v>0</v>
      </c>
      <c r="EB635" s="2">
        <f t="shared" si="166"/>
        <v>0</v>
      </c>
      <c r="EC635" s="112">
        <f t="shared" si="175"/>
        <v>0</v>
      </c>
      <c r="ED635" s="29">
        <f t="shared" si="167"/>
        <v>0</v>
      </c>
      <c r="EE635" s="2">
        <f t="shared" si="168"/>
        <v>0</v>
      </c>
      <c r="EF635" s="46">
        <f t="shared" si="169"/>
        <v>0</v>
      </c>
      <c r="EG635" s="46">
        <f t="shared" si="170"/>
        <v>0</v>
      </c>
      <c r="EH635" s="2">
        <f t="shared" si="171"/>
        <v>0</v>
      </c>
      <c r="EI635" s="29">
        <f>IF(COUNT(I635:AD635)&lt;5,DZ635,SUMPRODUCT(LARGE(I635:AD635,{1,2,3,4,5}))/5)</f>
        <v>0</v>
      </c>
      <c r="EJ635" s="29">
        <f>IF(COUNT(I635:BE635)&lt;5,DZ635,SUMPRODUCT(LARGE(I635:BE635,{1,2,3,4,5}))/5)</f>
        <v>0</v>
      </c>
      <c r="EK635" s="29">
        <f t="shared" si="173"/>
        <v>0</v>
      </c>
      <c r="EL635" s="29">
        <f>(EK635*100)/101.59</f>
        <v>0</v>
      </c>
      <c r="EM635" s="116">
        <f t="shared" si="172"/>
        <v>0</v>
      </c>
      <c r="EQ635"/>
    </row>
    <row r="636" spans="1:147" x14ac:dyDescent="0.25">
      <c r="A636" s="59"/>
      <c r="B636" s="33"/>
      <c r="C636" s="5"/>
      <c r="D636" s="6"/>
      <c r="E636" s="6"/>
      <c r="F636" s="6"/>
      <c r="G636" s="5"/>
      <c r="H636" s="37"/>
      <c r="I636" s="107"/>
      <c r="J636" s="7"/>
      <c r="K636" s="74"/>
      <c r="L636" s="7"/>
      <c r="M636" s="74"/>
      <c r="N636" s="74"/>
      <c r="O636" s="7"/>
      <c r="P636" s="74"/>
      <c r="Q636" s="7"/>
      <c r="R636" s="74"/>
      <c r="S636" s="74"/>
      <c r="T636" s="7"/>
      <c r="U636" s="7"/>
      <c r="V636" s="74"/>
      <c r="W636" s="74"/>
      <c r="X636" s="74"/>
      <c r="Y636" s="227"/>
      <c r="Z636" s="228"/>
      <c r="AA636" s="74"/>
      <c r="AB636" s="74"/>
      <c r="AC636" s="74"/>
      <c r="AD636" s="74"/>
      <c r="AE636" s="7"/>
      <c r="AF636" s="74"/>
      <c r="AG636" s="74"/>
      <c r="AH636" s="7"/>
      <c r="AI636" s="7"/>
      <c r="AJ636" s="7"/>
      <c r="AK636" s="7"/>
      <c r="AL636" s="7"/>
      <c r="AM636" s="7"/>
      <c r="AN636" s="7"/>
      <c r="AO636" s="74"/>
      <c r="AP636" s="7"/>
      <c r="AQ636" s="74"/>
      <c r="AR636" s="101"/>
      <c r="AS636" s="7"/>
      <c r="AT636" s="101"/>
      <c r="AU636" s="7"/>
      <c r="AV636" s="101"/>
      <c r="AW636" s="7"/>
      <c r="AX636" s="8"/>
      <c r="AY636" s="36"/>
      <c r="AZ636" s="74"/>
      <c r="BA636" s="74"/>
      <c r="BB636" s="74"/>
      <c r="BC636" s="74"/>
      <c r="BD636" s="74"/>
      <c r="BE636" s="74"/>
      <c r="BF636" s="74"/>
      <c r="BG636" s="74"/>
      <c r="BH636" s="74"/>
      <c r="BI636" s="74"/>
      <c r="BJ636" s="74"/>
      <c r="BK636" s="7"/>
      <c r="BL636" s="74"/>
      <c r="BM636" s="7"/>
      <c r="BN636" s="74"/>
      <c r="BO636" s="74"/>
      <c r="BP636" s="74"/>
      <c r="BQ636" s="74"/>
      <c r="BR636" s="74"/>
      <c r="BS636" s="74"/>
      <c r="BT636" s="74"/>
      <c r="BU636" s="74"/>
      <c r="BV636" s="74"/>
      <c r="BW636" s="74"/>
      <c r="BX636" s="74"/>
      <c r="BY636" s="74"/>
      <c r="BZ636" s="74"/>
      <c r="CA636" s="74"/>
      <c r="CB636" s="74"/>
      <c r="CC636" s="74"/>
      <c r="CD636" s="74"/>
      <c r="CE636" s="7"/>
      <c r="CF636" s="74"/>
      <c r="CG636" s="74"/>
      <c r="CH636" s="7"/>
      <c r="CI636" s="74"/>
      <c r="CJ636" s="74"/>
      <c r="CK636" s="101"/>
      <c r="CL636" s="74"/>
      <c r="CM636" s="74"/>
      <c r="CN636" s="74"/>
      <c r="CO636" s="101"/>
      <c r="CP636" s="74"/>
      <c r="CQ636" s="74"/>
      <c r="CR636" s="74"/>
      <c r="CS636" s="74"/>
      <c r="CT636" s="74"/>
      <c r="CU636" s="74"/>
      <c r="CV636" s="74"/>
      <c r="CW636" s="74"/>
      <c r="CX636" s="74"/>
      <c r="CY636" s="74"/>
      <c r="CZ636" s="74"/>
      <c r="DA636" s="74"/>
      <c r="DB636" s="74"/>
      <c r="DC636" s="74"/>
      <c r="DD636" s="74"/>
      <c r="DE636" s="74"/>
      <c r="DF636" s="74"/>
      <c r="DG636" s="74"/>
      <c r="DH636" s="74"/>
      <c r="DI636" s="74"/>
      <c r="DJ636" s="74"/>
      <c r="DK636" s="74"/>
      <c r="DL636" s="74"/>
      <c r="DM636" s="74"/>
      <c r="DN636" s="74"/>
      <c r="DO636" s="74"/>
      <c r="DP636" s="74"/>
      <c r="DQ636" s="74"/>
      <c r="DR636" s="74"/>
      <c r="DS636" s="74"/>
      <c r="DT636" s="74"/>
      <c r="DU636" s="74"/>
      <c r="DV636" s="74"/>
      <c r="DW636" s="74"/>
      <c r="DX636" s="74"/>
      <c r="DY636" s="74"/>
      <c r="DZ636" s="8">
        <f t="shared" si="164"/>
        <v>0</v>
      </c>
      <c r="EA636" s="3">
        <f t="shared" si="165"/>
        <v>0</v>
      </c>
      <c r="EB636" s="2">
        <f t="shared" si="166"/>
        <v>0</v>
      </c>
      <c r="EC636" s="112">
        <f t="shared" si="175"/>
        <v>0</v>
      </c>
      <c r="ED636" s="29">
        <f t="shared" si="167"/>
        <v>0</v>
      </c>
      <c r="EE636" s="2">
        <f t="shared" si="168"/>
        <v>0</v>
      </c>
      <c r="EF636" s="46">
        <f t="shared" si="169"/>
        <v>0</v>
      </c>
      <c r="EG636" s="46">
        <f t="shared" si="170"/>
        <v>0</v>
      </c>
      <c r="EH636" s="29">
        <f t="shared" si="171"/>
        <v>0</v>
      </c>
      <c r="EI636" s="29">
        <f>IF(COUNT(I636:AD636)&lt;5,DZ636,SUMPRODUCT(LARGE(I636:AD636,{1,2,3,4,5}))/5)</f>
        <v>0</v>
      </c>
      <c r="EJ636" s="29">
        <f>IF(COUNT(I636:BE636)&lt;5,DZ636,SUMPRODUCT(LARGE(I636:BE636,{1,2,3,4,5}))/5)</f>
        <v>0</v>
      </c>
      <c r="EK636" s="29">
        <f t="shared" si="173"/>
        <v>0</v>
      </c>
      <c r="EL636" s="29">
        <f>(EK636*100)/101.28</f>
        <v>0</v>
      </c>
      <c r="EM636" s="116">
        <f t="shared" si="172"/>
        <v>0</v>
      </c>
      <c r="EQ636"/>
    </row>
    <row r="637" spans="1:147" x14ac:dyDescent="0.25">
      <c r="A637" s="59"/>
      <c r="B637" s="32"/>
      <c r="C637" s="5"/>
      <c r="D637" s="6"/>
      <c r="E637" s="6"/>
      <c r="F637" s="6"/>
      <c r="G637" s="5"/>
      <c r="H637" s="37"/>
      <c r="I637" s="107"/>
      <c r="J637" s="7"/>
      <c r="K637" s="74"/>
      <c r="L637" s="7"/>
      <c r="M637" s="74"/>
      <c r="N637" s="74"/>
      <c r="O637" s="7"/>
      <c r="P637" s="74"/>
      <c r="Q637" s="7"/>
      <c r="R637" s="74"/>
      <c r="S637" s="74"/>
      <c r="T637" s="7"/>
      <c r="U637" s="7"/>
      <c r="V637" s="74"/>
      <c r="W637" s="74"/>
      <c r="X637" s="74"/>
      <c r="Y637" s="227"/>
      <c r="Z637" s="228"/>
      <c r="AA637" s="74"/>
      <c r="AB637" s="74"/>
      <c r="AC637" s="74"/>
      <c r="AD637" s="74"/>
      <c r="AE637" s="7"/>
      <c r="AF637" s="74"/>
      <c r="AG637" s="74"/>
      <c r="AH637" s="7"/>
      <c r="AI637" s="7"/>
      <c r="AJ637" s="7"/>
      <c r="AK637" s="7"/>
      <c r="AL637" s="7"/>
      <c r="AM637" s="7"/>
      <c r="AN637" s="7"/>
      <c r="AO637" s="74"/>
      <c r="AP637" s="7"/>
      <c r="AQ637" s="74"/>
      <c r="AR637" s="101"/>
      <c r="AS637" s="7"/>
      <c r="AT637" s="101"/>
      <c r="AU637" s="7"/>
      <c r="AV637" s="101"/>
      <c r="AW637" s="7"/>
      <c r="AX637" s="8"/>
      <c r="AY637" s="36"/>
      <c r="AZ637" s="74"/>
      <c r="BA637" s="74"/>
      <c r="BB637" s="74"/>
      <c r="BC637" s="74"/>
      <c r="BD637" s="74"/>
      <c r="BE637" s="74"/>
      <c r="BF637" s="74"/>
      <c r="BG637" s="74"/>
      <c r="BH637" s="74"/>
      <c r="BI637" s="74"/>
      <c r="BJ637" s="74"/>
      <c r="BK637" s="7"/>
      <c r="BL637" s="74"/>
      <c r="BM637" s="7"/>
      <c r="BN637" s="74"/>
      <c r="BO637" s="74"/>
      <c r="BP637" s="74"/>
      <c r="BQ637" s="74"/>
      <c r="BR637" s="74"/>
      <c r="BS637" s="74"/>
      <c r="BT637" s="74"/>
      <c r="BU637" s="74"/>
      <c r="BV637" s="74"/>
      <c r="BW637" s="74"/>
      <c r="BX637" s="74"/>
      <c r="BY637" s="74"/>
      <c r="BZ637" s="74"/>
      <c r="CA637" s="74"/>
      <c r="CB637" s="74"/>
      <c r="CC637" s="74"/>
      <c r="CD637" s="74"/>
      <c r="CE637" s="7"/>
      <c r="CF637" s="74"/>
      <c r="CG637" s="74"/>
      <c r="CH637" s="7"/>
      <c r="CI637" s="74"/>
      <c r="CJ637" s="74"/>
      <c r="CK637" s="101"/>
      <c r="CL637" s="74"/>
      <c r="CM637" s="74"/>
      <c r="CN637" s="74"/>
      <c r="CO637" s="101"/>
      <c r="CP637" s="74"/>
      <c r="CQ637" s="74"/>
      <c r="CR637" s="74"/>
      <c r="CS637" s="74"/>
      <c r="CT637" s="74"/>
      <c r="CU637" s="74"/>
      <c r="CV637" s="74"/>
      <c r="CW637" s="74"/>
      <c r="CX637" s="74"/>
      <c r="CY637" s="74"/>
      <c r="CZ637" s="74"/>
      <c r="DA637" s="74"/>
      <c r="DB637" s="74"/>
      <c r="DC637" s="74"/>
      <c r="DD637" s="74"/>
      <c r="DE637" s="74"/>
      <c r="DF637" s="74"/>
      <c r="DG637" s="74"/>
      <c r="DH637" s="74"/>
      <c r="DI637" s="74"/>
      <c r="DJ637" s="74"/>
      <c r="DK637" s="74"/>
      <c r="DL637" s="74"/>
      <c r="DM637" s="74"/>
      <c r="DN637" s="74"/>
      <c r="DO637" s="74"/>
      <c r="DP637" s="74"/>
      <c r="DQ637" s="74"/>
      <c r="DR637" s="74"/>
      <c r="DS637" s="74"/>
      <c r="DT637" s="74"/>
      <c r="DU637" s="74"/>
      <c r="DV637" s="74"/>
      <c r="DW637" s="74"/>
      <c r="DX637" s="74"/>
      <c r="DY637" s="74"/>
      <c r="DZ637" s="8">
        <f t="shared" si="164"/>
        <v>0</v>
      </c>
      <c r="EA637" s="3">
        <f t="shared" si="165"/>
        <v>0</v>
      </c>
      <c r="EB637" s="2">
        <f t="shared" si="166"/>
        <v>0</v>
      </c>
      <c r="EC637" s="112">
        <f t="shared" si="175"/>
        <v>0</v>
      </c>
      <c r="ED637" s="29">
        <f t="shared" si="167"/>
        <v>0</v>
      </c>
      <c r="EE637" s="2">
        <f t="shared" si="168"/>
        <v>0</v>
      </c>
      <c r="EF637" s="46">
        <f t="shared" si="169"/>
        <v>0</v>
      </c>
      <c r="EG637" s="46">
        <f t="shared" si="170"/>
        <v>0</v>
      </c>
      <c r="EH637" s="29">
        <f t="shared" si="171"/>
        <v>0</v>
      </c>
      <c r="EI637" s="29">
        <f>IF(COUNT(I637:AD637)&lt;5,DZ637,SUMPRODUCT(LARGE(I637:AD637,{1,2,3,4,5}))/5)</f>
        <v>0</v>
      </c>
      <c r="EJ637" s="29">
        <f>IF(COUNT(I637:BE637)&lt;5,DZ637,SUMPRODUCT(LARGE(I637:BE637,{1,2,3,4,5}))/5)</f>
        <v>0</v>
      </c>
      <c r="EK637" s="29">
        <f t="shared" si="173"/>
        <v>0</v>
      </c>
      <c r="EL637" s="29">
        <f>(EK637*100)/101.28</f>
        <v>0</v>
      </c>
      <c r="EM637" s="116">
        <f t="shared" si="172"/>
        <v>0</v>
      </c>
      <c r="EQ637"/>
    </row>
    <row r="638" spans="1:147" x14ac:dyDescent="0.25">
      <c r="A638" s="59"/>
      <c r="B638" s="32"/>
      <c r="C638" s="5"/>
      <c r="D638" s="6"/>
      <c r="E638" s="6"/>
      <c r="F638" s="6"/>
      <c r="G638" s="5"/>
      <c r="H638" s="37"/>
      <c r="I638" s="36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227"/>
      <c r="Z638" s="228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4"/>
      <c r="AP638" s="7"/>
      <c r="AQ638" s="74"/>
      <c r="AR638" s="70"/>
      <c r="AS638" s="7"/>
      <c r="AT638" s="70"/>
      <c r="AU638" s="7"/>
      <c r="AV638" s="70"/>
      <c r="AW638" s="7"/>
      <c r="AX638" s="8"/>
      <c r="AY638" s="36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4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4"/>
      <c r="CG638" s="7"/>
      <c r="CH638" s="7"/>
      <c r="CI638" s="7"/>
      <c r="CJ638" s="7"/>
      <c r="CK638" s="101"/>
      <c r="CL638" s="74"/>
      <c r="CM638" s="74"/>
      <c r="CN638" s="74"/>
      <c r="CO638" s="70"/>
      <c r="CP638" s="74"/>
      <c r="CQ638" s="7"/>
      <c r="CR638" s="74"/>
      <c r="CS638" s="74"/>
      <c r="CT638" s="74"/>
      <c r="CU638" s="74"/>
      <c r="CV638" s="7"/>
      <c r="CW638" s="7"/>
      <c r="CX638" s="7"/>
      <c r="CY638" s="7"/>
      <c r="CZ638" s="7"/>
      <c r="DA638" s="7"/>
      <c r="DB638" s="7"/>
      <c r="DC638" s="7"/>
      <c r="DD638" s="7"/>
      <c r="DE638" s="74"/>
      <c r="DF638" s="74"/>
      <c r="DG638" s="74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8">
        <f t="shared" si="164"/>
        <v>0</v>
      </c>
      <c r="EA638" s="3">
        <f t="shared" si="165"/>
        <v>0</v>
      </c>
      <c r="EB638" s="2">
        <f t="shared" si="166"/>
        <v>0</v>
      </c>
      <c r="EC638" s="112">
        <f t="shared" si="175"/>
        <v>0</v>
      </c>
      <c r="ED638" s="29">
        <f t="shared" si="167"/>
        <v>0</v>
      </c>
      <c r="EE638" s="2">
        <f t="shared" si="168"/>
        <v>0</v>
      </c>
      <c r="EF638" s="46">
        <f t="shared" si="169"/>
        <v>0</v>
      </c>
      <c r="EG638" s="46">
        <f t="shared" si="170"/>
        <v>0</v>
      </c>
      <c r="EH638" s="2">
        <f t="shared" si="171"/>
        <v>0</v>
      </c>
      <c r="EI638" s="29">
        <f>IF(COUNT(I638:AD638)&lt;5,DZ638,SUMPRODUCT(LARGE(I638:AD638,{1,2,3,4,5}))/5)</f>
        <v>0</v>
      </c>
      <c r="EJ638" s="29">
        <f>IF(COUNT(I638:BE638)&lt;5,DZ638,SUMPRODUCT(LARGE(I638:BE638,{1,2,3,4,5}))/5)</f>
        <v>0</v>
      </c>
      <c r="EK638" s="29">
        <f t="shared" si="173"/>
        <v>0</v>
      </c>
      <c r="EL638" s="29">
        <f>(EK638*100)/101.59</f>
        <v>0</v>
      </c>
      <c r="EM638" s="116">
        <f t="shared" si="172"/>
        <v>0</v>
      </c>
      <c r="EQ638"/>
    </row>
    <row r="639" spans="1:147" x14ac:dyDescent="0.25">
      <c r="A639" s="59"/>
      <c r="B639" s="32"/>
      <c r="C639" s="5"/>
      <c r="D639" s="6"/>
      <c r="E639" s="6"/>
      <c r="F639" s="6"/>
      <c r="G639" s="5"/>
      <c r="H639" s="99"/>
      <c r="I639" s="36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227"/>
      <c r="Z639" s="228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4"/>
      <c r="AP639" s="7"/>
      <c r="AQ639" s="74"/>
      <c r="AR639" s="70"/>
      <c r="AS639" s="7"/>
      <c r="AT639" s="70"/>
      <c r="AU639" s="7"/>
      <c r="AV639" s="70"/>
      <c r="AW639" s="7"/>
      <c r="AX639" s="183"/>
      <c r="AY639" s="10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4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101"/>
      <c r="CL639" s="74"/>
      <c r="CM639" s="7"/>
      <c r="CN639" s="74"/>
      <c r="CO639" s="70"/>
      <c r="CP639" s="74"/>
      <c r="CQ639" s="7"/>
      <c r="CR639" s="74"/>
      <c r="CS639" s="74"/>
      <c r="CT639" s="7"/>
      <c r="CU639" s="74"/>
      <c r="CV639" s="7"/>
      <c r="CW639" s="7"/>
      <c r="CX639" s="7"/>
      <c r="CY639" s="7"/>
      <c r="CZ639" s="7"/>
      <c r="DA639" s="7"/>
      <c r="DB639" s="7"/>
      <c r="DC639" s="7"/>
      <c r="DD639" s="7"/>
      <c r="DE639" s="74"/>
      <c r="DF639" s="74"/>
      <c r="DG639" s="74"/>
      <c r="DH639" s="7"/>
      <c r="DI639" s="74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8">
        <f t="shared" si="164"/>
        <v>0</v>
      </c>
      <c r="EA639" s="3">
        <f t="shared" si="165"/>
        <v>0</v>
      </c>
      <c r="EB639" s="2">
        <f t="shared" si="166"/>
        <v>0</v>
      </c>
      <c r="EC639" s="112">
        <f t="shared" si="175"/>
        <v>0</v>
      </c>
      <c r="ED639" s="29">
        <f t="shared" si="167"/>
        <v>0</v>
      </c>
      <c r="EE639" s="2">
        <f t="shared" si="168"/>
        <v>0</v>
      </c>
      <c r="EF639" s="46">
        <f t="shared" si="169"/>
        <v>0</v>
      </c>
      <c r="EG639" s="46">
        <f t="shared" si="170"/>
        <v>0</v>
      </c>
      <c r="EH639" s="2">
        <f t="shared" si="171"/>
        <v>0</v>
      </c>
      <c r="EI639" s="29">
        <f>IF(COUNT(I639:AD639)&lt;5,DZ639,SUMPRODUCT(LARGE(I639:AD639,{1,2,3,4,5}))/5)</f>
        <v>0</v>
      </c>
      <c r="EJ639" s="29">
        <f>IF(COUNT(I639:BE639)&lt;5,DZ639,SUMPRODUCT(LARGE(I639:BE639,{1,2,3,4,5}))/5)</f>
        <v>0</v>
      </c>
      <c r="EK639" s="29">
        <f t="shared" si="173"/>
        <v>0</v>
      </c>
      <c r="EL639" s="29">
        <f>(EK639*100)/101.28</f>
        <v>0</v>
      </c>
      <c r="EM639" s="116">
        <f t="shared" si="172"/>
        <v>0</v>
      </c>
      <c r="EQ639"/>
    </row>
    <row r="640" spans="1:147" x14ac:dyDescent="0.25">
      <c r="A640" s="59"/>
      <c r="B640" s="32"/>
      <c r="C640" s="5"/>
      <c r="D640" s="6"/>
      <c r="E640" s="6"/>
      <c r="F640" s="6"/>
      <c r="G640" s="5"/>
      <c r="H640" s="37"/>
      <c r="I640" s="36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227"/>
      <c r="Z640" s="228"/>
      <c r="AA640" s="7"/>
      <c r="AB640" s="7"/>
      <c r="AC640" s="7"/>
      <c r="AD640" s="74"/>
      <c r="AE640" s="74"/>
      <c r="AF640" s="7"/>
      <c r="AG640" s="7"/>
      <c r="AH640" s="7"/>
      <c r="AI640" s="7"/>
      <c r="AJ640" s="7"/>
      <c r="AK640" s="7"/>
      <c r="AL640" s="7"/>
      <c r="AM640" s="7"/>
      <c r="AN640" s="7"/>
      <c r="AO640" s="74"/>
      <c r="AP640" s="7"/>
      <c r="AQ640" s="74"/>
      <c r="AR640" s="70"/>
      <c r="AS640" s="7"/>
      <c r="AT640" s="70"/>
      <c r="AU640" s="7"/>
      <c r="AV640" s="70"/>
      <c r="AW640" s="7"/>
      <c r="AX640" s="183"/>
      <c r="AY640" s="107"/>
      <c r="AZ640" s="70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4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4"/>
      <c r="CI640" s="7"/>
      <c r="CJ640" s="7"/>
      <c r="CK640" s="101"/>
      <c r="CL640" s="74"/>
      <c r="CM640" s="74"/>
      <c r="CN640" s="74"/>
      <c r="CO640" s="70"/>
      <c r="CP640" s="74"/>
      <c r="CQ640" s="7"/>
      <c r="CR640" s="74"/>
      <c r="CS640" s="74"/>
      <c r="CT640" s="74"/>
      <c r="CU640" s="74"/>
      <c r="CV640" s="7"/>
      <c r="CW640" s="7"/>
      <c r="CX640" s="7"/>
      <c r="CY640" s="7"/>
      <c r="CZ640" s="7"/>
      <c r="DA640" s="7"/>
      <c r="DB640" s="7"/>
      <c r="DC640" s="7"/>
      <c r="DD640" s="7"/>
      <c r="DE640" s="74"/>
      <c r="DF640" s="74"/>
      <c r="DG640" s="74"/>
      <c r="DH640" s="7"/>
      <c r="DI640" s="74"/>
      <c r="DJ640" s="7"/>
      <c r="DK640" s="7"/>
      <c r="DL640" s="7"/>
      <c r="DM640" s="7"/>
      <c r="DN640" s="7"/>
      <c r="DO640" s="7"/>
      <c r="DP640" s="7"/>
      <c r="DQ640" s="7"/>
      <c r="DR640" s="7"/>
      <c r="DS640" s="74"/>
      <c r="DT640" s="7"/>
      <c r="DU640" s="7"/>
      <c r="DV640" s="7"/>
      <c r="DW640" s="74"/>
      <c r="DX640" s="74"/>
      <c r="DY640" s="7"/>
      <c r="DZ640" s="8">
        <f t="shared" si="164"/>
        <v>0</v>
      </c>
      <c r="EA640" s="3">
        <f t="shared" si="165"/>
        <v>0</v>
      </c>
      <c r="EB640" s="2">
        <f t="shared" si="166"/>
        <v>0</v>
      </c>
      <c r="EC640" s="112">
        <f t="shared" si="175"/>
        <v>0</v>
      </c>
      <c r="ED640" s="29">
        <f t="shared" si="167"/>
        <v>0</v>
      </c>
      <c r="EE640" s="2">
        <f t="shared" si="168"/>
        <v>0</v>
      </c>
      <c r="EF640" s="46">
        <f t="shared" si="169"/>
        <v>0</v>
      </c>
      <c r="EG640" s="46">
        <f t="shared" si="170"/>
        <v>0</v>
      </c>
      <c r="EH640" s="2">
        <f t="shared" si="171"/>
        <v>0</v>
      </c>
      <c r="EI640" s="29">
        <f>IF(COUNT(I640:AD640)&lt;5,DZ640,SUMPRODUCT(LARGE(I640:AD640,{1,2,3,4,5}))/5)</f>
        <v>0</v>
      </c>
      <c r="EJ640" s="29">
        <f>IF(COUNT(I640:BE640)&lt;5,DZ640,SUMPRODUCT(LARGE(I640:BE640,{1,2,3,4,5}))/5)</f>
        <v>0</v>
      </c>
      <c r="EK640" s="29">
        <f t="shared" si="173"/>
        <v>0</v>
      </c>
      <c r="EL640" s="29">
        <f>(EK640*100)/101.59</f>
        <v>0</v>
      </c>
      <c r="EM640" s="116">
        <f t="shared" si="172"/>
        <v>0</v>
      </c>
      <c r="EQ640"/>
    </row>
    <row r="641" spans="1:147" x14ac:dyDescent="0.25">
      <c r="A641" s="59"/>
      <c r="B641" s="32"/>
      <c r="C641" s="5"/>
      <c r="D641" s="6"/>
      <c r="E641" s="6"/>
      <c r="F641" s="6"/>
      <c r="G641" s="5"/>
      <c r="H641" s="99"/>
      <c r="I641" s="36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227"/>
      <c r="Z641" s="228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4"/>
      <c r="AP641" s="7"/>
      <c r="AQ641" s="74"/>
      <c r="AR641" s="70"/>
      <c r="AS641" s="7"/>
      <c r="AT641" s="70"/>
      <c r="AU641" s="7"/>
      <c r="AV641" s="70"/>
      <c r="AW641" s="7"/>
      <c r="AX641" s="8"/>
      <c r="AY641" s="36"/>
      <c r="AZ641" s="70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4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0"/>
      <c r="CK641" s="101"/>
      <c r="CL641" s="101"/>
      <c r="CM641" s="74"/>
      <c r="CN641" s="74"/>
      <c r="CO641" s="70"/>
      <c r="CP641" s="74"/>
      <c r="CQ641" s="7"/>
      <c r="CR641" s="74"/>
      <c r="CS641" s="74"/>
      <c r="CT641" s="74"/>
      <c r="CU641" s="74"/>
      <c r="CV641" s="7"/>
      <c r="CW641" s="7"/>
      <c r="CX641" s="7"/>
      <c r="CY641" s="7"/>
      <c r="CZ641" s="7"/>
      <c r="DA641" s="7"/>
      <c r="DB641" s="7"/>
      <c r="DC641" s="7"/>
      <c r="DD641" s="7"/>
      <c r="DE641" s="74"/>
      <c r="DF641" s="74"/>
      <c r="DG641" s="74"/>
      <c r="DH641" s="7"/>
      <c r="DI641" s="74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8">
        <f t="shared" si="164"/>
        <v>0</v>
      </c>
      <c r="EA641" s="3">
        <f t="shared" si="165"/>
        <v>0</v>
      </c>
      <c r="EB641" s="2">
        <f t="shared" si="166"/>
        <v>0</v>
      </c>
      <c r="EC641" s="112">
        <f t="shared" si="175"/>
        <v>0</v>
      </c>
      <c r="ED641" s="29">
        <f t="shared" si="167"/>
        <v>0</v>
      </c>
      <c r="EE641" s="2">
        <f t="shared" si="168"/>
        <v>0</v>
      </c>
      <c r="EF641" s="46">
        <f t="shared" si="169"/>
        <v>0</v>
      </c>
      <c r="EG641" s="46">
        <f t="shared" si="170"/>
        <v>0</v>
      </c>
      <c r="EH641" s="2">
        <f t="shared" si="171"/>
        <v>0</v>
      </c>
      <c r="EI641" s="29">
        <f>IF(COUNT(I641:AD641)&lt;5,DZ641,SUMPRODUCT(LARGE(I641:AD641,{1,2,3,4,5}))/5)</f>
        <v>0</v>
      </c>
      <c r="EJ641" s="29">
        <f>IF(COUNT(I641:BE641)&lt;5,DZ641,SUMPRODUCT(LARGE(I641:BE641,{1,2,3,4,5}))/5)</f>
        <v>0</v>
      </c>
      <c r="EK641" s="29">
        <f t="shared" si="173"/>
        <v>0</v>
      </c>
      <c r="EL641" s="29">
        <f>(EK641*100)/101.28</f>
        <v>0</v>
      </c>
      <c r="EM641" s="116">
        <f t="shared" si="172"/>
        <v>0</v>
      </c>
      <c r="EQ641"/>
    </row>
    <row r="642" spans="1:147" x14ac:dyDescent="0.25">
      <c r="A642" s="59"/>
      <c r="B642" s="33"/>
      <c r="C642" s="5"/>
      <c r="D642" s="6"/>
      <c r="E642" s="6"/>
      <c r="F642" s="6"/>
      <c r="G642" s="5"/>
      <c r="H642" s="37"/>
      <c r="I642" s="107"/>
      <c r="J642" s="7"/>
      <c r="K642" s="74"/>
      <c r="L642" s="7"/>
      <c r="M642" s="74"/>
      <c r="N642" s="74"/>
      <c r="O642" s="7"/>
      <c r="P642" s="74"/>
      <c r="Q642" s="7"/>
      <c r="R642" s="74"/>
      <c r="S642" s="74"/>
      <c r="T642" s="7"/>
      <c r="U642" s="7"/>
      <c r="V642" s="74"/>
      <c r="W642" s="74"/>
      <c r="X642" s="74"/>
      <c r="Y642" s="227"/>
      <c r="Z642" s="228"/>
      <c r="AA642" s="74"/>
      <c r="AB642" s="74"/>
      <c r="AC642" s="74"/>
      <c r="AD642" s="74"/>
      <c r="AE642" s="7"/>
      <c r="AF642" s="74"/>
      <c r="AG642" s="74"/>
      <c r="AH642" s="7"/>
      <c r="AI642" s="7"/>
      <c r="AJ642" s="7"/>
      <c r="AK642" s="7"/>
      <c r="AL642" s="7"/>
      <c r="AM642" s="7"/>
      <c r="AN642" s="7"/>
      <c r="AO642" s="74"/>
      <c r="AP642" s="7"/>
      <c r="AQ642" s="74"/>
      <c r="AR642" s="101"/>
      <c r="AS642" s="7"/>
      <c r="AT642" s="101"/>
      <c r="AU642" s="7"/>
      <c r="AV642" s="101"/>
      <c r="AW642" s="7"/>
      <c r="AX642" s="8"/>
      <c r="AY642" s="36"/>
      <c r="AZ642" s="74"/>
      <c r="BA642" s="74"/>
      <c r="BB642" s="74"/>
      <c r="BC642" s="74"/>
      <c r="BD642" s="74"/>
      <c r="BE642" s="74"/>
      <c r="BF642" s="74"/>
      <c r="BG642" s="74"/>
      <c r="BH642" s="74"/>
      <c r="BI642" s="74"/>
      <c r="BJ642" s="74"/>
      <c r="BK642" s="7"/>
      <c r="BL642" s="74"/>
      <c r="BM642" s="7"/>
      <c r="BN642" s="74"/>
      <c r="BO642" s="74"/>
      <c r="BP642" s="74"/>
      <c r="BQ642" s="74"/>
      <c r="BR642" s="74"/>
      <c r="BS642" s="74"/>
      <c r="BT642" s="74"/>
      <c r="BU642" s="74"/>
      <c r="BV642" s="74"/>
      <c r="BW642" s="74"/>
      <c r="BX642" s="74"/>
      <c r="BY642" s="74"/>
      <c r="BZ642" s="74"/>
      <c r="CA642" s="74"/>
      <c r="CB642" s="74"/>
      <c r="CC642" s="74"/>
      <c r="CD642" s="74"/>
      <c r="CE642" s="7"/>
      <c r="CF642" s="74"/>
      <c r="CG642" s="74"/>
      <c r="CH642" s="7"/>
      <c r="CI642" s="74"/>
      <c r="CJ642" s="74"/>
      <c r="CK642" s="101"/>
      <c r="CL642" s="74"/>
      <c r="CM642" s="74"/>
      <c r="CN642" s="74"/>
      <c r="CO642" s="101"/>
      <c r="CP642" s="74"/>
      <c r="CQ642" s="74"/>
      <c r="CR642" s="74"/>
      <c r="CS642" s="74"/>
      <c r="CT642" s="74"/>
      <c r="CU642" s="74"/>
      <c r="CV642" s="74"/>
      <c r="CW642" s="74"/>
      <c r="CX642" s="74"/>
      <c r="CY642" s="74"/>
      <c r="CZ642" s="74"/>
      <c r="DA642" s="74"/>
      <c r="DB642" s="74"/>
      <c r="DC642" s="74"/>
      <c r="DD642" s="74"/>
      <c r="DE642" s="74"/>
      <c r="DF642" s="74"/>
      <c r="DG642" s="74"/>
      <c r="DH642" s="74"/>
      <c r="DI642" s="74"/>
      <c r="DJ642" s="74"/>
      <c r="DK642" s="74"/>
      <c r="DL642" s="74"/>
      <c r="DM642" s="74"/>
      <c r="DN642" s="74"/>
      <c r="DO642" s="74"/>
      <c r="DP642" s="74"/>
      <c r="DQ642" s="74"/>
      <c r="DR642" s="74"/>
      <c r="DS642" s="74"/>
      <c r="DT642" s="74"/>
      <c r="DU642" s="74"/>
      <c r="DV642" s="74"/>
      <c r="DW642" s="74"/>
      <c r="DX642" s="74"/>
      <c r="DY642" s="74"/>
      <c r="DZ642" s="8">
        <f t="shared" si="164"/>
        <v>0</v>
      </c>
      <c r="EA642" s="3">
        <f t="shared" si="165"/>
        <v>0</v>
      </c>
      <c r="EB642" s="2">
        <f t="shared" si="166"/>
        <v>0</v>
      </c>
      <c r="EC642" s="112">
        <f t="shared" si="175"/>
        <v>0</v>
      </c>
      <c r="ED642" s="29">
        <f t="shared" si="167"/>
        <v>0</v>
      </c>
      <c r="EE642" s="2">
        <f t="shared" si="168"/>
        <v>0</v>
      </c>
      <c r="EF642" s="46">
        <f t="shared" si="169"/>
        <v>0</v>
      </c>
      <c r="EG642" s="46">
        <f t="shared" si="170"/>
        <v>0</v>
      </c>
      <c r="EH642" s="2">
        <f t="shared" si="171"/>
        <v>0</v>
      </c>
      <c r="EI642" s="29">
        <f>IF(COUNT(I642:AD642)&lt;5,DZ642,SUMPRODUCT(LARGE(I642:AD642,{1,2,3,4,5}))/5)</f>
        <v>0</v>
      </c>
      <c r="EJ642" s="29">
        <f>IF(COUNT(I642:BE642)&lt;5,DZ642,SUMPRODUCT(LARGE(I642:BE642,{1,2,3,4,5}))/5)</f>
        <v>0</v>
      </c>
      <c r="EK642" s="29">
        <f t="shared" si="173"/>
        <v>0</v>
      </c>
      <c r="EL642" s="29">
        <f>(EK642*100)/101.28</f>
        <v>0</v>
      </c>
      <c r="EM642" s="116">
        <f t="shared" si="172"/>
        <v>0</v>
      </c>
      <c r="EQ642"/>
    </row>
    <row r="643" spans="1:147" x14ac:dyDescent="0.25">
      <c r="A643" s="59"/>
      <c r="B643" s="32"/>
      <c r="C643" s="5"/>
      <c r="D643" s="6"/>
      <c r="E643" s="6"/>
      <c r="F643" s="6"/>
      <c r="G643" s="5"/>
      <c r="H643" s="37"/>
      <c r="I643" s="107"/>
      <c r="J643" s="7"/>
      <c r="K643" s="74"/>
      <c r="L643" s="7"/>
      <c r="M643" s="74"/>
      <c r="N643" s="74"/>
      <c r="O643" s="7"/>
      <c r="P643" s="74"/>
      <c r="Q643" s="7"/>
      <c r="R643" s="74"/>
      <c r="S643" s="74"/>
      <c r="T643" s="7"/>
      <c r="U643" s="7"/>
      <c r="V643" s="74"/>
      <c r="W643" s="74"/>
      <c r="X643" s="74"/>
      <c r="Y643" s="227"/>
      <c r="Z643" s="228"/>
      <c r="AA643" s="74"/>
      <c r="AB643" s="74"/>
      <c r="AC643" s="74"/>
      <c r="AD643" s="74"/>
      <c r="AE643" s="7"/>
      <c r="AF643" s="74"/>
      <c r="AG643" s="74"/>
      <c r="AH643" s="7"/>
      <c r="AI643" s="7"/>
      <c r="AJ643" s="7"/>
      <c r="AK643" s="7"/>
      <c r="AL643" s="7"/>
      <c r="AM643" s="7"/>
      <c r="AN643" s="7"/>
      <c r="AO643" s="74"/>
      <c r="AP643" s="7"/>
      <c r="AQ643" s="74"/>
      <c r="AR643" s="101"/>
      <c r="AS643" s="7"/>
      <c r="AT643" s="101"/>
      <c r="AU643" s="7"/>
      <c r="AV643" s="101"/>
      <c r="AW643" s="7"/>
      <c r="AX643" s="8"/>
      <c r="AY643" s="36"/>
      <c r="AZ643" s="74"/>
      <c r="BA643" s="74"/>
      <c r="BB643" s="74"/>
      <c r="BC643" s="74"/>
      <c r="BD643" s="74"/>
      <c r="BE643" s="74"/>
      <c r="BF643" s="74"/>
      <c r="BG643" s="74"/>
      <c r="BH643" s="74"/>
      <c r="BI643" s="74"/>
      <c r="BJ643" s="74"/>
      <c r="BK643" s="7"/>
      <c r="BL643" s="74"/>
      <c r="BM643" s="7"/>
      <c r="BN643" s="74"/>
      <c r="BO643" s="74"/>
      <c r="BP643" s="74"/>
      <c r="BQ643" s="74"/>
      <c r="BR643" s="74"/>
      <c r="BS643" s="74"/>
      <c r="BT643" s="74"/>
      <c r="BU643" s="74"/>
      <c r="BV643" s="74"/>
      <c r="BW643" s="74"/>
      <c r="BX643" s="74"/>
      <c r="BY643" s="74"/>
      <c r="BZ643" s="74"/>
      <c r="CA643" s="74"/>
      <c r="CB643" s="74"/>
      <c r="CC643" s="74"/>
      <c r="CD643" s="74"/>
      <c r="CE643" s="7"/>
      <c r="CF643" s="74"/>
      <c r="CG643" s="74"/>
      <c r="CH643" s="7"/>
      <c r="CI643" s="74"/>
      <c r="CJ643" s="74"/>
      <c r="CK643" s="101"/>
      <c r="CL643" s="74"/>
      <c r="CM643" s="74"/>
      <c r="CN643" s="74"/>
      <c r="CO643" s="101"/>
      <c r="CP643" s="74"/>
      <c r="CQ643" s="74"/>
      <c r="CR643" s="74"/>
      <c r="CS643" s="74"/>
      <c r="CT643" s="74"/>
      <c r="CU643" s="74"/>
      <c r="CV643" s="74"/>
      <c r="CW643" s="74"/>
      <c r="CX643" s="74"/>
      <c r="CY643" s="74"/>
      <c r="CZ643" s="74"/>
      <c r="DA643" s="74"/>
      <c r="DB643" s="74"/>
      <c r="DC643" s="74"/>
      <c r="DD643" s="74"/>
      <c r="DE643" s="74"/>
      <c r="DF643" s="74"/>
      <c r="DG643" s="74"/>
      <c r="DH643" s="74"/>
      <c r="DI643" s="74"/>
      <c r="DJ643" s="7"/>
      <c r="DK643" s="74"/>
      <c r="DL643" s="7"/>
      <c r="DM643" s="74"/>
      <c r="DN643" s="74"/>
      <c r="DO643" s="74"/>
      <c r="DP643" s="74"/>
      <c r="DQ643" s="74"/>
      <c r="DR643" s="74"/>
      <c r="DS643" s="74"/>
      <c r="DT643" s="74"/>
      <c r="DU643" s="74"/>
      <c r="DV643" s="74"/>
      <c r="DW643" s="74"/>
      <c r="DX643" s="74"/>
      <c r="DY643" s="74"/>
      <c r="DZ643" s="8">
        <f t="shared" si="164"/>
        <v>0</v>
      </c>
      <c r="EA643" s="3">
        <f t="shared" si="165"/>
        <v>0</v>
      </c>
      <c r="EB643" s="2">
        <f t="shared" si="166"/>
        <v>0</v>
      </c>
      <c r="EC643" s="112">
        <f t="shared" si="175"/>
        <v>0</v>
      </c>
      <c r="ED643" s="29">
        <f t="shared" si="167"/>
        <v>0</v>
      </c>
      <c r="EE643" s="2">
        <f t="shared" si="168"/>
        <v>0</v>
      </c>
      <c r="EF643" s="46">
        <f t="shared" si="169"/>
        <v>0</v>
      </c>
      <c r="EG643" s="46">
        <f t="shared" si="170"/>
        <v>0</v>
      </c>
      <c r="EH643" s="2">
        <f t="shared" si="171"/>
        <v>0</v>
      </c>
      <c r="EI643" s="29">
        <f>IF(COUNT(I643:AD643)&lt;5,DZ643,SUMPRODUCT(LARGE(I643:AD643,{1,2,3,4,5}))/5)</f>
        <v>0</v>
      </c>
      <c r="EJ643" s="29">
        <f>IF(COUNT(I643:BE643)&lt;5,DZ643,SUMPRODUCT(LARGE(I643:BE643,{1,2,3,4,5}))/5)</f>
        <v>0</v>
      </c>
      <c r="EK643" s="29">
        <f t="shared" si="173"/>
        <v>0</v>
      </c>
      <c r="EL643" s="29">
        <f>(EK643*100)/101.28</f>
        <v>0</v>
      </c>
      <c r="EM643" s="116">
        <f t="shared" si="172"/>
        <v>0</v>
      </c>
      <c r="EQ643"/>
    </row>
    <row r="644" spans="1:147" x14ac:dyDescent="0.25">
      <c r="A644" s="59"/>
      <c r="B644" s="32"/>
      <c r="C644" s="5"/>
      <c r="D644" s="6"/>
      <c r="E644" s="6"/>
      <c r="F644" s="6"/>
      <c r="G644" s="5"/>
      <c r="H644" s="37"/>
      <c r="I644" s="107"/>
      <c r="J644" s="7"/>
      <c r="K644" s="74"/>
      <c r="L644" s="7"/>
      <c r="M644" s="74"/>
      <c r="N644" s="74"/>
      <c r="O644" s="7"/>
      <c r="P644" s="74"/>
      <c r="Q644" s="7"/>
      <c r="R644" s="74"/>
      <c r="S644" s="74"/>
      <c r="T644" s="7"/>
      <c r="U644" s="7"/>
      <c r="V644" s="74"/>
      <c r="W644" s="74"/>
      <c r="X644" s="74"/>
      <c r="Y644" s="227"/>
      <c r="Z644" s="228"/>
      <c r="AA644" s="74"/>
      <c r="AB644" s="74"/>
      <c r="AC644" s="74"/>
      <c r="AD644" s="74"/>
      <c r="AE644" s="7"/>
      <c r="AF644" s="74"/>
      <c r="AG644" s="74"/>
      <c r="AH644" s="7"/>
      <c r="AI644" s="7"/>
      <c r="AJ644" s="7"/>
      <c r="AK644" s="7"/>
      <c r="AL644" s="7"/>
      <c r="AM644" s="7"/>
      <c r="AN644" s="7"/>
      <c r="AO644" s="74"/>
      <c r="AP644" s="7"/>
      <c r="AQ644" s="74"/>
      <c r="AR644" s="101"/>
      <c r="AS644" s="7"/>
      <c r="AT644" s="101"/>
      <c r="AU644" s="7"/>
      <c r="AV644" s="101"/>
      <c r="AW644" s="7"/>
      <c r="AX644" s="8"/>
      <c r="AY644" s="36"/>
      <c r="AZ644" s="74"/>
      <c r="BA644" s="74"/>
      <c r="BB644" s="74"/>
      <c r="BC644" s="74"/>
      <c r="BD644" s="74"/>
      <c r="BE644" s="74"/>
      <c r="BF644" s="74"/>
      <c r="BG644" s="74"/>
      <c r="BH644" s="74"/>
      <c r="BI644" s="74"/>
      <c r="BJ644" s="74"/>
      <c r="BK644" s="7"/>
      <c r="BL644" s="74"/>
      <c r="BM644" s="7"/>
      <c r="BN644" s="74"/>
      <c r="BO644" s="74"/>
      <c r="BP644" s="74"/>
      <c r="BQ644" s="74"/>
      <c r="BR644" s="74"/>
      <c r="BS644" s="74"/>
      <c r="BT644" s="74"/>
      <c r="BU644" s="74"/>
      <c r="BV644" s="74"/>
      <c r="BW644" s="74"/>
      <c r="BX644" s="74"/>
      <c r="BY644" s="74"/>
      <c r="BZ644" s="74"/>
      <c r="CA644" s="74"/>
      <c r="CB644" s="74"/>
      <c r="CC644" s="74"/>
      <c r="CD644" s="74"/>
      <c r="CE644" s="7"/>
      <c r="CF644" s="74"/>
      <c r="CG644" s="74"/>
      <c r="CH644" s="7"/>
      <c r="CI644" s="74"/>
      <c r="CJ644" s="74"/>
      <c r="CK644" s="101"/>
      <c r="CL644" s="74"/>
      <c r="CM644" s="74"/>
      <c r="CN644" s="74"/>
      <c r="CO644" s="101"/>
      <c r="CP644" s="74"/>
      <c r="CQ644" s="74"/>
      <c r="CR644" s="74"/>
      <c r="CS644" s="74"/>
      <c r="CT644" s="74"/>
      <c r="CU644" s="74"/>
      <c r="CV644" s="74"/>
      <c r="CW644" s="74"/>
      <c r="CX644" s="74"/>
      <c r="CY644" s="74"/>
      <c r="CZ644" s="74"/>
      <c r="DA644" s="74"/>
      <c r="DB644" s="74"/>
      <c r="DC644" s="74"/>
      <c r="DD644" s="74"/>
      <c r="DE644" s="74"/>
      <c r="DF644" s="74"/>
      <c r="DG644" s="74"/>
      <c r="DH644" s="74"/>
      <c r="DI644" s="74"/>
      <c r="DJ644" s="74"/>
      <c r="DK644" s="74"/>
      <c r="DL644" s="74"/>
      <c r="DM644" s="74"/>
      <c r="DN644" s="74"/>
      <c r="DO644" s="74"/>
      <c r="DP644" s="74"/>
      <c r="DQ644" s="74"/>
      <c r="DR644" s="74"/>
      <c r="DS644" s="74"/>
      <c r="DT644" s="74"/>
      <c r="DU644" s="74"/>
      <c r="DV644" s="74"/>
      <c r="DW644" s="74"/>
      <c r="DX644" s="74"/>
      <c r="DY644" s="74"/>
      <c r="DZ644" s="8">
        <f t="shared" si="164"/>
        <v>0</v>
      </c>
      <c r="EA644" s="3">
        <f t="shared" si="165"/>
        <v>0</v>
      </c>
      <c r="EB644" s="2">
        <f t="shared" si="166"/>
        <v>0</v>
      </c>
      <c r="EC644" s="112">
        <f t="shared" si="175"/>
        <v>0</v>
      </c>
      <c r="ED644" s="29">
        <f t="shared" si="167"/>
        <v>0</v>
      </c>
      <c r="EE644" s="2">
        <f t="shared" si="168"/>
        <v>0</v>
      </c>
      <c r="EF644" s="46">
        <f t="shared" si="169"/>
        <v>0</v>
      </c>
      <c r="EG644" s="46">
        <f t="shared" si="170"/>
        <v>0</v>
      </c>
      <c r="EH644" s="29">
        <f t="shared" si="171"/>
        <v>0</v>
      </c>
      <c r="EI644" s="29">
        <f>IF(COUNT(I644:AD644)&lt;5,DZ644,SUMPRODUCT(LARGE(I644:AD644,{1,2,3,4,5}))/5)</f>
        <v>0</v>
      </c>
      <c r="EJ644" s="29">
        <f>IF(COUNT(I644:BE644)&lt;5,DZ644,SUMPRODUCT(LARGE(I644:BE644,{1,2,3,4,5}))/5)</f>
        <v>0</v>
      </c>
      <c r="EK644" s="29">
        <f t="shared" si="173"/>
        <v>0</v>
      </c>
      <c r="EL644" s="29">
        <f>(EK644*100)/101.28</f>
        <v>0</v>
      </c>
      <c r="EM644" s="116">
        <f t="shared" si="172"/>
        <v>0</v>
      </c>
      <c r="EQ644"/>
    </row>
    <row r="645" spans="1:147" x14ac:dyDescent="0.25">
      <c r="A645" s="59"/>
      <c r="B645" s="32"/>
      <c r="C645" s="5"/>
      <c r="D645" s="6"/>
      <c r="E645" s="6"/>
      <c r="F645" s="6"/>
      <c r="G645" s="5"/>
      <c r="H645" s="37"/>
      <c r="I645" s="36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227"/>
      <c r="Z645" s="228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4"/>
      <c r="AP645" s="7"/>
      <c r="AQ645" s="74"/>
      <c r="AR645" s="70"/>
      <c r="AS645" s="7"/>
      <c r="AT645" s="70"/>
      <c r="AU645" s="7"/>
      <c r="AV645" s="70"/>
      <c r="AW645" s="7"/>
      <c r="AX645" s="183"/>
      <c r="AY645" s="10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4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4"/>
      <c r="CG645" s="7"/>
      <c r="CH645" s="7"/>
      <c r="CI645" s="7"/>
      <c r="CJ645" s="7"/>
      <c r="CK645" s="101"/>
      <c r="CL645" s="74"/>
      <c r="CM645" s="74"/>
      <c r="CN645" s="74"/>
      <c r="CO645" s="70"/>
      <c r="CP645" s="74"/>
      <c r="CQ645" s="7"/>
      <c r="CR645" s="74"/>
      <c r="CS645" s="74"/>
      <c r="CT645" s="74"/>
      <c r="CU645" s="74"/>
      <c r="CV645" s="7"/>
      <c r="CW645" s="7"/>
      <c r="CX645" s="7"/>
      <c r="CY645" s="7"/>
      <c r="CZ645" s="7"/>
      <c r="DA645" s="7"/>
      <c r="DB645" s="7"/>
      <c r="DC645" s="7"/>
      <c r="DD645" s="7"/>
      <c r="DE645" s="74"/>
      <c r="DF645" s="74"/>
      <c r="DG645" s="74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8">
        <f t="shared" ref="DZ645:DZ708" si="178">IF(EB645&gt;0,AVERAGE(I645:DY645),H645)</f>
        <v>0</v>
      </c>
      <c r="EA645" s="3">
        <f t="shared" ref="EA645:EA708" si="179">B645</f>
        <v>0</v>
      </c>
      <c r="EB645" s="2">
        <f t="shared" ref="EB645:EB708" si="180">IF(G645&gt;0,1,0)</f>
        <v>0</v>
      </c>
      <c r="EC645" s="112">
        <f t="shared" si="175"/>
        <v>0</v>
      </c>
      <c r="ED645" s="29">
        <f t="shared" ref="ED645:ED708" si="181">EL645</f>
        <v>0</v>
      </c>
      <c r="EE645" s="2">
        <f t="shared" ref="EE645:EE708" si="182">COUNT(I645:AH645)</f>
        <v>0</v>
      </c>
      <c r="EF645" s="46">
        <f t="shared" ref="EF645:EF708" si="183">COUNT(I645:BQ645)</f>
        <v>0</v>
      </c>
      <c r="EG645" s="46">
        <f t="shared" ref="EG645:EG708" si="184">COUNT(I645:DY645)</f>
        <v>0</v>
      </c>
      <c r="EH645" s="2">
        <f t="shared" ref="EH645:EH708" si="185">D645</f>
        <v>0</v>
      </c>
      <c r="EI645" s="29">
        <f>IF(COUNT(I645:AD645)&lt;5,DZ645,SUMPRODUCT(LARGE(I645:AD645,{1,2,3,4,5}))/5)</f>
        <v>0</v>
      </c>
      <c r="EJ645" s="29">
        <f>IF(COUNT(I645:BE645)&lt;5,DZ645,SUMPRODUCT(LARGE(I645:BE645,{1,2,3,4,5}))/5)</f>
        <v>0</v>
      </c>
      <c r="EK645" s="29">
        <f t="shared" si="173"/>
        <v>0</v>
      </c>
      <c r="EL645" s="29">
        <f>(EK645*100)/101.59</f>
        <v>0</v>
      </c>
      <c r="EM645" s="116">
        <f t="shared" ref="EM645:EM708" si="186">B645</f>
        <v>0</v>
      </c>
      <c r="EQ645"/>
    </row>
    <row r="646" spans="1:147" x14ac:dyDescent="0.25">
      <c r="A646" s="59"/>
      <c r="B646" s="32"/>
      <c r="C646" s="5"/>
      <c r="D646" s="6"/>
      <c r="E646" s="6"/>
      <c r="F646" s="6"/>
      <c r="G646" s="5"/>
      <c r="H646" s="37"/>
      <c r="I646" s="36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227"/>
      <c r="Z646" s="228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4"/>
      <c r="AP646" s="7"/>
      <c r="AQ646" s="74"/>
      <c r="AR646" s="70"/>
      <c r="AS646" s="7"/>
      <c r="AT646" s="70"/>
      <c r="AU646" s="7"/>
      <c r="AV646" s="70"/>
      <c r="AW646" s="7"/>
      <c r="AX646" s="183"/>
      <c r="AY646" s="10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4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101"/>
      <c r="CL646" s="74"/>
      <c r="CM646" s="74"/>
      <c r="CN646" s="74"/>
      <c r="CO646" s="70"/>
      <c r="CP646" s="74"/>
      <c r="CQ646" s="7"/>
      <c r="CR646" s="74"/>
      <c r="CS646" s="74"/>
      <c r="CT646" s="74"/>
      <c r="CU646" s="74"/>
      <c r="CV646" s="7"/>
      <c r="CW646" s="7"/>
      <c r="CX646" s="7"/>
      <c r="CY646" s="7"/>
      <c r="CZ646" s="7"/>
      <c r="DA646" s="7"/>
      <c r="DB646" s="7"/>
      <c r="DC646" s="7"/>
      <c r="DD646" s="7"/>
      <c r="DE646" s="74"/>
      <c r="DF646" s="74"/>
      <c r="DG646" s="74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8">
        <f t="shared" si="178"/>
        <v>0</v>
      </c>
      <c r="EA646" s="3">
        <f t="shared" si="179"/>
        <v>0</v>
      </c>
      <c r="EB646" s="2">
        <f t="shared" si="180"/>
        <v>0</v>
      </c>
      <c r="EC646" s="112">
        <f t="shared" si="175"/>
        <v>0</v>
      </c>
      <c r="ED646" s="29">
        <f t="shared" si="181"/>
        <v>0</v>
      </c>
      <c r="EE646" s="2">
        <f t="shared" si="182"/>
        <v>0</v>
      </c>
      <c r="EF646" s="46">
        <f t="shared" si="183"/>
        <v>0</v>
      </c>
      <c r="EG646" s="46">
        <f t="shared" si="184"/>
        <v>0</v>
      </c>
      <c r="EH646" s="2">
        <f t="shared" si="185"/>
        <v>0</v>
      </c>
      <c r="EI646" s="29">
        <f>IF(COUNT(I646:AD646)&lt;5,DZ646,SUMPRODUCT(LARGE(I646:AD646,{1,2,3,4,5}))/5)</f>
        <v>0</v>
      </c>
      <c r="EJ646" s="29">
        <f>IF(COUNT(I646:BE646)&lt;5,DZ646,SUMPRODUCT(LARGE(I646:BE646,{1,2,3,4,5}))/5)</f>
        <v>0</v>
      </c>
      <c r="EK646" s="29">
        <f t="shared" ref="EK646:EK709" si="187">IF(EG646&lt;0,AVERAGE(I646:DY646),0)</f>
        <v>0</v>
      </c>
      <c r="EL646" s="29">
        <f>(EK646*100)/101.59</f>
        <v>0</v>
      </c>
      <c r="EM646" s="116">
        <f t="shared" si="186"/>
        <v>0</v>
      </c>
      <c r="EQ646"/>
    </row>
    <row r="647" spans="1:147" x14ac:dyDescent="0.25">
      <c r="A647" s="59"/>
      <c r="B647" s="4"/>
      <c r="C647" s="5"/>
      <c r="D647" s="5"/>
      <c r="E647" s="6"/>
      <c r="F647" s="6"/>
      <c r="G647" s="5"/>
      <c r="H647" s="37"/>
      <c r="I647" s="107"/>
      <c r="J647" s="7"/>
      <c r="K647" s="74"/>
      <c r="L647" s="7"/>
      <c r="M647" s="74"/>
      <c r="N647" s="74"/>
      <c r="O647" s="7"/>
      <c r="P647" s="74"/>
      <c r="Q647" s="7"/>
      <c r="R647" s="74"/>
      <c r="S647" s="74"/>
      <c r="T647" s="7"/>
      <c r="U647" s="7"/>
      <c r="V647" s="74"/>
      <c r="W647" s="74"/>
      <c r="X647" s="74"/>
      <c r="Y647" s="227"/>
      <c r="Z647" s="228"/>
      <c r="AA647" s="74"/>
      <c r="AB647" s="74"/>
      <c r="AC647" s="74"/>
      <c r="AD647" s="74"/>
      <c r="AE647" s="7"/>
      <c r="AF647" s="74"/>
      <c r="AG647" s="74"/>
      <c r="AH647" s="7"/>
      <c r="AI647" s="7"/>
      <c r="AJ647" s="7"/>
      <c r="AK647" s="7"/>
      <c r="AL647" s="7"/>
      <c r="AM647" s="7"/>
      <c r="AN647" s="7"/>
      <c r="AO647" s="74"/>
      <c r="AP647" s="7"/>
      <c r="AQ647" s="74"/>
      <c r="AR647" s="101"/>
      <c r="AS647" s="7"/>
      <c r="AT647" s="101"/>
      <c r="AU647" s="7"/>
      <c r="AV647" s="101"/>
      <c r="AW647" s="7"/>
      <c r="AX647" s="183"/>
      <c r="AY647" s="107"/>
      <c r="AZ647" s="74"/>
      <c r="BA647" s="74"/>
      <c r="BB647" s="74"/>
      <c r="BC647" s="74"/>
      <c r="BD647" s="74"/>
      <c r="BE647" s="74"/>
      <c r="BF647" s="74"/>
      <c r="BG647" s="74"/>
      <c r="BH647" s="74"/>
      <c r="BI647" s="74"/>
      <c r="BJ647" s="74"/>
      <c r="BK647" s="7"/>
      <c r="BL647" s="74"/>
      <c r="BM647" s="7"/>
      <c r="BN647" s="74"/>
      <c r="BO647" s="74"/>
      <c r="BP647" s="74"/>
      <c r="BQ647" s="74"/>
      <c r="BR647" s="74"/>
      <c r="BS647" s="74"/>
      <c r="BT647" s="74"/>
      <c r="BU647" s="74"/>
      <c r="BV647" s="74"/>
      <c r="BW647" s="74"/>
      <c r="BX647" s="74"/>
      <c r="BY647" s="74"/>
      <c r="BZ647" s="74"/>
      <c r="CA647" s="74"/>
      <c r="CB647" s="74"/>
      <c r="CC647" s="74"/>
      <c r="CD647" s="74"/>
      <c r="CE647" s="7"/>
      <c r="CF647" s="74"/>
      <c r="CG647" s="74"/>
      <c r="CH647" s="7"/>
      <c r="CI647" s="74"/>
      <c r="CJ647" s="74"/>
      <c r="CK647" s="101"/>
      <c r="CL647" s="74"/>
      <c r="CM647" s="74"/>
      <c r="CN647" s="74"/>
      <c r="CO647" s="101"/>
      <c r="CP647" s="74"/>
      <c r="CQ647" s="74"/>
      <c r="CR647" s="74"/>
      <c r="CS647" s="74"/>
      <c r="CT647" s="74"/>
      <c r="CU647" s="74"/>
      <c r="CV647" s="74"/>
      <c r="CW647" s="74"/>
      <c r="CX647" s="74"/>
      <c r="CY647" s="74"/>
      <c r="CZ647" s="74"/>
      <c r="DA647" s="74"/>
      <c r="DB647" s="74"/>
      <c r="DC647" s="74"/>
      <c r="DD647" s="74"/>
      <c r="DE647" s="74"/>
      <c r="DF647" s="74"/>
      <c r="DG647" s="74"/>
      <c r="DH647" s="74"/>
      <c r="DI647" s="74"/>
      <c r="DJ647" s="74"/>
      <c r="DK647" s="74"/>
      <c r="DL647" s="74"/>
      <c r="DM647" s="74"/>
      <c r="DN647" s="74"/>
      <c r="DO647" s="74"/>
      <c r="DP647" s="74"/>
      <c r="DQ647" s="74"/>
      <c r="DR647" s="74"/>
      <c r="DS647" s="74"/>
      <c r="DT647" s="74"/>
      <c r="DU647" s="74"/>
      <c r="DV647" s="74"/>
      <c r="DW647" s="74"/>
      <c r="DX647" s="74"/>
      <c r="DY647" s="74"/>
      <c r="DZ647" s="8">
        <f t="shared" si="178"/>
        <v>0</v>
      </c>
      <c r="EA647" s="3">
        <f t="shared" si="179"/>
        <v>0</v>
      </c>
      <c r="EB647" s="2">
        <f t="shared" si="180"/>
        <v>0</v>
      </c>
      <c r="EC647" s="112">
        <f t="shared" si="175"/>
        <v>0</v>
      </c>
      <c r="ED647" s="29">
        <f t="shared" si="181"/>
        <v>0</v>
      </c>
      <c r="EE647" s="2">
        <f t="shared" si="182"/>
        <v>0</v>
      </c>
      <c r="EF647" s="46">
        <f t="shared" si="183"/>
        <v>0</v>
      </c>
      <c r="EG647" s="46">
        <f t="shared" si="184"/>
        <v>0</v>
      </c>
      <c r="EH647" s="29">
        <f t="shared" si="185"/>
        <v>0</v>
      </c>
      <c r="EI647" s="29">
        <f>IF(COUNT(I647:AD647)&lt;5,DZ647,SUMPRODUCT(LARGE(I647:AD647,{1,2,3,4,5}))/5)</f>
        <v>0</v>
      </c>
      <c r="EJ647" s="29">
        <f>IF(COUNT(I647:BE647)&lt;5,DZ647,SUMPRODUCT(LARGE(I647:BE647,{1,2,3,4,5}))/5)</f>
        <v>0</v>
      </c>
      <c r="EK647" s="29">
        <f t="shared" si="187"/>
        <v>0</v>
      </c>
      <c r="EL647" s="29">
        <f>(EK647*100)/101.28</f>
        <v>0</v>
      </c>
      <c r="EM647" s="116">
        <f t="shared" si="186"/>
        <v>0</v>
      </c>
      <c r="EQ647"/>
    </row>
    <row r="648" spans="1:147" x14ac:dyDescent="0.25">
      <c r="A648" s="59"/>
      <c r="B648" s="32"/>
      <c r="C648" s="5"/>
      <c r="D648" s="6"/>
      <c r="E648" s="6"/>
      <c r="F648" s="6"/>
      <c r="G648" s="5"/>
      <c r="H648" s="99"/>
      <c r="I648" s="36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227"/>
      <c r="Z648" s="228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4"/>
      <c r="AP648" s="7"/>
      <c r="AQ648" s="74"/>
      <c r="AR648" s="70"/>
      <c r="AS648" s="7"/>
      <c r="AT648" s="70"/>
      <c r="AU648" s="7"/>
      <c r="AV648" s="70"/>
      <c r="AW648" s="7"/>
      <c r="AX648" s="8"/>
      <c r="AY648" s="36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4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101"/>
      <c r="CL648" s="74"/>
      <c r="CM648" s="74"/>
      <c r="CN648" s="74"/>
      <c r="CO648" s="70"/>
      <c r="CP648" s="74"/>
      <c r="CQ648" s="7"/>
      <c r="CR648" s="74"/>
      <c r="CS648" s="74"/>
      <c r="CT648" s="74"/>
      <c r="CU648" s="74"/>
      <c r="CV648" s="7"/>
      <c r="CW648" s="7"/>
      <c r="CX648" s="7"/>
      <c r="CY648" s="7"/>
      <c r="CZ648" s="7"/>
      <c r="DA648" s="7"/>
      <c r="DB648" s="7"/>
      <c r="DC648" s="7"/>
      <c r="DD648" s="7"/>
      <c r="DE648" s="74"/>
      <c r="DF648" s="74"/>
      <c r="DG648" s="74"/>
      <c r="DH648" s="7"/>
      <c r="DI648" s="74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8">
        <f t="shared" si="178"/>
        <v>0</v>
      </c>
      <c r="EA648" s="3">
        <f t="shared" si="179"/>
        <v>0</v>
      </c>
      <c r="EB648" s="2">
        <f t="shared" si="180"/>
        <v>0</v>
      </c>
      <c r="EC648" s="112">
        <f t="shared" si="175"/>
        <v>0</v>
      </c>
      <c r="ED648" s="29">
        <f t="shared" si="181"/>
        <v>0</v>
      </c>
      <c r="EE648" s="2">
        <f t="shared" si="182"/>
        <v>0</v>
      </c>
      <c r="EF648" s="46">
        <f t="shared" si="183"/>
        <v>0</v>
      </c>
      <c r="EG648" s="46">
        <f t="shared" si="184"/>
        <v>0</v>
      </c>
      <c r="EH648" s="2">
        <f t="shared" si="185"/>
        <v>0</v>
      </c>
      <c r="EI648" s="29">
        <f>IF(COUNT(I648:AD648)&lt;5,DZ648,SUMPRODUCT(LARGE(I648:AD648,{1,2,3,4,5}))/5)</f>
        <v>0</v>
      </c>
      <c r="EJ648" s="29">
        <f>IF(COUNT(I648:BE648)&lt;5,DZ648,SUMPRODUCT(LARGE(I648:BE648,{1,2,3,4,5}))/5)</f>
        <v>0</v>
      </c>
      <c r="EK648" s="29">
        <f t="shared" si="187"/>
        <v>0</v>
      </c>
      <c r="EL648" s="29">
        <f>(EK648*100)/101.59</f>
        <v>0</v>
      </c>
      <c r="EM648" s="116">
        <f t="shared" si="186"/>
        <v>0</v>
      </c>
      <c r="EQ648"/>
    </row>
    <row r="649" spans="1:147" x14ac:dyDescent="0.25">
      <c r="A649" s="59"/>
      <c r="B649" s="4"/>
      <c r="C649" s="5"/>
      <c r="D649" s="5"/>
      <c r="E649" s="6"/>
      <c r="F649" s="6"/>
      <c r="G649" s="5"/>
      <c r="H649" s="99"/>
      <c r="I649" s="107"/>
      <c r="J649" s="7"/>
      <c r="K649" s="74"/>
      <c r="L649" s="7"/>
      <c r="M649" s="74"/>
      <c r="N649" s="74"/>
      <c r="O649" s="7"/>
      <c r="P649" s="74"/>
      <c r="Q649" s="7"/>
      <c r="R649" s="74"/>
      <c r="S649" s="74"/>
      <c r="T649" s="7"/>
      <c r="U649" s="7"/>
      <c r="V649" s="74"/>
      <c r="W649" s="74"/>
      <c r="X649" s="74"/>
      <c r="Y649" s="227"/>
      <c r="Z649" s="228"/>
      <c r="AA649" s="74"/>
      <c r="AB649" s="74"/>
      <c r="AC649" s="74"/>
      <c r="AD649" s="74"/>
      <c r="AE649" s="7"/>
      <c r="AF649" s="74"/>
      <c r="AG649" s="74"/>
      <c r="AH649" s="7"/>
      <c r="AI649" s="7"/>
      <c r="AJ649" s="7"/>
      <c r="AK649" s="7"/>
      <c r="AL649" s="7"/>
      <c r="AM649" s="7"/>
      <c r="AN649" s="7"/>
      <c r="AO649" s="74"/>
      <c r="AP649" s="7"/>
      <c r="AQ649" s="74"/>
      <c r="AR649" s="101"/>
      <c r="AS649" s="7"/>
      <c r="AT649" s="101"/>
      <c r="AU649" s="7"/>
      <c r="AV649" s="101"/>
      <c r="AW649" s="7"/>
      <c r="AX649" s="8"/>
      <c r="AY649" s="36"/>
      <c r="AZ649" s="74"/>
      <c r="BA649" s="74"/>
      <c r="BB649" s="74"/>
      <c r="BC649" s="74"/>
      <c r="BD649" s="74"/>
      <c r="BE649" s="74"/>
      <c r="BF649" s="74"/>
      <c r="BG649" s="74"/>
      <c r="BH649" s="74"/>
      <c r="BI649" s="74"/>
      <c r="BJ649" s="74"/>
      <c r="BK649" s="7"/>
      <c r="BL649" s="74"/>
      <c r="BM649" s="7"/>
      <c r="BN649" s="74"/>
      <c r="BO649" s="74"/>
      <c r="BP649" s="74"/>
      <c r="BQ649" s="74"/>
      <c r="BR649" s="74"/>
      <c r="BS649" s="74"/>
      <c r="BT649" s="74"/>
      <c r="BU649" s="74"/>
      <c r="BV649" s="74"/>
      <c r="BW649" s="74"/>
      <c r="BX649" s="74"/>
      <c r="BY649" s="74"/>
      <c r="BZ649" s="74"/>
      <c r="CA649" s="74"/>
      <c r="CB649" s="74"/>
      <c r="CC649" s="74"/>
      <c r="CD649" s="74"/>
      <c r="CE649" s="7"/>
      <c r="CF649" s="74"/>
      <c r="CG649" s="74"/>
      <c r="CH649" s="7"/>
      <c r="CI649" s="74"/>
      <c r="CJ649" s="74"/>
      <c r="CK649" s="101"/>
      <c r="CL649" s="74"/>
      <c r="CM649" s="74"/>
      <c r="CN649" s="74"/>
      <c r="CO649" s="101"/>
      <c r="CP649" s="74"/>
      <c r="CQ649" s="74"/>
      <c r="CR649" s="74"/>
      <c r="CS649" s="74"/>
      <c r="CT649" s="74"/>
      <c r="CU649" s="74"/>
      <c r="CV649" s="74"/>
      <c r="CW649" s="74"/>
      <c r="CX649" s="74"/>
      <c r="CY649" s="74"/>
      <c r="CZ649" s="74"/>
      <c r="DA649" s="74"/>
      <c r="DB649" s="74"/>
      <c r="DC649" s="74"/>
      <c r="DD649" s="74"/>
      <c r="DE649" s="74"/>
      <c r="DF649" s="74"/>
      <c r="DG649" s="74"/>
      <c r="DH649" s="74"/>
      <c r="DI649" s="74"/>
      <c r="DJ649" s="74"/>
      <c r="DK649" s="74"/>
      <c r="DL649" s="74"/>
      <c r="DM649" s="74"/>
      <c r="DN649" s="74"/>
      <c r="DO649" s="74"/>
      <c r="DP649" s="74"/>
      <c r="DQ649" s="74"/>
      <c r="DR649" s="74"/>
      <c r="DS649" s="74"/>
      <c r="DT649" s="74"/>
      <c r="DU649" s="74"/>
      <c r="DV649" s="74"/>
      <c r="DW649" s="74"/>
      <c r="DX649" s="74"/>
      <c r="DY649" s="74"/>
      <c r="DZ649" s="8">
        <f t="shared" si="178"/>
        <v>0</v>
      </c>
      <c r="EA649" s="3">
        <f t="shared" si="179"/>
        <v>0</v>
      </c>
      <c r="EB649" s="2">
        <f t="shared" si="180"/>
        <v>0</v>
      </c>
      <c r="EC649" s="112">
        <f t="shared" si="175"/>
        <v>0</v>
      </c>
      <c r="ED649" s="29">
        <f t="shared" si="181"/>
        <v>0</v>
      </c>
      <c r="EE649" s="2">
        <f t="shared" si="182"/>
        <v>0</v>
      </c>
      <c r="EF649" s="46">
        <f t="shared" si="183"/>
        <v>0</v>
      </c>
      <c r="EG649" s="46">
        <f t="shared" si="184"/>
        <v>0</v>
      </c>
      <c r="EH649" s="29">
        <f t="shared" si="185"/>
        <v>0</v>
      </c>
      <c r="EI649" s="29">
        <f>IF(COUNT(I649:AD649)&lt;5,DZ649,SUMPRODUCT(LARGE(I649:AD649,{1,2,3,4,5}))/5)</f>
        <v>0</v>
      </c>
      <c r="EJ649" s="29">
        <f>IF(COUNT(I649:BE649)&lt;5,DZ649,SUMPRODUCT(LARGE(I649:BE649,{1,2,3,4,5}))/5)</f>
        <v>0</v>
      </c>
      <c r="EK649" s="29">
        <f t="shared" si="187"/>
        <v>0</v>
      </c>
      <c r="EL649" s="29">
        <f t="shared" ref="EL649:EL664" si="188">(EK649*100)/101.28</f>
        <v>0</v>
      </c>
      <c r="EM649" s="116">
        <f t="shared" si="186"/>
        <v>0</v>
      </c>
      <c r="EQ649"/>
    </row>
    <row r="650" spans="1:147" x14ac:dyDescent="0.25">
      <c r="A650" s="59"/>
      <c r="B650" s="32"/>
      <c r="C650" s="5"/>
      <c r="D650" s="6"/>
      <c r="E650" s="6"/>
      <c r="F650" s="6"/>
      <c r="G650" s="5"/>
      <c r="H650" s="37"/>
      <c r="I650" s="107"/>
      <c r="J650" s="7"/>
      <c r="K650" s="74"/>
      <c r="L650" s="7"/>
      <c r="M650" s="74"/>
      <c r="N650" s="74"/>
      <c r="O650" s="7"/>
      <c r="P650" s="74"/>
      <c r="Q650" s="7"/>
      <c r="R650" s="74"/>
      <c r="S650" s="74"/>
      <c r="T650" s="7"/>
      <c r="U650" s="7"/>
      <c r="V650" s="74"/>
      <c r="W650" s="74"/>
      <c r="X650" s="74"/>
      <c r="Y650" s="227"/>
      <c r="Z650" s="228"/>
      <c r="AA650" s="74"/>
      <c r="AB650" s="74"/>
      <c r="AC650" s="74"/>
      <c r="AD650" s="74"/>
      <c r="AE650" s="7"/>
      <c r="AF650" s="74"/>
      <c r="AG650" s="74"/>
      <c r="AH650" s="7"/>
      <c r="AI650" s="7"/>
      <c r="AJ650" s="7"/>
      <c r="AK650" s="7"/>
      <c r="AL650" s="7"/>
      <c r="AM650" s="7"/>
      <c r="AN650" s="7"/>
      <c r="AO650" s="74"/>
      <c r="AP650" s="7"/>
      <c r="AQ650" s="74"/>
      <c r="AR650" s="101"/>
      <c r="AS650" s="7"/>
      <c r="AT650" s="101"/>
      <c r="AU650" s="7"/>
      <c r="AV650" s="101"/>
      <c r="AW650" s="7"/>
      <c r="AX650" s="183"/>
      <c r="AY650" s="107"/>
      <c r="AZ650" s="74"/>
      <c r="BA650" s="74"/>
      <c r="BB650" s="74"/>
      <c r="BC650" s="74"/>
      <c r="BD650" s="74"/>
      <c r="BE650" s="74"/>
      <c r="BF650" s="74"/>
      <c r="BG650" s="74"/>
      <c r="BH650" s="74"/>
      <c r="BI650" s="74"/>
      <c r="BJ650" s="74"/>
      <c r="BK650" s="7"/>
      <c r="BL650" s="74"/>
      <c r="BM650" s="7"/>
      <c r="BN650" s="74"/>
      <c r="BO650" s="74"/>
      <c r="BP650" s="74"/>
      <c r="BQ650" s="74"/>
      <c r="BR650" s="74"/>
      <c r="BS650" s="74"/>
      <c r="BT650" s="74"/>
      <c r="BU650" s="74"/>
      <c r="BV650" s="74"/>
      <c r="BW650" s="74"/>
      <c r="BX650" s="74"/>
      <c r="BY650" s="74"/>
      <c r="BZ650" s="74"/>
      <c r="CA650" s="74"/>
      <c r="CB650" s="74"/>
      <c r="CC650" s="74"/>
      <c r="CD650" s="74"/>
      <c r="CE650" s="7"/>
      <c r="CF650" s="74"/>
      <c r="CG650" s="74"/>
      <c r="CH650" s="7"/>
      <c r="CI650" s="74"/>
      <c r="CJ650" s="74"/>
      <c r="CK650" s="101"/>
      <c r="CL650" s="74"/>
      <c r="CM650" s="74"/>
      <c r="CN650" s="74"/>
      <c r="CO650" s="101"/>
      <c r="CP650" s="74"/>
      <c r="CQ650" s="74"/>
      <c r="CR650" s="74"/>
      <c r="CS650" s="74"/>
      <c r="CT650" s="74"/>
      <c r="CU650" s="74"/>
      <c r="CV650" s="74"/>
      <c r="CW650" s="74"/>
      <c r="CX650" s="74"/>
      <c r="CY650" s="74"/>
      <c r="CZ650" s="74"/>
      <c r="DA650" s="74"/>
      <c r="DB650" s="74"/>
      <c r="DC650" s="74"/>
      <c r="DD650" s="74"/>
      <c r="DE650" s="74"/>
      <c r="DF650" s="74"/>
      <c r="DG650" s="74"/>
      <c r="DH650" s="74"/>
      <c r="DI650" s="74"/>
      <c r="DJ650" s="74"/>
      <c r="DK650" s="74"/>
      <c r="DL650" s="74"/>
      <c r="DM650" s="74"/>
      <c r="DN650" s="74"/>
      <c r="DO650" s="74"/>
      <c r="DP650" s="74"/>
      <c r="DQ650" s="74"/>
      <c r="DR650" s="74"/>
      <c r="DS650" s="74"/>
      <c r="DT650" s="74"/>
      <c r="DU650" s="74"/>
      <c r="DV650" s="74"/>
      <c r="DW650" s="74"/>
      <c r="DX650" s="74"/>
      <c r="DY650" s="74"/>
      <c r="DZ650" s="8">
        <f t="shared" si="178"/>
        <v>0</v>
      </c>
      <c r="EA650" s="3">
        <f t="shared" si="179"/>
        <v>0</v>
      </c>
      <c r="EB650" s="2">
        <f t="shared" si="180"/>
        <v>0</v>
      </c>
      <c r="EC650" s="112">
        <f t="shared" si="175"/>
        <v>0</v>
      </c>
      <c r="ED650" s="29">
        <f t="shared" si="181"/>
        <v>0</v>
      </c>
      <c r="EE650" s="2">
        <f t="shared" si="182"/>
        <v>0</v>
      </c>
      <c r="EF650" s="46">
        <f t="shared" si="183"/>
        <v>0</v>
      </c>
      <c r="EG650" s="46">
        <f t="shared" si="184"/>
        <v>0</v>
      </c>
      <c r="EH650" s="29">
        <f t="shared" si="185"/>
        <v>0</v>
      </c>
      <c r="EI650" s="29">
        <f>IF(COUNT(I650:AD650)&lt;5,DZ650,SUMPRODUCT(LARGE(I650:AD650,{1,2,3,4,5}))/5)</f>
        <v>0</v>
      </c>
      <c r="EJ650" s="29">
        <f>IF(COUNT(I650:BE650)&lt;5,DZ650,SUMPRODUCT(LARGE(I650:BE650,{1,2,3,4,5}))/5)</f>
        <v>0</v>
      </c>
      <c r="EK650" s="29">
        <f t="shared" si="187"/>
        <v>0</v>
      </c>
      <c r="EL650" s="29">
        <f t="shared" si="188"/>
        <v>0</v>
      </c>
      <c r="EM650" s="116">
        <f t="shared" si="186"/>
        <v>0</v>
      </c>
      <c r="EQ650"/>
    </row>
    <row r="651" spans="1:147" x14ac:dyDescent="0.25">
      <c r="A651" s="59"/>
      <c r="B651" s="32"/>
      <c r="C651" s="5"/>
      <c r="D651" s="6"/>
      <c r="E651" s="6"/>
      <c r="F651" s="6"/>
      <c r="G651" s="5"/>
      <c r="H651" s="37"/>
      <c r="I651" s="107"/>
      <c r="J651" s="7"/>
      <c r="K651" s="74"/>
      <c r="L651" s="7"/>
      <c r="M651" s="74"/>
      <c r="N651" s="74"/>
      <c r="O651" s="7"/>
      <c r="P651" s="74"/>
      <c r="Q651" s="7"/>
      <c r="R651" s="74"/>
      <c r="S651" s="74"/>
      <c r="T651" s="7"/>
      <c r="U651" s="7"/>
      <c r="V651" s="74"/>
      <c r="W651" s="74"/>
      <c r="X651" s="74"/>
      <c r="Y651" s="227"/>
      <c r="Z651" s="228"/>
      <c r="AA651" s="74"/>
      <c r="AB651" s="74"/>
      <c r="AC651" s="74"/>
      <c r="AD651" s="74"/>
      <c r="AE651" s="7"/>
      <c r="AF651" s="74"/>
      <c r="AG651" s="74"/>
      <c r="AH651" s="7"/>
      <c r="AI651" s="7"/>
      <c r="AJ651" s="7"/>
      <c r="AK651" s="7"/>
      <c r="AL651" s="7"/>
      <c r="AM651" s="7"/>
      <c r="AN651" s="7"/>
      <c r="AO651" s="74"/>
      <c r="AP651" s="7"/>
      <c r="AQ651" s="74"/>
      <c r="AR651" s="101"/>
      <c r="AS651" s="7"/>
      <c r="AT651" s="101"/>
      <c r="AU651" s="7"/>
      <c r="AV651" s="101"/>
      <c r="AW651" s="7"/>
      <c r="AX651" s="8"/>
      <c r="AY651" s="36"/>
      <c r="AZ651" s="74"/>
      <c r="BA651" s="74"/>
      <c r="BB651" s="74"/>
      <c r="BC651" s="74"/>
      <c r="BD651" s="74"/>
      <c r="BE651" s="74"/>
      <c r="BF651" s="74"/>
      <c r="BG651" s="74"/>
      <c r="BH651" s="74"/>
      <c r="BI651" s="74"/>
      <c r="BJ651" s="74"/>
      <c r="BK651" s="7"/>
      <c r="BL651" s="74"/>
      <c r="BM651" s="7"/>
      <c r="BN651" s="74"/>
      <c r="BO651" s="74"/>
      <c r="BP651" s="74"/>
      <c r="BQ651" s="74"/>
      <c r="BR651" s="74"/>
      <c r="BS651" s="74"/>
      <c r="BT651" s="74"/>
      <c r="BU651" s="74"/>
      <c r="BV651" s="74"/>
      <c r="BW651" s="74"/>
      <c r="BX651" s="74"/>
      <c r="BY651" s="74"/>
      <c r="BZ651" s="74"/>
      <c r="CA651" s="74"/>
      <c r="CB651" s="74"/>
      <c r="CC651" s="74"/>
      <c r="CD651" s="74"/>
      <c r="CE651" s="7"/>
      <c r="CF651" s="74"/>
      <c r="CG651" s="74"/>
      <c r="CH651" s="7"/>
      <c r="CI651" s="74"/>
      <c r="CJ651" s="74"/>
      <c r="CK651" s="101"/>
      <c r="CL651" s="74"/>
      <c r="CM651" s="74"/>
      <c r="CN651" s="74"/>
      <c r="CO651" s="101"/>
      <c r="CP651" s="74"/>
      <c r="CQ651" s="74"/>
      <c r="CR651" s="74"/>
      <c r="CS651" s="74"/>
      <c r="CT651" s="74"/>
      <c r="CU651" s="74"/>
      <c r="CV651" s="74"/>
      <c r="CW651" s="74"/>
      <c r="CX651" s="74"/>
      <c r="CY651" s="74"/>
      <c r="CZ651" s="74"/>
      <c r="DA651" s="74"/>
      <c r="DB651" s="74"/>
      <c r="DC651" s="74"/>
      <c r="DD651" s="74"/>
      <c r="DE651" s="74"/>
      <c r="DF651" s="74"/>
      <c r="DG651" s="74"/>
      <c r="DH651" s="74"/>
      <c r="DI651" s="74"/>
      <c r="DJ651" s="74"/>
      <c r="DK651" s="74"/>
      <c r="DL651" s="74"/>
      <c r="DM651" s="74"/>
      <c r="DN651" s="74"/>
      <c r="DO651" s="74"/>
      <c r="DP651" s="74"/>
      <c r="DQ651" s="74"/>
      <c r="DR651" s="74"/>
      <c r="DS651" s="74"/>
      <c r="DT651" s="74"/>
      <c r="DU651" s="74"/>
      <c r="DV651" s="74"/>
      <c r="DW651" s="74"/>
      <c r="DX651" s="74"/>
      <c r="DY651" s="74"/>
      <c r="DZ651" s="8">
        <f t="shared" si="178"/>
        <v>0</v>
      </c>
      <c r="EA651" s="3">
        <f t="shared" si="179"/>
        <v>0</v>
      </c>
      <c r="EB651" s="2">
        <f t="shared" si="180"/>
        <v>0</v>
      </c>
      <c r="EC651" s="112">
        <f t="shared" si="175"/>
        <v>0</v>
      </c>
      <c r="ED651" s="29">
        <f t="shared" si="181"/>
        <v>0</v>
      </c>
      <c r="EE651" s="2">
        <f t="shared" si="182"/>
        <v>0</v>
      </c>
      <c r="EF651" s="46">
        <f t="shared" si="183"/>
        <v>0</v>
      </c>
      <c r="EG651" s="46">
        <f t="shared" si="184"/>
        <v>0</v>
      </c>
      <c r="EH651" s="29">
        <f t="shared" si="185"/>
        <v>0</v>
      </c>
      <c r="EI651" s="29">
        <f>IF(COUNT(I651:AD651)&lt;5,DZ651,SUMPRODUCT(LARGE(I651:AD651,{1,2,3,4,5}))/5)</f>
        <v>0</v>
      </c>
      <c r="EJ651" s="29">
        <f>IF(COUNT(I651:BE651)&lt;5,DZ651,SUMPRODUCT(LARGE(I651:BE651,{1,2,3,4,5}))/5)</f>
        <v>0</v>
      </c>
      <c r="EK651" s="29">
        <f t="shared" si="187"/>
        <v>0</v>
      </c>
      <c r="EL651" s="29">
        <f t="shared" si="188"/>
        <v>0</v>
      </c>
      <c r="EM651" s="116">
        <f t="shared" si="186"/>
        <v>0</v>
      </c>
      <c r="EQ651"/>
    </row>
    <row r="652" spans="1:147" x14ac:dyDescent="0.25">
      <c r="A652" s="59"/>
      <c r="B652" s="32"/>
      <c r="C652" s="5"/>
      <c r="D652" s="6"/>
      <c r="E652" s="6"/>
      <c r="F652" s="6"/>
      <c r="G652" s="5"/>
      <c r="H652" s="37"/>
      <c r="I652" s="36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227"/>
      <c r="Z652" s="228"/>
      <c r="AA652" s="7"/>
      <c r="AB652" s="7"/>
      <c r="AC652" s="7"/>
      <c r="AD652" s="74"/>
      <c r="AE652" s="74"/>
      <c r="AF652" s="7"/>
      <c r="AG652" s="7"/>
      <c r="AH652" s="7"/>
      <c r="AI652" s="7"/>
      <c r="AJ652" s="7"/>
      <c r="AK652" s="7"/>
      <c r="AL652" s="7"/>
      <c r="AM652" s="7"/>
      <c r="AN652" s="7"/>
      <c r="AO652" s="74"/>
      <c r="AP652" s="7"/>
      <c r="AQ652" s="74"/>
      <c r="AR652" s="70"/>
      <c r="AS652" s="7"/>
      <c r="AT652" s="70"/>
      <c r="AU652" s="7"/>
      <c r="AV652" s="70"/>
      <c r="AW652" s="7"/>
      <c r="AX652" s="183"/>
      <c r="AY652" s="107"/>
      <c r="AZ652" s="7"/>
      <c r="BA652" s="7"/>
      <c r="BB652" s="7"/>
      <c r="BC652" s="74"/>
      <c r="BD652" s="7"/>
      <c r="BE652" s="74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101"/>
      <c r="CL652" s="74"/>
      <c r="CM652" s="74"/>
      <c r="CN652" s="74"/>
      <c r="CO652" s="70"/>
      <c r="CP652" s="74"/>
      <c r="CQ652" s="7"/>
      <c r="CR652" s="74"/>
      <c r="CS652" s="74"/>
      <c r="CT652" s="74"/>
      <c r="CU652" s="74"/>
      <c r="CV652" s="74"/>
      <c r="CW652" s="7"/>
      <c r="CX652" s="7"/>
      <c r="CY652" s="7"/>
      <c r="CZ652" s="74"/>
      <c r="DA652" s="7"/>
      <c r="DB652" s="74"/>
      <c r="DC652" s="7"/>
      <c r="DD652" s="7"/>
      <c r="DE652" s="74"/>
      <c r="DF652" s="74"/>
      <c r="DG652" s="74"/>
      <c r="DH652" s="74"/>
      <c r="DI652" s="74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8">
        <f t="shared" si="178"/>
        <v>0</v>
      </c>
      <c r="EA652" s="3">
        <f t="shared" si="179"/>
        <v>0</v>
      </c>
      <c r="EB652" s="2">
        <f t="shared" si="180"/>
        <v>0</v>
      </c>
      <c r="EC652" s="112">
        <f t="shared" si="175"/>
        <v>0</v>
      </c>
      <c r="ED652" s="29">
        <f t="shared" si="181"/>
        <v>0</v>
      </c>
      <c r="EE652" s="2">
        <f t="shared" si="182"/>
        <v>0</v>
      </c>
      <c r="EF652" s="46">
        <f t="shared" si="183"/>
        <v>0</v>
      </c>
      <c r="EG652" s="46">
        <f t="shared" si="184"/>
        <v>0</v>
      </c>
      <c r="EH652" s="2">
        <f t="shared" si="185"/>
        <v>0</v>
      </c>
      <c r="EI652" s="29">
        <f>IF(COUNT(I652:AD652)&lt;5,DZ652,SUMPRODUCT(LARGE(I652:AD652,{1,2,3,4,5}))/5)</f>
        <v>0</v>
      </c>
      <c r="EJ652" s="29">
        <f>IF(COUNT(I652:BE652)&lt;5,DZ652,SUMPRODUCT(LARGE(I652:BE652,{1,2,3,4,5}))/5)</f>
        <v>0</v>
      </c>
      <c r="EK652" s="29">
        <f t="shared" si="187"/>
        <v>0</v>
      </c>
      <c r="EL652" s="29">
        <f t="shared" si="188"/>
        <v>0</v>
      </c>
      <c r="EM652" s="116">
        <f t="shared" si="186"/>
        <v>0</v>
      </c>
      <c r="EQ652"/>
    </row>
    <row r="653" spans="1:147" x14ac:dyDescent="0.25">
      <c r="A653" s="59"/>
      <c r="B653" s="4"/>
      <c r="C653" s="5"/>
      <c r="D653" s="5"/>
      <c r="E653" s="6"/>
      <c r="F653" s="6"/>
      <c r="G653" s="5"/>
      <c r="H653" s="99"/>
      <c r="I653" s="36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227"/>
      <c r="Z653" s="228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4"/>
      <c r="AP653" s="7"/>
      <c r="AQ653" s="74"/>
      <c r="AR653" s="70"/>
      <c r="AS653" s="7"/>
      <c r="AT653" s="70"/>
      <c r="AU653" s="7"/>
      <c r="AV653" s="70"/>
      <c r="AW653" s="7"/>
      <c r="AX653" s="183"/>
      <c r="AY653" s="10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4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101"/>
      <c r="CL653" s="74"/>
      <c r="CM653" s="74"/>
      <c r="CN653" s="74"/>
      <c r="CO653" s="70"/>
      <c r="CP653" s="74"/>
      <c r="CQ653" s="7"/>
      <c r="CR653" s="74"/>
      <c r="CS653" s="74"/>
      <c r="CT653" s="74"/>
      <c r="CU653" s="74"/>
      <c r="CV653" s="74"/>
      <c r="CW653" s="7"/>
      <c r="CX653" s="7"/>
      <c r="CY653" s="7"/>
      <c r="CZ653" s="7"/>
      <c r="DA653" s="7"/>
      <c r="DB653" s="7"/>
      <c r="DC653" s="7"/>
      <c r="DD653" s="7"/>
      <c r="DE653" s="74"/>
      <c r="DF653" s="74"/>
      <c r="DG653" s="74"/>
      <c r="DH653" s="74"/>
      <c r="DI653" s="74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8">
        <f t="shared" si="178"/>
        <v>0</v>
      </c>
      <c r="EA653" s="22">
        <f t="shared" si="179"/>
        <v>0</v>
      </c>
      <c r="EB653" s="56">
        <f t="shared" si="180"/>
        <v>0</v>
      </c>
      <c r="EC653" s="112">
        <f t="shared" si="175"/>
        <v>0</v>
      </c>
      <c r="ED653" s="112">
        <f t="shared" si="181"/>
        <v>0</v>
      </c>
      <c r="EE653" s="56">
        <f t="shared" si="182"/>
        <v>0</v>
      </c>
      <c r="EF653" s="111">
        <f t="shared" si="183"/>
        <v>0</v>
      </c>
      <c r="EG653" s="111">
        <f t="shared" si="184"/>
        <v>0</v>
      </c>
      <c r="EH653" s="56">
        <f t="shared" si="185"/>
        <v>0</v>
      </c>
      <c r="EI653" s="112">
        <f>IF(COUNT(I653:AD653)&lt;5,DZ653,SUMPRODUCT(LARGE(I653:AD653,{1,2,3,4,5}))/5)</f>
        <v>0</v>
      </c>
      <c r="EJ653" s="112">
        <f>IF(COUNT(I653:BE653)&lt;5,DZ653,SUMPRODUCT(LARGE(I653:BE653,{1,2,3,4,5}))/5)</f>
        <v>0</v>
      </c>
      <c r="EK653" s="29">
        <f t="shared" si="187"/>
        <v>0</v>
      </c>
      <c r="EL653" s="112">
        <f t="shared" si="188"/>
        <v>0</v>
      </c>
      <c r="EM653" s="163">
        <f t="shared" si="186"/>
        <v>0</v>
      </c>
      <c r="EQ653"/>
    </row>
    <row r="654" spans="1:147" x14ac:dyDescent="0.25">
      <c r="A654" s="59"/>
      <c r="B654" s="84"/>
      <c r="C654" s="5"/>
      <c r="D654" s="6"/>
      <c r="E654" s="6"/>
      <c r="F654" s="6"/>
      <c r="G654" s="5"/>
      <c r="H654" s="37"/>
      <c r="I654" s="107"/>
      <c r="J654" s="7"/>
      <c r="K654" s="74"/>
      <c r="L654" s="7"/>
      <c r="M654" s="74"/>
      <c r="N654" s="74"/>
      <c r="O654" s="7"/>
      <c r="P654" s="74"/>
      <c r="Q654" s="7"/>
      <c r="R654" s="74"/>
      <c r="S654" s="74"/>
      <c r="T654" s="7"/>
      <c r="U654" s="7"/>
      <c r="V654" s="74"/>
      <c r="W654" s="74"/>
      <c r="X654" s="74"/>
      <c r="Y654" s="227"/>
      <c r="Z654" s="228"/>
      <c r="AA654" s="74"/>
      <c r="AB654" s="74"/>
      <c r="AC654" s="74"/>
      <c r="AD654" s="74"/>
      <c r="AE654" s="7"/>
      <c r="AF654" s="74"/>
      <c r="AG654" s="74"/>
      <c r="AH654" s="7"/>
      <c r="AI654" s="7"/>
      <c r="AJ654" s="7"/>
      <c r="AK654" s="7"/>
      <c r="AL654" s="7"/>
      <c r="AM654" s="7"/>
      <c r="AN654" s="7"/>
      <c r="AO654" s="74"/>
      <c r="AP654" s="7"/>
      <c r="AQ654" s="74"/>
      <c r="AR654" s="101"/>
      <c r="AS654" s="7"/>
      <c r="AT654" s="101"/>
      <c r="AU654" s="7"/>
      <c r="AV654" s="101"/>
      <c r="AW654" s="7"/>
      <c r="AX654" s="183"/>
      <c r="AY654" s="107"/>
      <c r="AZ654" s="74"/>
      <c r="BA654" s="74"/>
      <c r="BB654" s="74"/>
      <c r="BC654" s="74"/>
      <c r="BD654" s="74"/>
      <c r="BE654" s="74"/>
      <c r="BF654" s="74"/>
      <c r="BG654" s="74"/>
      <c r="BH654" s="74"/>
      <c r="BI654" s="74"/>
      <c r="BJ654" s="74"/>
      <c r="BK654" s="7"/>
      <c r="BL654" s="74"/>
      <c r="BM654" s="7"/>
      <c r="BN654" s="74"/>
      <c r="BO654" s="74"/>
      <c r="BP654" s="74"/>
      <c r="BQ654" s="74"/>
      <c r="BR654" s="74"/>
      <c r="BS654" s="74"/>
      <c r="BT654" s="74"/>
      <c r="BU654" s="74"/>
      <c r="BV654" s="74"/>
      <c r="BW654" s="74"/>
      <c r="BX654" s="74"/>
      <c r="BY654" s="74"/>
      <c r="BZ654" s="74"/>
      <c r="CA654" s="74"/>
      <c r="CB654" s="74"/>
      <c r="CC654" s="74"/>
      <c r="CD654" s="74"/>
      <c r="CE654" s="7"/>
      <c r="CF654" s="74"/>
      <c r="CG654" s="74"/>
      <c r="CH654" s="7"/>
      <c r="CI654" s="74"/>
      <c r="CJ654" s="74"/>
      <c r="CK654" s="101"/>
      <c r="CL654" s="74"/>
      <c r="CM654" s="74"/>
      <c r="CN654" s="74"/>
      <c r="CO654" s="101"/>
      <c r="CP654" s="74"/>
      <c r="CQ654" s="74"/>
      <c r="CR654" s="74"/>
      <c r="CS654" s="74"/>
      <c r="CT654" s="74"/>
      <c r="CU654" s="74"/>
      <c r="CV654" s="74"/>
      <c r="CW654" s="74"/>
      <c r="CX654" s="74"/>
      <c r="CY654" s="74"/>
      <c r="CZ654" s="74"/>
      <c r="DA654" s="74"/>
      <c r="DB654" s="74"/>
      <c r="DC654" s="74"/>
      <c r="DD654" s="74"/>
      <c r="DE654" s="74"/>
      <c r="DF654" s="74"/>
      <c r="DG654" s="74"/>
      <c r="DH654" s="74"/>
      <c r="DI654" s="74"/>
      <c r="DJ654" s="74"/>
      <c r="DK654" s="74"/>
      <c r="DL654" s="74"/>
      <c r="DM654" s="74"/>
      <c r="DN654" s="74"/>
      <c r="DO654" s="74"/>
      <c r="DP654" s="74"/>
      <c r="DQ654" s="74"/>
      <c r="DR654" s="74"/>
      <c r="DS654" s="74"/>
      <c r="DT654" s="74"/>
      <c r="DU654" s="74"/>
      <c r="DV654" s="74"/>
      <c r="DW654" s="74"/>
      <c r="DX654" s="74"/>
      <c r="DY654" s="74"/>
      <c r="DZ654" s="8">
        <f t="shared" si="178"/>
        <v>0</v>
      </c>
      <c r="EA654" s="3">
        <f t="shared" si="179"/>
        <v>0</v>
      </c>
      <c r="EB654" s="2">
        <f t="shared" si="180"/>
        <v>0</v>
      </c>
      <c r="EC654" s="112">
        <f t="shared" ref="EC654:EC717" si="189">H654</f>
        <v>0</v>
      </c>
      <c r="ED654" s="29">
        <f t="shared" si="181"/>
        <v>0</v>
      </c>
      <c r="EE654" s="2">
        <f t="shared" si="182"/>
        <v>0</v>
      </c>
      <c r="EF654" s="46">
        <f t="shared" si="183"/>
        <v>0</v>
      </c>
      <c r="EG654" s="46">
        <f t="shared" si="184"/>
        <v>0</v>
      </c>
      <c r="EH654" s="29">
        <f t="shared" si="185"/>
        <v>0</v>
      </c>
      <c r="EI654" s="29">
        <f>IF(COUNT(I654:AD654)&lt;5,DZ654,SUMPRODUCT(LARGE(I654:AD654,{1,2,3,4,5}))/5)</f>
        <v>0</v>
      </c>
      <c r="EJ654" s="29">
        <f>IF(COUNT(I654:BE654)&lt;5,DZ654,SUMPRODUCT(LARGE(I654:BE654,{1,2,3,4,5}))/5)</f>
        <v>0</v>
      </c>
      <c r="EK654" s="29">
        <f t="shared" si="187"/>
        <v>0</v>
      </c>
      <c r="EL654" s="29">
        <f t="shared" si="188"/>
        <v>0</v>
      </c>
      <c r="EM654" s="116">
        <f t="shared" si="186"/>
        <v>0</v>
      </c>
      <c r="EQ654"/>
    </row>
    <row r="655" spans="1:147" x14ac:dyDescent="0.25">
      <c r="A655" s="59"/>
      <c r="B655" s="32"/>
      <c r="C655" s="5"/>
      <c r="D655" s="6"/>
      <c r="E655" s="6"/>
      <c r="F655" s="6"/>
      <c r="G655" s="5"/>
      <c r="H655" s="37"/>
      <c r="I655" s="107"/>
      <c r="J655" s="7"/>
      <c r="K655" s="74"/>
      <c r="L655" s="7"/>
      <c r="M655" s="74"/>
      <c r="N655" s="74"/>
      <c r="O655" s="7"/>
      <c r="P655" s="74"/>
      <c r="Q655" s="7"/>
      <c r="R655" s="74"/>
      <c r="S655" s="74"/>
      <c r="T655" s="7"/>
      <c r="U655" s="7"/>
      <c r="V655" s="74"/>
      <c r="W655" s="74"/>
      <c r="X655" s="74"/>
      <c r="Y655" s="227"/>
      <c r="Z655" s="228"/>
      <c r="AA655" s="74"/>
      <c r="AB655" s="74"/>
      <c r="AC655" s="74"/>
      <c r="AD655" s="74"/>
      <c r="AE655" s="7"/>
      <c r="AF655" s="74"/>
      <c r="AG655" s="74"/>
      <c r="AH655" s="7"/>
      <c r="AI655" s="7"/>
      <c r="AJ655" s="7"/>
      <c r="AK655" s="7"/>
      <c r="AL655" s="7"/>
      <c r="AM655" s="7"/>
      <c r="AN655" s="7"/>
      <c r="AO655" s="74"/>
      <c r="AP655" s="7"/>
      <c r="AQ655" s="74"/>
      <c r="AR655" s="101"/>
      <c r="AS655" s="7"/>
      <c r="AT655" s="101"/>
      <c r="AU655" s="7"/>
      <c r="AV655" s="101"/>
      <c r="AW655" s="7"/>
      <c r="AX655" s="8"/>
      <c r="AY655" s="36"/>
      <c r="AZ655" s="74"/>
      <c r="BA655" s="74"/>
      <c r="BB655" s="74"/>
      <c r="BC655" s="74"/>
      <c r="BD655" s="74"/>
      <c r="BE655" s="74"/>
      <c r="BF655" s="74"/>
      <c r="BG655" s="74"/>
      <c r="BH655" s="74"/>
      <c r="BI655" s="74"/>
      <c r="BJ655" s="74"/>
      <c r="BK655" s="7"/>
      <c r="BL655" s="74"/>
      <c r="BM655" s="7"/>
      <c r="BN655" s="74"/>
      <c r="BO655" s="74"/>
      <c r="BP655" s="74"/>
      <c r="BQ655" s="74"/>
      <c r="BR655" s="74"/>
      <c r="BS655" s="74"/>
      <c r="BT655" s="74"/>
      <c r="BU655" s="74"/>
      <c r="BV655" s="74"/>
      <c r="BW655" s="74"/>
      <c r="BX655" s="74"/>
      <c r="BY655" s="74"/>
      <c r="BZ655" s="74"/>
      <c r="CA655" s="74"/>
      <c r="CB655" s="74"/>
      <c r="CC655" s="74"/>
      <c r="CD655" s="74"/>
      <c r="CE655" s="7"/>
      <c r="CF655" s="74"/>
      <c r="CG655" s="74"/>
      <c r="CH655" s="7"/>
      <c r="CI655" s="74"/>
      <c r="CJ655" s="74"/>
      <c r="CK655" s="101"/>
      <c r="CL655" s="74"/>
      <c r="CM655" s="74"/>
      <c r="CN655" s="74"/>
      <c r="CO655" s="101"/>
      <c r="CP655" s="74"/>
      <c r="CQ655" s="74"/>
      <c r="CR655" s="74"/>
      <c r="CS655" s="74"/>
      <c r="CT655" s="74"/>
      <c r="CU655" s="74"/>
      <c r="CV655" s="74"/>
      <c r="CW655" s="74"/>
      <c r="CX655" s="74"/>
      <c r="CY655" s="74"/>
      <c r="CZ655" s="74"/>
      <c r="DA655" s="74"/>
      <c r="DB655" s="74"/>
      <c r="DC655" s="74"/>
      <c r="DD655" s="74"/>
      <c r="DE655" s="74"/>
      <c r="DF655" s="74"/>
      <c r="DG655" s="74"/>
      <c r="DH655" s="74"/>
      <c r="DI655" s="74"/>
      <c r="DJ655" s="74"/>
      <c r="DK655" s="74"/>
      <c r="DL655" s="74"/>
      <c r="DM655" s="74"/>
      <c r="DN655" s="74"/>
      <c r="DO655" s="74"/>
      <c r="DP655" s="74"/>
      <c r="DQ655" s="74"/>
      <c r="DR655" s="74"/>
      <c r="DS655" s="74"/>
      <c r="DT655" s="74"/>
      <c r="DU655" s="74"/>
      <c r="DV655" s="74"/>
      <c r="DW655" s="74"/>
      <c r="DX655" s="74"/>
      <c r="DY655" s="74"/>
      <c r="DZ655" s="8">
        <f t="shared" si="178"/>
        <v>0</v>
      </c>
      <c r="EA655" s="3">
        <f t="shared" si="179"/>
        <v>0</v>
      </c>
      <c r="EB655" s="2">
        <f t="shared" si="180"/>
        <v>0</v>
      </c>
      <c r="EC655" s="112">
        <f t="shared" si="189"/>
        <v>0</v>
      </c>
      <c r="ED655" s="29">
        <f t="shared" si="181"/>
        <v>0</v>
      </c>
      <c r="EE655" s="2">
        <f t="shared" si="182"/>
        <v>0</v>
      </c>
      <c r="EF655" s="46">
        <f t="shared" si="183"/>
        <v>0</v>
      </c>
      <c r="EG655" s="46">
        <f t="shared" si="184"/>
        <v>0</v>
      </c>
      <c r="EH655" s="2">
        <f t="shared" si="185"/>
        <v>0</v>
      </c>
      <c r="EI655" s="29">
        <f>IF(COUNT(I655:AD655)&lt;5,DZ655,SUMPRODUCT(LARGE(I655:AD655,{1,2,3,4,5}))/5)</f>
        <v>0</v>
      </c>
      <c r="EJ655" s="29">
        <f>IF(COUNT(I655:BE655)&lt;5,DZ655,SUMPRODUCT(LARGE(I655:BE655,{1,2,3,4,5}))/5)</f>
        <v>0</v>
      </c>
      <c r="EK655" s="29">
        <f t="shared" si="187"/>
        <v>0</v>
      </c>
      <c r="EL655" s="29">
        <f t="shared" si="188"/>
        <v>0</v>
      </c>
      <c r="EM655" s="116">
        <f t="shared" si="186"/>
        <v>0</v>
      </c>
      <c r="EQ655"/>
    </row>
    <row r="656" spans="1:147" x14ac:dyDescent="0.25">
      <c r="A656" s="59"/>
      <c r="B656" s="32"/>
      <c r="C656" s="5"/>
      <c r="D656" s="6"/>
      <c r="E656" s="6"/>
      <c r="F656" s="6"/>
      <c r="G656" s="5"/>
      <c r="H656" s="37"/>
      <c r="I656" s="36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227"/>
      <c r="Z656" s="228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4"/>
      <c r="AP656" s="7"/>
      <c r="AQ656" s="74"/>
      <c r="AR656" s="70"/>
      <c r="AS656" s="7"/>
      <c r="AT656" s="70"/>
      <c r="AU656" s="7"/>
      <c r="AV656" s="70"/>
      <c r="AW656" s="7"/>
      <c r="AX656" s="8"/>
      <c r="AY656" s="36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4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101"/>
      <c r="CL656" s="74"/>
      <c r="CM656" s="74"/>
      <c r="CN656" s="74"/>
      <c r="CO656" s="70"/>
      <c r="CP656" s="74"/>
      <c r="CQ656" s="7"/>
      <c r="CR656" s="74"/>
      <c r="CS656" s="74"/>
      <c r="CT656" s="74"/>
      <c r="CU656" s="74"/>
      <c r="CV656" s="7"/>
      <c r="CW656" s="7"/>
      <c r="CX656" s="7"/>
      <c r="CY656" s="7"/>
      <c r="CZ656" s="7"/>
      <c r="DA656" s="7"/>
      <c r="DB656" s="7"/>
      <c r="DC656" s="7"/>
      <c r="DD656" s="7"/>
      <c r="DE656" s="74"/>
      <c r="DF656" s="74"/>
      <c r="DG656" s="74"/>
      <c r="DH656" s="7"/>
      <c r="DI656" s="7"/>
      <c r="DJ656" s="7"/>
      <c r="DK656" s="7"/>
      <c r="DL656" s="7"/>
      <c r="DM656" s="7"/>
      <c r="DN656" s="7"/>
      <c r="DO656" s="7"/>
      <c r="DP656" s="7"/>
      <c r="DQ656" s="74"/>
      <c r="DR656" s="74"/>
      <c r="DS656" s="7"/>
      <c r="DT656" s="7"/>
      <c r="DU656" s="7"/>
      <c r="DV656" s="7"/>
      <c r="DW656" s="7"/>
      <c r="DX656" s="7"/>
      <c r="DY656" s="7"/>
      <c r="DZ656" s="8">
        <f t="shared" si="178"/>
        <v>0</v>
      </c>
      <c r="EA656" s="3">
        <f t="shared" si="179"/>
        <v>0</v>
      </c>
      <c r="EB656" s="2">
        <f t="shared" si="180"/>
        <v>0</v>
      </c>
      <c r="EC656" s="112">
        <f t="shared" si="189"/>
        <v>0</v>
      </c>
      <c r="ED656" s="29">
        <f t="shared" si="181"/>
        <v>0</v>
      </c>
      <c r="EE656" s="2">
        <f t="shared" si="182"/>
        <v>0</v>
      </c>
      <c r="EF656" s="46">
        <f t="shared" si="183"/>
        <v>0</v>
      </c>
      <c r="EG656" s="46">
        <f t="shared" si="184"/>
        <v>0</v>
      </c>
      <c r="EH656" s="2">
        <f t="shared" si="185"/>
        <v>0</v>
      </c>
      <c r="EI656" s="29">
        <f>IF(COUNT(I656:AD656)&lt;5,DZ656,SUMPRODUCT(LARGE(I656:AD656,{1,2,3,4,5}))/5)</f>
        <v>0</v>
      </c>
      <c r="EJ656" s="29">
        <f>IF(COUNT(I656:BE656)&lt;5,DZ656,SUMPRODUCT(LARGE(I656:BE656,{1,2,3,4,5}))/5)</f>
        <v>0</v>
      </c>
      <c r="EK656" s="29">
        <f t="shared" si="187"/>
        <v>0</v>
      </c>
      <c r="EL656" s="29">
        <f t="shared" si="188"/>
        <v>0</v>
      </c>
      <c r="EM656" s="116">
        <f t="shared" si="186"/>
        <v>0</v>
      </c>
      <c r="EQ656"/>
    </row>
    <row r="657" spans="1:147" x14ac:dyDescent="0.25">
      <c r="A657" s="59"/>
      <c r="B657" s="32"/>
      <c r="C657" s="5"/>
      <c r="D657" s="6"/>
      <c r="E657" s="6"/>
      <c r="F657" s="6"/>
      <c r="G657" s="5"/>
      <c r="H657" s="99"/>
      <c r="I657" s="107"/>
      <c r="J657" s="7"/>
      <c r="K657" s="74"/>
      <c r="L657" s="7"/>
      <c r="M657" s="74"/>
      <c r="N657" s="74"/>
      <c r="O657" s="7"/>
      <c r="P657" s="74"/>
      <c r="Q657" s="7"/>
      <c r="R657" s="74"/>
      <c r="S657" s="74"/>
      <c r="T657" s="7"/>
      <c r="U657" s="7"/>
      <c r="V657" s="74"/>
      <c r="W657" s="74"/>
      <c r="X657" s="74"/>
      <c r="Y657" s="227"/>
      <c r="Z657" s="228"/>
      <c r="AA657" s="74"/>
      <c r="AB657" s="74"/>
      <c r="AC657" s="74"/>
      <c r="AD657" s="74"/>
      <c r="AE657" s="7"/>
      <c r="AF657" s="74"/>
      <c r="AG657" s="74"/>
      <c r="AH657" s="7"/>
      <c r="AI657" s="7"/>
      <c r="AJ657" s="7"/>
      <c r="AK657" s="7"/>
      <c r="AL657" s="7"/>
      <c r="AM657" s="7"/>
      <c r="AN657" s="7"/>
      <c r="AO657" s="74"/>
      <c r="AP657" s="7"/>
      <c r="AQ657" s="74"/>
      <c r="AR657" s="101"/>
      <c r="AS657" s="7"/>
      <c r="AT657" s="101"/>
      <c r="AU657" s="7"/>
      <c r="AV657" s="101"/>
      <c r="AW657" s="7"/>
      <c r="AX657" s="183"/>
      <c r="AY657" s="107"/>
      <c r="AZ657" s="74"/>
      <c r="BA657" s="74"/>
      <c r="BB657" s="74"/>
      <c r="BC657" s="74"/>
      <c r="BD657" s="74"/>
      <c r="BE657" s="74"/>
      <c r="BF657" s="74"/>
      <c r="BG657" s="74"/>
      <c r="BH657" s="74"/>
      <c r="BI657" s="74"/>
      <c r="BJ657" s="74"/>
      <c r="BK657" s="7"/>
      <c r="BL657" s="74"/>
      <c r="BM657" s="7"/>
      <c r="BN657" s="74"/>
      <c r="BO657" s="74"/>
      <c r="BP657" s="74"/>
      <c r="BQ657" s="74"/>
      <c r="BR657" s="74"/>
      <c r="BS657" s="74"/>
      <c r="BT657" s="74"/>
      <c r="BU657" s="74"/>
      <c r="BV657" s="74"/>
      <c r="BW657" s="74"/>
      <c r="BX657" s="74"/>
      <c r="BY657" s="74"/>
      <c r="BZ657" s="74"/>
      <c r="CA657" s="74"/>
      <c r="CB657" s="74"/>
      <c r="CC657" s="74"/>
      <c r="CD657" s="74"/>
      <c r="CE657" s="7"/>
      <c r="CF657" s="74"/>
      <c r="CG657" s="74"/>
      <c r="CH657" s="7"/>
      <c r="CI657" s="74"/>
      <c r="CJ657" s="74"/>
      <c r="CK657" s="101"/>
      <c r="CL657" s="74"/>
      <c r="CM657" s="74"/>
      <c r="CN657" s="74"/>
      <c r="CO657" s="101"/>
      <c r="CP657" s="74"/>
      <c r="CQ657" s="74"/>
      <c r="CR657" s="74"/>
      <c r="CS657" s="74"/>
      <c r="CT657" s="74"/>
      <c r="CU657" s="74"/>
      <c r="CV657" s="74"/>
      <c r="CW657" s="74"/>
      <c r="CX657" s="74"/>
      <c r="CY657" s="74"/>
      <c r="CZ657" s="74"/>
      <c r="DA657" s="74"/>
      <c r="DB657" s="74"/>
      <c r="DC657" s="74"/>
      <c r="DD657" s="74"/>
      <c r="DE657" s="74"/>
      <c r="DF657" s="74"/>
      <c r="DG657" s="74"/>
      <c r="DH657" s="74"/>
      <c r="DI657" s="74"/>
      <c r="DJ657" s="74"/>
      <c r="DK657" s="74"/>
      <c r="DL657" s="74"/>
      <c r="DM657" s="74"/>
      <c r="DN657" s="74"/>
      <c r="DO657" s="74"/>
      <c r="DP657" s="74"/>
      <c r="DQ657" s="74"/>
      <c r="DR657" s="74"/>
      <c r="DS657" s="74"/>
      <c r="DT657" s="74"/>
      <c r="DU657" s="74"/>
      <c r="DV657" s="74"/>
      <c r="DW657" s="74"/>
      <c r="DX657" s="74"/>
      <c r="DY657" s="74"/>
      <c r="DZ657" s="8">
        <f t="shared" si="178"/>
        <v>0</v>
      </c>
      <c r="EA657" s="3">
        <f t="shared" si="179"/>
        <v>0</v>
      </c>
      <c r="EB657" s="2">
        <f t="shared" si="180"/>
        <v>0</v>
      </c>
      <c r="EC657" s="112">
        <f t="shared" si="189"/>
        <v>0</v>
      </c>
      <c r="ED657" s="29">
        <f t="shared" si="181"/>
        <v>0</v>
      </c>
      <c r="EE657" s="2">
        <f t="shared" si="182"/>
        <v>0</v>
      </c>
      <c r="EF657" s="46">
        <f t="shared" si="183"/>
        <v>0</v>
      </c>
      <c r="EG657" s="46">
        <f t="shared" si="184"/>
        <v>0</v>
      </c>
      <c r="EH657" s="2">
        <f t="shared" si="185"/>
        <v>0</v>
      </c>
      <c r="EI657" s="29">
        <f>IF(COUNT(I657:AD657)&lt;5,DZ657,SUMPRODUCT(LARGE(I657:AD657,{1,2,3,4,5}))/5)</f>
        <v>0</v>
      </c>
      <c r="EJ657" s="29">
        <f>IF(COUNT(I657:BE657)&lt;5,DZ657,SUMPRODUCT(LARGE(I657:BE657,{1,2,3,4,5}))/5)</f>
        <v>0</v>
      </c>
      <c r="EK657" s="29">
        <f t="shared" si="187"/>
        <v>0</v>
      </c>
      <c r="EL657" s="29">
        <f t="shared" si="188"/>
        <v>0</v>
      </c>
      <c r="EM657" s="116">
        <f t="shared" si="186"/>
        <v>0</v>
      </c>
      <c r="EN657" s="46">
        <f>COUNT(Q657:CF657)</f>
        <v>0</v>
      </c>
      <c r="EQ657"/>
    </row>
    <row r="658" spans="1:147" x14ac:dyDescent="0.25">
      <c r="A658" s="59"/>
      <c r="B658" s="32"/>
      <c r="C658" s="5"/>
      <c r="D658" s="6"/>
      <c r="E658" s="6"/>
      <c r="F658" s="6"/>
      <c r="G658" s="5"/>
      <c r="H658" s="99"/>
      <c r="I658" s="107"/>
      <c r="J658" s="7"/>
      <c r="K658" s="74"/>
      <c r="L658" s="7"/>
      <c r="M658" s="74"/>
      <c r="N658" s="74"/>
      <c r="O658" s="7"/>
      <c r="P658" s="74"/>
      <c r="Q658" s="7"/>
      <c r="R658" s="74"/>
      <c r="S658" s="74"/>
      <c r="T658" s="7"/>
      <c r="U658" s="7"/>
      <c r="V658" s="74"/>
      <c r="W658" s="74"/>
      <c r="X658" s="74"/>
      <c r="Y658" s="227"/>
      <c r="Z658" s="228"/>
      <c r="AA658" s="74"/>
      <c r="AB658" s="74"/>
      <c r="AC658" s="74"/>
      <c r="AD658" s="74"/>
      <c r="AE658" s="7"/>
      <c r="AF658" s="74"/>
      <c r="AG658" s="74"/>
      <c r="AH658" s="7"/>
      <c r="AI658" s="7"/>
      <c r="AJ658" s="7"/>
      <c r="AK658" s="7"/>
      <c r="AL658" s="7"/>
      <c r="AM658" s="7"/>
      <c r="AN658" s="7"/>
      <c r="AO658" s="74"/>
      <c r="AP658" s="7"/>
      <c r="AQ658" s="74"/>
      <c r="AR658" s="101"/>
      <c r="AS658" s="7"/>
      <c r="AT658" s="101"/>
      <c r="AU658" s="7"/>
      <c r="AV658" s="101"/>
      <c r="AW658" s="7"/>
      <c r="AX658" s="183"/>
      <c r="AY658" s="107"/>
      <c r="AZ658" s="74"/>
      <c r="BA658" s="74"/>
      <c r="BB658" s="74"/>
      <c r="BC658" s="74"/>
      <c r="BD658" s="74"/>
      <c r="BE658" s="74"/>
      <c r="BF658" s="74"/>
      <c r="BG658" s="74"/>
      <c r="BH658" s="74"/>
      <c r="BI658" s="74"/>
      <c r="BJ658" s="74"/>
      <c r="BK658" s="7"/>
      <c r="BL658" s="74"/>
      <c r="BM658" s="7"/>
      <c r="BN658" s="74"/>
      <c r="BO658" s="74"/>
      <c r="BP658" s="74"/>
      <c r="BQ658" s="74"/>
      <c r="BR658" s="74"/>
      <c r="BS658" s="74"/>
      <c r="BT658" s="74"/>
      <c r="BU658" s="74"/>
      <c r="BV658" s="74"/>
      <c r="BW658" s="74"/>
      <c r="BX658" s="74"/>
      <c r="BY658" s="74"/>
      <c r="BZ658" s="74"/>
      <c r="CA658" s="74"/>
      <c r="CB658" s="74"/>
      <c r="CC658" s="74"/>
      <c r="CD658" s="74"/>
      <c r="CE658" s="7"/>
      <c r="CF658" s="74"/>
      <c r="CG658" s="74"/>
      <c r="CH658" s="7"/>
      <c r="CI658" s="74"/>
      <c r="CJ658" s="74"/>
      <c r="CK658" s="101"/>
      <c r="CL658" s="74"/>
      <c r="CM658" s="74"/>
      <c r="CN658" s="74"/>
      <c r="CO658" s="101"/>
      <c r="CP658" s="74"/>
      <c r="CQ658" s="74"/>
      <c r="CR658" s="74"/>
      <c r="CS658" s="74"/>
      <c r="CT658" s="74"/>
      <c r="CU658" s="74"/>
      <c r="CV658" s="74"/>
      <c r="CW658" s="74"/>
      <c r="CX658" s="74"/>
      <c r="CY658" s="74"/>
      <c r="CZ658" s="74"/>
      <c r="DA658" s="74"/>
      <c r="DB658" s="74"/>
      <c r="DC658" s="74"/>
      <c r="DD658" s="74"/>
      <c r="DE658" s="74"/>
      <c r="DF658" s="74"/>
      <c r="DG658" s="74"/>
      <c r="DH658" s="74"/>
      <c r="DI658" s="74"/>
      <c r="DJ658" s="74"/>
      <c r="DK658" s="74"/>
      <c r="DL658" s="74"/>
      <c r="DM658" s="74"/>
      <c r="DN658" s="74"/>
      <c r="DO658" s="74"/>
      <c r="DP658" s="74"/>
      <c r="DQ658" s="74"/>
      <c r="DR658" s="74"/>
      <c r="DS658" s="74"/>
      <c r="DT658" s="74"/>
      <c r="DU658" s="74"/>
      <c r="DV658" s="74"/>
      <c r="DW658" s="74"/>
      <c r="DX658" s="74"/>
      <c r="DY658" s="74"/>
      <c r="DZ658" s="8">
        <f t="shared" si="178"/>
        <v>0</v>
      </c>
      <c r="EA658" s="3">
        <f t="shared" si="179"/>
        <v>0</v>
      </c>
      <c r="EB658" s="2">
        <f t="shared" si="180"/>
        <v>0</v>
      </c>
      <c r="EC658" s="112">
        <f t="shared" si="189"/>
        <v>0</v>
      </c>
      <c r="ED658" s="29">
        <f t="shared" si="181"/>
        <v>0</v>
      </c>
      <c r="EE658" s="2">
        <f t="shared" si="182"/>
        <v>0</v>
      </c>
      <c r="EF658" s="46">
        <f t="shared" si="183"/>
        <v>0</v>
      </c>
      <c r="EG658" s="46">
        <f t="shared" si="184"/>
        <v>0</v>
      </c>
      <c r="EH658" s="2">
        <f t="shared" si="185"/>
        <v>0</v>
      </c>
      <c r="EI658" s="29">
        <f>IF(COUNT(I658:AD658)&lt;5,DZ658,SUMPRODUCT(LARGE(I658:AD658,{1,2,3,4,5}))/5)</f>
        <v>0</v>
      </c>
      <c r="EJ658" s="29">
        <f>IF(COUNT(I658:BE658)&lt;5,DZ658,SUMPRODUCT(LARGE(I658:BE658,{1,2,3,4,5}))/5)</f>
        <v>0</v>
      </c>
      <c r="EK658" s="29">
        <f t="shared" si="187"/>
        <v>0</v>
      </c>
      <c r="EL658" s="29">
        <f t="shared" si="188"/>
        <v>0</v>
      </c>
      <c r="EM658" s="116">
        <f t="shared" si="186"/>
        <v>0</v>
      </c>
      <c r="EN658" s="46"/>
      <c r="EQ658"/>
    </row>
    <row r="659" spans="1:147" x14ac:dyDescent="0.25">
      <c r="A659" s="59"/>
      <c r="B659" s="54"/>
      <c r="C659" s="55"/>
      <c r="D659" s="55"/>
      <c r="E659" s="6"/>
      <c r="F659" s="6"/>
      <c r="G659" s="5"/>
      <c r="H659" s="99"/>
      <c r="I659" s="107"/>
      <c r="J659" s="7"/>
      <c r="K659" s="74"/>
      <c r="L659" s="7"/>
      <c r="M659" s="74"/>
      <c r="N659" s="74"/>
      <c r="O659" s="7"/>
      <c r="P659" s="74"/>
      <c r="Q659" s="7"/>
      <c r="R659" s="74"/>
      <c r="S659" s="74"/>
      <c r="T659" s="74"/>
      <c r="U659" s="7"/>
      <c r="V659" s="74"/>
      <c r="W659" s="7"/>
      <c r="X659" s="74"/>
      <c r="Y659" s="227"/>
      <c r="Z659" s="228"/>
      <c r="AA659" s="74"/>
      <c r="AB659" s="74"/>
      <c r="AC659" s="74"/>
      <c r="AD659" s="74"/>
      <c r="AE659" s="7"/>
      <c r="AF659" s="74"/>
      <c r="AG659" s="74"/>
      <c r="AH659" s="7"/>
      <c r="AI659" s="7"/>
      <c r="AJ659" s="7"/>
      <c r="AK659" s="7"/>
      <c r="AL659" s="7"/>
      <c r="AM659" s="7"/>
      <c r="AN659" s="7"/>
      <c r="AO659" s="74"/>
      <c r="AP659" s="7"/>
      <c r="AQ659" s="74"/>
      <c r="AR659" s="101"/>
      <c r="AS659" s="7"/>
      <c r="AT659" s="101"/>
      <c r="AU659" s="7"/>
      <c r="AV659" s="101"/>
      <c r="AW659" s="7"/>
      <c r="AX659" s="8"/>
      <c r="AY659" s="36"/>
      <c r="AZ659" s="74"/>
      <c r="BA659" s="74"/>
      <c r="BB659" s="74"/>
      <c r="BC659" s="74"/>
      <c r="BD659" s="74"/>
      <c r="BE659" s="74"/>
      <c r="BF659" s="74"/>
      <c r="BG659" s="74"/>
      <c r="BH659" s="74"/>
      <c r="BI659" s="74"/>
      <c r="BJ659" s="74"/>
      <c r="BK659" s="7"/>
      <c r="BL659" s="74"/>
      <c r="BM659" s="7"/>
      <c r="BN659" s="74"/>
      <c r="BO659" s="74"/>
      <c r="BP659" s="74"/>
      <c r="BQ659" s="74"/>
      <c r="BR659" s="74"/>
      <c r="BS659" s="74"/>
      <c r="BT659" s="74"/>
      <c r="BU659" s="74"/>
      <c r="BV659" s="74"/>
      <c r="BW659" s="74"/>
      <c r="BX659" s="74"/>
      <c r="BY659" s="74"/>
      <c r="BZ659" s="74"/>
      <c r="CA659" s="74"/>
      <c r="CB659" s="74"/>
      <c r="CC659" s="74"/>
      <c r="CD659" s="74"/>
      <c r="CE659" s="74"/>
      <c r="CF659" s="74"/>
      <c r="CG659" s="74"/>
      <c r="CH659" s="74"/>
      <c r="CI659" s="74"/>
      <c r="CJ659" s="74"/>
      <c r="CK659" s="101"/>
      <c r="CL659" s="74"/>
      <c r="CM659" s="74"/>
      <c r="CN659" s="74"/>
      <c r="CO659" s="101"/>
      <c r="CP659" s="74"/>
      <c r="CQ659" s="74"/>
      <c r="CR659" s="74"/>
      <c r="CS659" s="74"/>
      <c r="CT659" s="74"/>
      <c r="CU659" s="74"/>
      <c r="CV659" s="74"/>
      <c r="CW659" s="74"/>
      <c r="CX659" s="74"/>
      <c r="CY659" s="74"/>
      <c r="CZ659" s="74"/>
      <c r="DA659" s="74"/>
      <c r="DB659" s="74"/>
      <c r="DC659" s="74"/>
      <c r="DD659" s="74"/>
      <c r="DE659" s="74"/>
      <c r="DF659" s="74"/>
      <c r="DG659" s="74"/>
      <c r="DH659" s="74"/>
      <c r="DI659" s="74"/>
      <c r="DJ659" s="74"/>
      <c r="DK659" s="74"/>
      <c r="DL659" s="74"/>
      <c r="DM659" s="74"/>
      <c r="DN659" s="74"/>
      <c r="DO659" s="74"/>
      <c r="DP659" s="74"/>
      <c r="DQ659" s="74"/>
      <c r="DR659" s="74"/>
      <c r="DS659" s="74"/>
      <c r="DT659" s="74"/>
      <c r="DU659" s="74"/>
      <c r="DV659" s="74"/>
      <c r="DW659" s="74"/>
      <c r="DX659" s="74"/>
      <c r="DY659" s="74"/>
      <c r="DZ659" s="8">
        <f t="shared" si="178"/>
        <v>0</v>
      </c>
      <c r="EA659" s="3">
        <f t="shared" si="179"/>
        <v>0</v>
      </c>
      <c r="EB659" s="2">
        <f t="shared" si="180"/>
        <v>0</v>
      </c>
      <c r="EC659" s="112">
        <f t="shared" si="189"/>
        <v>0</v>
      </c>
      <c r="ED659" s="29">
        <f t="shared" si="181"/>
        <v>0</v>
      </c>
      <c r="EE659" s="2">
        <f t="shared" si="182"/>
        <v>0</v>
      </c>
      <c r="EF659" s="46">
        <f t="shared" si="183"/>
        <v>0</v>
      </c>
      <c r="EG659" s="46">
        <f t="shared" si="184"/>
        <v>0</v>
      </c>
      <c r="EH659" s="29">
        <f t="shared" si="185"/>
        <v>0</v>
      </c>
      <c r="EI659" s="29">
        <f>IF(COUNT(I659:AD659)&lt;5,DZ659,SUMPRODUCT(LARGE(I659:AD659,{1,2,3,4,5}))/5)</f>
        <v>0</v>
      </c>
      <c r="EJ659" s="29">
        <f>IF(COUNT(I659:BE659)&lt;5,DZ659,SUMPRODUCT(LARGE(I659:BE659,{1,2,3,4,5}))/5)</f>
        <v>0</v>
      </c>
      <c r="EK659" s="29">
        <f t="shared" si="187"/>
        <v>0</v>
      </c>
      <c r="EL659" s="29">
        <f t="shared" si="188"/>
        <v>0</v>
      </c>
      <c r="EM659" s="116">
        <f t="shared" si="186"/>
        <v>0</v>
      </c>
      <c r="EN659" s="46"/>
      <c r="EQ659"/>
    </row>
    <row r="660" spans="1:147" x14ac:dyDescent="0.25">
      <c r="A660" s="59"/>
      <c r="B660" s="4"/>
      <c r="C660" s="5"/>
      <c r="D660" s="6"/>
      <c r="E660" s="6"/>
      <c r="F660" s="6"/>
      <c r="G660" s="5"/>
      <c r="H660" s="37"/>
      <c r="I660" s="107"/>
      <c r="J660" s="7"/>
      <c r="K660" s="74"/>
      <c r="L660" s="7"/>
      <c r="M660" s="74"/>
      <c r="N660" s="74"/>
      <c r="O660" s="7"/>
      <c r="P660" s="74"/>
      <c r="Q660" s="7"/>
      <c r="R660" s="74"/>
      <c r="S660" s="74"/>
      <c r="T660" s="7"/>
      <c r="U660" s="7"/>
      <c r="V660" s="74"/>
      <c r="W660" s="74"/>
      <c r="X660" s="74"/>
      <c r="Y660" s="227"/>
      <c r="Z660" s="228"/>
      <c r="AA660" s="74"/>
      <c r="AB660" s="74"/>
      <c r="AC660" s="74"/>
      <c r="AD660" s="74"/>
      <c r="AE660" s="7"/>
      <c r="AF660" s="74"/>
      <c r="AG660" s="74"/>
      <c r="AH660" s="7"/>
      <c r="AI660" s="7"/>
      <c r="AJ660" s="7"/>
      <c r="AK660" s="7"/>
      <c r="AL660" s="7"/>
      <c r="AM660" s="7"/>
      <c r="AN660" s="7"/>
      <c r="AO660" s="74"/>
      <c r="AP660" s="7"/>
      <c r="AQ660" s="74"/>
      <c r="AR660" s="101"/>
      <c r="AS660" s="7"/>
      <c r="AT660" s="101"/>
      <c r="AU660" s="7"/>
      <c r="AV660" s="101"/>
      <c r="AW660" s="7"/>
      <c r="AX660" s="183"/>
      <c r="AY660" s="107"/>
      <c r="AZ660" s="74"/>
      <c r="BA660" s="74"/>
      <c r="BB660" s="74"/>
      <c r="BC660" s="74"/>
      <c r="BD660" s="74"/>
      <c r="BE660" s="74"/>
      <c r="BF660" s="74"/>
      <c r="BG660" s="74"/>
      <c r="BH660" s="74"/>
      <c r="BI660" s="74"/>
      <c r="BJ660" s="74"/>
      <c r="BK660" s="7"/>
      <c r="BL660" s="74"/>
      <c r="BM660" s="7"/>
      <c r="BN660" s="74"/>
      <c r="BO660" s="74"/>
      <c r="BP660" s="74"/>
      <c r="BQ660" s="74"/>
      <c r="BR660" s="74"/>
      <c r="BS660" s="74"/>
      <c r="BT660" s="74"/>
      <c r="BU660" s="74"/>
      <c r="BV660" s="74"/>
      <c r="BW660" s="74"/>
      <c r="BX660" s="74"/>
      <c r="BY660" s="74"/>
      <c r="BZ660" s="74"/>
      <c r="CA660" s="74"/>
      <c r="CB660" s="74"/>
      <c r="CC660" s="74"/>
      <c r="CD660" s="74"/>
      <c r="CE660" s="7"/>
      <c r="CF660" s="74"/>
      <c r="CG660" s="74"/>
      <c r="CH660" s="7"/>
      <c r="CI660" s="74"/>
      <c r="CJ660" s="74"/>
      <c r="CK660" s="101"/>
      <c r="CL660" s="74"/>
      <c r="CM660" s="74"/>
      <c r="CN660" s="74"/>
      <c r="CO660" s="101"/>
      <c r="CP660" s="74"/>
      <c r="CQ660" s="74"/>
      <c r="CR660" s="74"/>
      <c r="CS660" s="74"/>
      <c r="CT660" s="74"/>
      <c r="CU660" s="74"/>
      <c r="CV660" s="74"/>
      <c r="CW660" s="74"/>
      <c r="CX660" s="74"/>
      <c r="CY660" s="74"/>
      <c r="CZ660" s="74"/>
      <c r="DA660" s="74"/>
      <c r="DB660" s="74"/>
      <c r="DC660" s="74"/>
      <c r="DD660" s="74"/>
      <c r="DE660" s="74"/>
      <c r="DF660" s="74"/>
      <c r="DG660" s="74"/>
      <c r="DH660" s="74"/>
      <c r="DI660" s="74"/>
      <c r="DJ660" s="74"/>
      <c r="DK660" s="74"/>
      <c r="DL660" s="74"/>
      <c r="DM660" s="74"/>
      <c r="DN660" s="74"/>
      <c r="DO660" s="74"/>
      <c r="DP660" s="74"/>
      <c r="DQ660" s="74"/>
      <c r="DR660" s="74"/>
      <c r="DS660" s="74"/>
      <c r="DT660" s="74"/>
      <c r="DU660" s="74"/>
      <c r="DV660" s="74"/>
      <c r="DW660" s="74"/>
      <c r="DX660" s="74"/>
      <c r="DY660" s="74"/>
      <c r="DZ660" s="8">
        <f t="shared" si="178"/>
        <v>0</v>
      </c>
      <c r="EA660" s="3">
        <f t="shared" si="179"/>
        <v>0</v>
      </c>
      <c r="EB660" s="2">
        <f t="shared" si="180"/>
        <v>0</v>
      </c>
      <c r="EC660" s="112">
        <f t="shared" si="189"/>
        <v>0</v>
      </c>
      <c r="ED660" s="29">
        <f t="shared" si="181"/>
        <v>0</v>
      </c>
      <c r="EE660" s="2">
        <f t="shared" si="182"/>
        <v>0</v>
      </c>
      <c r="EF660" s="46">
        <f t="shared" si="183"/>
        <v>0</v>
      </c>
      <c r="EG660" s="46">
        <f t="shared" si="184"/>
        <v>0</v>
      </c>
      <c r="EH660" s="29">
        <f t="shared" si="185"/>
        <v>0</v>
      </c>
      <c r="EI660" s="29">
        <f>IF(COUNT(I660:AD660)&lt;5,DZ660,SUMPRODUCT(LARGE(I660:AD660,{1,2,3,4,5}))/5)</f>
        <v>0</v>
      </c>
      <c r="EJ660" s="29">
        <f>IF(COUNT(I660:BE660)&lt;5,DZ660,SUMPRODUCT(LARGE(I660:BE660,{1,2,3,4,5}))/5)</f>
        <v>0</v>
      </c>
      <c r="EK660" s="29">
        <f t="shared" si="187"/>
        <v>0</v>
      </c>
      <c r="EL660" s="29">
        <f t="shared" si="188"/>
        <v>0</v>
      </c>
      <c r="EM660" s="116">
        <f t="shared" si="186"/>
        <v>0</v>
      </c>
      <c r="EN660" s="46"/>
      <c r="EQ660"/>
    </row>
    <row r="661" spans="1:147" x14ac:dyDescent="0.25">
      <c r="A661" s="59"/>
      <c r="B661" s="32"/>
      <c r="C661" s="5"/>
      <c r="D661" s="6"/>
      <c r="E661" s="6"/>
      <c r="F661" s="6"/>
      <c r="G661" s="5"/>
      <c r="H661" s="37"/>
      <c r="I661" s="107"/>
      <c r="J661" s="7"/>
      <c r="K661" s="74"/>
      <c r="L661" s="7"/>
      <c r="M661" s="74"/>
      <c r="N661" s="74"/>
      <c r="O661" s="7"/>
      <c r="P661" s="74"/>
      <c r="Q661" s="7"/>
      <c r="R661" s="74"/>
      <c r="S661" s="74"/>
      <c r="T661" s="7"/>
      <c r="U661" s="7"/>
      <c r="V661" s="74"/>
      <c r="W661" s="74"/>
      <c r="X661" s="74"/>
      <c r="Y661" s="227"/>
      <c r="Z661" s="228"/>
      <c r="AA661" s="74"/>
      <c r="AB661" s="74"/>
      <c r="AC661" s="74"/>
      <c r="AD661" s="74"/>
      <c r="AE661" s="7"/>
      <c r="AF661" s="74"/>
      <c r="AG661" s="74"/>
      <c r="AH661" s="7"/>
      <c r="AI661" s="7"/>
      <c r="AJ661" s="7"/>
      <c r="AK661" s="7"/>
      <c r="AL661" s="7"/>
      <c r="AM661" s="7"/>
      <c r="AN661" s="7"/>
      <c r="AO661" s="74"/>
      <c r="AP661" s="7"/>
      <c r="AQ661" s="74"/>
      <c r="AR661" s="101"/>
      <c r="AS661" s="7"/>
      <c r="AT661" s="101"/>
      <c r="AU661" s="7"/>
      <c r="AV661" s="101"/>
      <c r="AW661" s="7"/>
      <c r="AX661" s="183"/>
      <c r="AY661" s="107"/>
      <c r="AZ661" s="74"/>
      <c r="BA661" s="74"/>
      <c r="BB661" s="74"/>
      <c r="BC661" s="74"/>
      <c r="BD661" s="74"/>
      <c r="BE661" s="74"/>
      <c r="BF661" s="74"/>
      <c r="BG661" s="74"/>
      <c r="BH661" s="74"/>
      <c r="BI661" s="74"/>
      <c r="BJ661" s="74"/>
      <c r="BK661" s="7"/>
      <c r="BL661" s="74"/>
      <c r="BM661" s="7"/>
      <c r="BN661" s="74"/>
      <c r="BO661" s="74"/>
      <c r="BP661" s="74"/>
      <c r="BQ661" s="74"/>
      <c r="BR661" s="74"/>
      <c r="BS661" s="74"/>
      <c r="BT661" s="74"/>
      <c r="BU661" s="74"/>
      <c r="BV661" s="74"/>
      <c r="BW661" s="74"/>
      <c r="BX661" s="74"/>
      <c r="BY661" s="74"/>
      <c r="BZ661" s="74"/>
      <c r="CA661" s="74"/>
      <c r="CB661" s="74"/>
      <c r="CC661" s="74"/>
      <c r="CD661" s="74"/>
      <c r="CE661" s="7"/>
      <c r="CF661" s="74"/>
      <c r="CG661" s="74"/>
      <c r="CH661" s="7"/>
      <c r="CI661" s="74"/>
      <c r="CJ661" s="74"/>
      <c r="CK661" s="101"/>
      <c r="CL661" s="74"/>
      <c r="CM661" s="74"/>
      <c r="CN661" s="74"/>
      <c r="CO661" s="101"/>
      <c r="CP661" s="74"/>
      <c r="CQ661" s="74"/>
      <c r="CR661" s="74"/>
      <c r="CS661" s="74"/>
      <c r="CT661" s="74"/>
      <c r="CU661" s="74"/>
      <c r="CV661" s="74"/>
      <c r="CW661" s="74"/>
      <c r="CX661" s="74"/>
      <c r="CY661" s="74"/>
      <c r="CZ661" s="74"/>
      <c r="DA661" s="74"/>
      <c r="DB661" s="74"/>
      <c r="DC661" s="74"/>
      <c r="DD661" s="74"/>
      <c r="DE661" s="74"/>
      <c r="DF661" s="74"/>
      <c r="DG661" s="74"/>
      <c r="DH661" s="74"/>
      <c r="DI661" s="74"/>
      <c r="DJ661" s="74"/>
      <c r="DK661" s="74"/>
      <c r="DL661" s="74"/>
      <c r="DM661" s="74"/>
      <c r="DN661" s="74"/>
      <c r="DO661" s="74"/>
      <c r="DP661" s="74"/>
      <c r="DQ661" s="74"/>
      <c r="DR661" s="74"/>
      <c r="DS661" s="74"/>
      <c r="DT661" s="74"/>
      <c r="DU661" s="74"/>
      <c r="DV661" s="74"/>
      <c r="DW661" s="74"/>
      <c r="DX661" s="74"/>
      <c r="DY661" s="74"/>
      <c r="DZ661" s="8">
        <f t="shared" si="178"/>
        <v>0</v>
      </c>
      <c r="EA661" s="3">
        <f t="shared" si="179"/>
        <v>0</v>
      </c>
      <c r="EB661" s="2">
        <f t="shared" si="180"/>
        <v>0</v>
      </c>
      <c r="EC661" s="112">
        <f t="shared" si="189"/>
        <v>0</v>
      </c>
      <c r="ED661" s="29">
        <f t="shared" si="181"/>
        <v>0</v>
      </c>
      <c r="EE661" s="2">
        <f t="shared" si="182"/>
        <v>0</v>
      </c>
      <c r="EF661" s="46">
        <f t="shared" si="183"/>
        <v>0</v>
      </c>
      <c r="EG661" s="46">
        <f t="shared" si="184"/>
        <v>0</v>
      </c>
      <c r="EH661" s="2">
        <f t="shared" si="185"/>
        <v>0</v>
      </c>
      <c r="EI661" s="29">
        <f>IF(COUNT(I661:AD661)&lt;5,DZ661,SUMPRODUCT(LARGE(I661:AD661,{1,2,3,4,5}))/5)</f>
        <v>0</v>
      </c>
      <c r="EJ661" s="29">
        <f>IF(COUNT(I661:BE661)&lt;5,DZ661,SUMPRODUCT(LARGE(I661:BE661,{1,2,3,4,5}))/5)</f>
        <v>0</v>
      </c>
      <c r="EK661" s="29">
        <f t="shared" si="187"/>
        <v>0</v>
      </c>
      <c r="EL661" s="29">
        <f t="shared" si="188"/>
        <v>0</v>
      </c>
      <c r="EM661" s="116">
        <f t="shared" si="186"/>
        <v>0</v>
      </c>
      <c r="EN661" s="46"/>
      <c r="EQ661"/>
    </row>
    <row r="662" spans="1:147" x14ac:dyDescent="0.25">
      <c r="A662" s="59"/>
      <c r="B662" s="32"/>
      <c r="C662" s="5"/>
      <c r="D662" s="6"/>
      <c r="E662" s="6"/>
      <c r="F662" s="6"/>
      <c r="G662" s="5"/>
      <c r="H662" s="37"/>
      <c r="I662" s="107"/>
      <c r="J662" s="7"/>
      <c r="K662" s="74"/>
      <c r="L662" s="7"/>
      <c r="M662" s="74"/>
      <c r="N662" s="74"/>
      <c r="O662" s="7"/>
      <c r="P662" s="74"/>
      <c r="Q662" s="7"/>
      <c r="R662" s="74"/>
      <c r="S662" s="74"/>
      <c r="T662" s="7"/>
      <c r="U662" s="7"/>
      <c r="V662" s="74"/>
      <c r="W662" s="74"/>
      <c r="X662" s="74"/>
      <c r="Y662" s="227"/>
      <c r="Z662" s="228"/>
      <c r="AA662" s="74"/>
      <c r="AB662" s="74"/>
      <c r="AC662" s="74"/>
      <c r="AD662" s="74"/>
      <c r="AE662" s="7"/>
      <c r="AF662" s="74"/>
      <c r="AG662" s="74"/>
      <c r="AH662" s="7"/>
      <c r="AI662" s="7"/>
      <c r="AJ662" s="7"/>
      <c r="AK662" s="7"/>
      <c r="AL662" s="7"/>
      <c r="AM662" s="7"/>
      <c r="AN662" s="7"/>
      <c r="AO662" s="74"/>
      <c r="AP662" s="7"/>
      <c r="AQ662" s="74"/>
      <c r="AR662" s="101"/>
      <c r="AS662" s="7"/>
      <c r="AT662" s="101"/>
      <c r="AU662" s="7"/>
      <c r="AV662" s="101"/>
      <c r="AW662" s="7"/>
      <c r="AX662" s="183"/>
      <c r="AY662" s="107"/>
      <c r="AZ662" s="74"/>
      <c r="BA662" s="74"/>
      <c r="BB662" s="74"/>
      <c r="BC662" s="74"/>
      <c r="BD662" s="74"/>
      <c r="BE662" s="74"/>
      <c r="BF662" s="74"/>
      <c r="BG662" s="74"/>
      <c r="BH662" s="74"/>
      <c r="BI662" s="74"/>
      <c r="BJ662" s="74"/>
      <c r="BK662" s="7"/>
      <c r="BL662" s="74"/>
      <c r="BM662" s="7"/>
      <c r="BN662" s="74"/>
      <c r="BO662" s="74"/>
      <c r="BP662" s="74"/>
      <c r="BQ662" s="74"/>
      <c r="BR662" s="74"/>
      <c r="BS662" s="74"/>
      <c r="BT662" s="74"/>
      <c r="BU662" s="74"/>
      <c r="BV662" s="74"/>
      <c r="BW662" s="74"/>
      <c r="BX662" s="74"/>
      <c r="BY662" s="74"/>
      <c r="BZ662" s="74"/>
      <c r="CA662" s="74"/>
      <c r="CB662" s="74"/>
      <c r="CC662" s="74"/>
      <c r="CD662" s="74"/>
      <c r="CE662" s="7"/>
      <c r="CF662" s="74"/>
      <c r="CG662" s="74"/>
      <c r="CH662" s="7"/>
      <c r="CI662" s="74"/>
      <c r="CJ662" s="74"/>
      <c r="CK662" s="101"/>
      <c r="CL662" s="74"/>
      <c r="CM662" s="74"/>
      <c r="CN662" s="74"/>
      <c r="CO662" s="101"/>
      <c r="CP662" s="74"/>
      <c r="CQ662" s="74"/>
      <c r="CR662" s="74"/>
      <c r="CS662" s="74"/>
      <c r="CT662" s="74"/>
      <c r="CU662" s="74"/>
      <c r="CV662" s="74"/>
      <c r="CW662" s="74"/>
      <c r="CX662" s="74"/>
      <c r="CY662" s="74"/>
      <c r="CZ662" s="74"/>
      <c r="DA662" s="74"/>
      <c r="DB662" s="74"/>
      <c r="DC662" s="74"/>
      <c r="DD662" s="74"/>
      <c r="DE662" s="74"/>
      <c r="DF662" s="74"/>
      <c r="DG662" s="74"/>
      <c r="DH662" s="74"/>
      <c r="DI662" s="74"/>
      <c r="DJ662" s="74"/>
      <c r="DK662" s="74"/>
      <c r="DL662" s="74"/>
      <c r="DM662" s="74"/>
      <c r="DN662" s="74"/>
      <c r="DO662" s="74"/>
      <c r="DP662" s="74"/>
      <c r="DQ662" s="74"/>
      <c r="DR662" s="74"/>
      <c r="DS662" s="74"/>
      <c r="DT662" s="74"/>
      <c r="DU662" s="74"/>
      <c r="DV662" s="74"/>
      <c r="DW662" s="74"/>
      <c r="DX662" s="74"/>
      <c r="DY662" s="74"/>
      <c r="DZ662" s="8">
        <f t="shared" si="178"/>
        <v>0</v>
      </c>
      <c r="EA662" s="3">
        <f t="shared" si="179"/>
        <v>0</v>
      </c>
      <c r="EB662" s="2">
        <f t="shared" si="180"/>
        <v>0</v>
      </c>
      <c r="EC662" s="112">
        <f t="shared" si="189"/>
        <v>0</v>
      </c>
      <c r="ED662" s="29">
        <f t="shared" si="181"/>
        <v>0</v>
      </c>
      <c r="EE662" s="2">
        <f t="shared" si="182"/>
        <v>0</v>
      </c>
      <c r="EF662" s="46">
        <f t="shared" si="183"/>
        <v>0</v>
      </c>
      <c r="EG662" s="46">
        <f t="shared" si="184"/>
        <v>0</v>
      </c>
      <c r="EH662" s="29">
        <f t="shared" si="185"/>
        <v>0</v>
      </c>
      <c r="EI662" s="29">
        <f>IF(COUNT(I662:AD662)&lt;5,DZ662,SUMPRODUCT(LARGE(I662:AD662,{1,2,3,4,5}))/5)</f>
        <v>0</v>
      </c>
      <c r="EJ662" s="29">
        <f>IF(COUNT(I662:BE662)&lt;5,DZ662,SUMPRODUCT(LARGE(I662:BE662,{1,2,3,4,5}))/5)</f>
        <v>0</v>
      </c>
      <c r="EK662" s="29">
        <f t="shared" si="187"/>
        <v>0</v>
      </c>
      <c r="EL662" s="29">
        <f t="shared" si="188"/>
        <v>0</v>
      </c>
      <c r="EM662" s="116">
        <f t="shared" si="186"/>
        <v>0</v>
      </c>
      <c r="EN662" s="46"/>
      <c r="EQ662"/>
    </row>
    <row r="663" spans="1:147" x14ac:dyDescent="0.25">
      <c r="A663" s="59"/>
      <c r="B663" s="32"/>
      <c r="C663" s="5"/>
      <c r="D663" s="6"/>
      <c r="E663" s="6"/>
      <c r="F663" s="6"/>
      <c r="G663" s="5"/>
      <c r="H663" s="37"/>
      <c r="I663" s="107"/>
      <c r="J663" s="7"/>
      <c r="K663" s="74"/>
      <c r="L663" s="7"/>
      <c r="M663" s="7"/>
      <c r="N663" s="7"/>
      <c r="O663" s="7"/>
      <c r="P663" s="74"/>
      <c r="Q663" s="7"/>
      <c r="R663" s="74"/>
      <c r="S663" s="74"/>
      <c r="T663" s="7"/>
      <c r="U663" s="7"/>
      <c r="V663" s="74"/>
      <c r="W663" s="7"/>
      <c r="X663" s="74"/>
      <c r="Y663" s="227"/>
      <c r="Z663" s="228"/>
      <c r="AA663" s="74"/>
      <c r="AB663" s="74"/>
      <c r="AC663" s="74"/>
      <c r="AD663" s="74"/>
      <c r="AE663" s="7"/>
      <c r="AF663" s="74"/>
      <c r="AG663" s="74"/>
      <c r="AH663" s="74"/>
      <c r="AI663" s="74"/>
      <c r="AJ663" s="74"/>
      <c r="AK663" s="74"/>
      <c r="AL663" s="7"/>
      <c r="AM663" s="74"/>
      <c r="AN663" s="7"/>
      <c r="AO663" s="74"/>
      <c r="AP663" s="7"/>
      <c r="AQ663" s="74"/>
      <c r="AR663" s="101"/>
      <c r="AS663" s="7"/>
      <c r="AT663" s="101"/>
      <c r="AU663" s="7"/>
      <c r="AV663" s="101"/>
      <c r="AW663" s="7"/>
      <c r="AX663" s="183"/>
      <c r="AY663" s="107"/>
      <c r="AZ663" s="74"/>
      <c r="BA663" s="74"/>
      <c r="BB663" s="74"/>
      <c r="BC663" s="74"/>
      <c r="BD663" s="74"/>
      <c r="BE663" s="74"/>
      <c r="BF663" s="74"/>
      <c r="BG663" s="74"/>
      <c r="BH663" s="74"/>
      <c r="BI663" s="74"/>
      <c r="BJ663" s="74"/>
      <c r="BK663" s="7"/>
      <c r="BL663" s="74"/>
      <c r="BM663" s="7"/>
      <c r="BN663" s="74"/>
      <c r="BO663" s="74"/>
      <c r="BP663" s="74"/>
      <c r="BQ663" s="74"/>
      <c r="BR663" s="74"/>
      <c r="BS663" s="74"/>
      <c r="BT663" s="74"/>
      <c r="BU663" s="74"/>
      <c r="BV663" s="74"/>
      <c r="BW663" s="74"/>
      <c r="BX663" s="74"/>
      <c r="BY663" s="74"/>
      <c r="BZ663" s="74"/>
      <c r="CA663" s="74"/>
      <c r="CB663" s="74"/>
      <c r="CC663" s="74"/>
      <c r="CD663" s="74"/>
      <c r="CE663" s="74"/>
      <c r="CF663" s="74"/>
      <c r="CG663" s="74"/>
      <c r="CH663" s="74"/>
      <c r="CI663" s="74"/>
      <c r="CJ663" s="74"/>
      <c r="CK663" s="101"/>
      <c r="CL663" s="74"/>
      <c r="CM663" s="74"/>
      <c r="CN663" s="74"/>
      <c r="CO663" s="101"/>
      <c r="CP663" s="74"/>
      <c r="CQ663" s="74"/>
      <c r="CR663" s="74"/>
      <c r="CS663" s="74"/>
      <c r="CT663" s="74"/>
      <c r="CU663" s="74"/>
      <c r="CV663" s="74"/>
      <c r="CW663" s="74"/>
      <c r="CX663" s="74"/>
      <c r="CY663" s="74"/>
      <c r="CZ663" s="74"/>
      <c r="DA663" s="74"/>
      <c r="DB663" s="74"/>
      <c r="DC663" s="74"/>
      <c r="DD663" s="74"/>
      <c r="DE663" s="74"/>
      <c r="DF663" s="74"/>
      <c r="DG663" s="74"/>
      <c r="DH663" s="74"/>
      <c r="DI663" s="74"/>
      <c r="DJ663" s="74"/>
      <c r="DK663" s="74"/>
      <c r="DL663" s="74"/>
      <c r="DM663" s="74"/>
      <c r="DN663" s="74"/>
      <c r="DO663" s="74"/>
      <c r="DP663" s="74"/>
      <c r="DQ663" s="74"/>
      <c r="DR663" s="74"/>
      <c r="DS663" s="74"/>
      <c r="DT663" s="74"/>
      <c r="DU663" s="74"/>
      <c r="DV663" s="74"/>
      <c r="DW663" s="74"/>
      <c r="DX663" s="74"/>
      <c r="DY663" s="74"/>
      <c r="DZ663" s="8">
        <f t="shared" si="178"/>
        <v>0</v>
      </c>
      <c r="EA663" s="3">
        <f t="shared" si="179"/>
        <v>0</v>
      </c>
      <c r="EB663" s="2">
        <f t="shared" si="180"/>
        <v>0</v>
      </c>
      <c r="EC663" s="112">
        <f t="shared" si="189"/>
        <v>0</v>
      </c>
      <c r="ED663" s="29">
        <f t="shared" si="181"/>
        <v>0</v>
      </c>
      <c r="EE663" s="2">
        <f t="shared" si="182"/>
        <v>0</v>
      </c>
      <c r="EF663" s="46">
        <f t="shared" si="183"/>
        <v>0</v>
      </c>
      <c r="EG663" s="46">
        <f t="shared" si="184"/>
        <v>0</v>
      </c>
      <c r="EH663" s="29">
        <f t="shared" si="185"/>
        <v>0</v>
      </c>
      <c r="EI663" s="29">
        <f>IF(COUNT(I663:AD663)&lt;5,DZ663,SUMPRODUCT(LARGE(I663:AD663,{1,2,3,4,5}))/5)</f>
        <v>0</v>
      </c>
      <c r="EJ663" s="29">
        <f>IF(COUNT(I663:BE663)&lt;5,DZ663,SUMPRODUCT(LARGE(I663:BE663,{1,2,3,4,5}))/5)</f>
        <v>0</v>
      </c>
      <c r="EK663" s="29">
        <f t="shared" si="187"/>
        <v>0</v>
      </c>
      <c r="EL663" s="29">
        <f t="shared" si="188"/>
        <v>0</v>
      </c>
      <c r="EM663" s="116">
        <f t="shared" si="186"/>
        <v>0</v>
      </c>
      <c r="EN663" s="46"/>
      <c r="EQ663"/>
    </row>
    <row r="664" spans="1:147" x14ac:dyDescent="0.25">
      <c r="A664" s="59"/>
      <c r="B664" s="32"/>
      <c r="C664" s="5"/>
      <c r="D664" s="6"/>
      <c r="E664" s="6"/>
      <c r="F664" s="6"/>
      <c r="G664" s="5"/>
      <c r="H664" s="37"/>
      <c r="I664" s="107"/>
      <c r="J664" s="7"/>
      <c r="K664" s="74"/>
      <c r="L664" s="7"/>
      <c r="M664" s="74"/>
      <c r="N664" s="74"/>
      <c r="O664" s="7"/>
      <c r="P664" s="74"/>
      <c r="Q664" s="7"/>
      <c r="R664" s="74"/>
      <c r="S664" s="74"/>
      <c r="T664" s="7"/>
      <c r="U664" s="7"/>
      <c r="V664" s="74"/>
      <c r="W664" s="74"/>
      <c r="X664" s="74"/>
      <c r="Y664" s="227"/>
      <c r="Z664" s="228"/>
      <c r="AA664" s="74"/>
      <c r="AB664" s="74"/>
      <c r="AC664" s="74"/>
      <c r="AD664" s="74"/>
      <c r="AE664" s="7"/>
      <c r="AF664" s="74"/>
      <c r="AG664" s="74"/>
      <c r="AH664" s="7"/>
      <c r="AI664" s="7"/>
      <c r="AJ664" s="7"/>
      <c r="AK664" s="7"/>
      <c r="AL664" s="7"/>
      <c r="AM664" s="7"/>
      <c r="AN664" s="7"/>
      <c r="AO664" s="74"/>
      <c r="AP664" s="7"/>
      <c r="AQ664" s="74"/>
      <c r="AR664" s="101"/>
      <c r="AS664" s="7"/>
      <c r="AT664" s="101"/>
      <c r="AU664" s="7"/>
      <c r="AV664" s="101"/>
      <c r="AW664" s="7"/>
      <c r="AX664" s="183"/>
      <c r="AY664" s="107"/>
      <c r="AZ664" s="74"/>
      <c r="BA664" s="74"/>
      <c r="BB664" s="74"/>
      <c r="BC664" s="74"/>
      <c r="BD664" s="74"/>
      <c r="BE664" s="74"/>
      <c r="BF664" s="74"/>
      <c r="BG664" s="74"/>
      <c r="BH664" s="74"/>
      <c r="BI664" s="74"/>
      <c r="BJ664" s="74"/>
      <c r="BK664" s="7"/>
      <c r="BL664" s="74"/>
      <c r="BM664" s="7"/>
      <c r="BN664" s="74"/>
      <c r="BO664" s="74"/>
      <c r="BP664" s="74"/>
      <c r="BQ664" s="74"/>
      <c r="BR664" s="74"/>
      <c r="BS664" s="74"/>
      <c r="BT664" s="74"/>
      <c r="BU664" s="74"/>
      <c r="BV664" s="74"/>
      <c r="BW664" s="74"/>
      <c r="BX664" s="74"/>
      <c r="BY664" s="74"/>
      <c r="BZ664" s="74"/>
      <c r="CA664" s="74"/>
      <c r="CB664" s="74"/>
      <c r="CC664" s="74"/>
      <c r="CD664" s="74"/>
      <c r="CE664" s="7"/>
      <c r="CF664" s="74"/>
      <c r="CG664" s="74"/>
      <c r="CH664" s="7"/>
      <c r="CI664" s="74"/>
      <c r="CJ664" s="74"/>
      <c r="CK664" s="101"/>
      <c r="CL664" s="74"/>
      <c r="CM664" s="74"/>
      <c r="CN664" s="74"/>
      <c r="CO664" s="101"/>
      <c r="CP664" s="74"/>
      <c r="CQ664" s="74"/>
      <c r="CR664" s="74"/>
      <c r="CS664" s="74"/>
      <c r="CT664" s="74"/>
      <c r="CU664" s="74"/>
      <c r="CV664" s="74"/>
      <c r="CW664" s="74"/>
      <c r="CX664" s="74"/>
      <c r="CY664" s="74"/>
      <c r="CZ664" s="74"/>
      <c r="DA664" s="74"/>
      <c r="DB664" s="74"/>
      <c r="DC664" s="74"/>
      <c r="DD664" s="74"/>
      <c r="DE664" s="74"/>
      <c r="DF664" s="74"/>
      <c r="DG664" s="74"/>
      <c r="DH664" s="74"/>
      <c r="DI664" s="74"/>
      <c r="DJ664" s="74"/>
      <c r="DK664" s="74"/>
      <c r="DL664" s="74"/>
      <c r="DM664" s="74"/>
      <c r="DN664" s="74"/>
      <c r="DO664" s="74"/>
      <c r="DP664" s="74"/>
      <c r="DQ664" s="74"/>
      <c r="DR664" s="74"/>
      <c r="DS664" s="74"/>
      <c r="DT664" s="74"/>
      <c r="DU664" s="74"/>
      <c r="DV664" s="74"/>
      <c r="DW664" s="74"/>
      <c r="DX664" s="74"/>
      <c r="DY664" s="74"/>
      <c r="DZ664" s="8">
        <f t="shared" si="178"/>
        <v>0</v>
      </c>
      <c r="EA664" s="3">
        <f t="shared" si="179"/>
        <v>0</v>
      </c>
      <c r="EB664" s="2">
        <f t="shared" si="180"/>
        <v>0</v>
      </c>
      <c r="EC664" s="112">
        <f t="shared" si="189"/>
        <v>0</v>
      </c>
      <c r="ED664" s="29">
        <f t="shared" si="181"/>
        <v>0</v>
      </c>
      <c r="EE664" s="2">
        <f t="shared" si="182"/>
        <v>0</v>
      </c>
      <c r="EF664" s="46">
        <f t="shared" si="183"/>
        <v>0</v>
      </c>
      <c r="EG664" s="46">
        <f t="shared" si="184"/>
        <v>0</v>
      </c>
      <c r="EH664" s="2">
        <f t="shared" si="185"/>
        <v>0</v>
      </c>
      <c r="EI664" s="29">
        <f>IF(COUNT(I664:AD664)&lt;5,DZ664,SUMPRODUCT(LARGE(I664:AD664,{1,2,3,4,5}))/5)</f>
        <v>0</v>
      </c>
      <c r="EJ664" s="29">
        <f>IF(COUNT(I664:BE664)&lt;5,DZ664,SUMPRODUCT(LARGE(I664:BE664,{1,2,3,4,5}))/5)</f>
        <v>0</v>
      </c>
      <c r="EK664" s="29">
        <f t="shared" si="187"/>
        <v>0</v>
      </c>
      <c r="EL664" s="29">
        <f t="shared" si="188"/>
        <v>0</v>
      </c>
      <c r="EM664" s="116">
        <f t="shared" si="186"/>
        <v>0</v>
      </c>
      <c r="EN664" s="46"/>
      <c r="EQ664"/>
    </row>
    <row r="665" spans="1:147" x14ac:dyDescent="0.25">
      <c r="A665" s="59"/>
      <c r="B665" s="32"/>
      <c r="C665" s="5"/>
      <c r="D665" s="6"/>
      <c r="E665" s="6"/>
      <c r="F665" s="6"/>
      <c r="G665" s="5"/>
      <c r="H665" s="37"/>
      <c r="I665" s="36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227"/>
      <c r="Z665" s="228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4"/>
      <c r="AP665" s="7"/>
      <c r="AQ665" s="74"/>
      <c r="AR665" s="70"/>
      <c r="AS665" s="7"/>
      <c r="AT665" s="70"/>
      <c r="AU665" s="7"/>
      <c r="AV665" s="70"/>
      <c r="AW665" s="7"/>
      <c r="AX665" s="183"/>
      <c r="AY665" s="10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4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101"/>
      <c r="CL665" s="74"/>
      <c r="CM665" s="74"/>
      <c r="CN665" s="74"/>
      <c r="CO665" s="70"/>
      <c r="CP665" s="74"/>
      <c r="CQ665" s="7"/>
      <c r="CR665" s="74"/>
      <c r="CS665" s="74"/>
      <c r="CT665" s="74"/>
      <c r="CU665" s="74"/>
      <c r="CV665" s="7"/>
      <c r="CW665" s="7"/>
      <c r="CX665" s="7"/>
      <c r="CY665" s="7"/>
      <c r="CZ665" s="7"/>
      <c r="DA665" s="7"/>
      <c r="DB665" s="7"/>
      <c r="DC665" s="7"/>
      <c r="DD665" s="7"/>
      <c r="DE665" s="74"/>
      <c r="DF665" s="74"/>
      <c r="DG665" s="74"/>
      <c r="DH665" s="7"/>
      <c r="DI665" s="74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8">
        <f t="shared" si="178"/>
        <v>0</v>
      </c>
      <c r="EA665" s="3">
        <f t="shared" si="179"/>
        <v>0</v>
      </c>
      <c r="EB665" s="2">
        <f t="shared" si="180"/>
        <v>0</v>
      </c>
      <c r="EC665" s="112">
        <f t="shared" si="189"/>
        <v>0</v>
      </c>
      <c r="ED665" s="29">
        <f t="shared" si="181"/>
        <v>0</v>
      </c>
      <c r="EE665" s="2">
        <f t="shared" si="182"/>
        <v>0</v>
      </c>
      <c r="EF665" s="46">
        <f t="shared" si="183"/>
        <v>0</v>
      </c>
      <c r="EG665" s="46">
        <f t="shared" si="184"/>
        <v>0</v>
      </c>
      <c r="EH665" s="2">
        <f t="shared" si="185"/>
        <v>0</v>
      </c>
      <c r="EI665" s="29">
        <f>IF(COUNT(I665:AD665)&lt;5,DZ665,SUMPRODUCT(LARGE(I665:AD665,{1,2,3,4,5}))/5)</f>
        <v>0</v>
      </c>
      <c r="EJ665" s="29">
        <f>IF(COUNT(I665:BE665)&lt;5,DZ665,SUMPRODUCT(LARGE(I665:BE665,{1,2,3,4,5}))/5)</f>
        <v>0</v>
      </c>
      <c r="EK665" s="29">
        <f t="shared" si="187"/>
        <v>0</v>
      </c>
      <c r="EL665" s="29">
        <f>(EK665*100)/101.59</f>
        <v>0</v>
      </c>
      <c r="EM665" s="116">
        <f t="shared" si="186"/>
        <v>0</v>
      </c>
      <c r="EN665" s="46"/>
      <c r="EQ665"/>
    </row>
    <row r="666" spans="1:147" x14ac:dyDescent="0.25">
      <c r="A666" s="59"/>
      <c r="B666" s="32"/>
      <c r="C666" s="5"/>
      <c r="D666" s="6"/>
      <c r="E666" s="6"/>
      <c r="F666" s="6"/>
      <c r="G666" s="5"/>
      <c r="H666" s="99"/>
      <c r="I666" s="36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227"/>
      <c r="Z666" s="228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4"/>
      <c r="AP666" s="7"/>
      <c r="AQ666" s="74"/>
      <c r="AR666" s="70"/>
      <c r="AS666" s="7"/>
      <c r="AT666" s="70"/>
      <c r="AU666" s="7"/>
      <c r="AV666" s="70"/>
      <c r="AW666" s="7"/>
      <c r="AX666" s="183"/>
      <c r="AY666" s="10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4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101"/>
      <c r="CL666" s="74"/>
      <c r="CM666" s="74"/>
      <c r="CN666" s="74"/>
      <c r="CO666" s="70"/>
      <c r="CP666" s="74"/>
      <c r="CQ666" s="7"/>
      <c r="CR666" s="74"/>
      <c r="CS666" s="74"/>
      <c r="CT666" s="74"/>
      <c r="CU666" s="74"/>
      <c r="CV666" s="7"/>
      <c r="CW666" s="7"/>
      <c r="CX666" s="7"/>
      <c r="CY666" s="7"/>
      <c r="CZ666" s="7"/>
      <c r="DA666" s="7"/>
      <c r="DB666" s="7"/>
      <c r="DC666" s="7"/>
      <c r="DD666" s="7"/>
      <c r="DE666" s="74"/>
      <c r="DF666" s="74"/>
      <c r="DG666" s="74"/>
      <c r="DH666" s="7"/>
      <c r="DI666" s="74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8">
        <f t="shared" si="178"/>
        <v>0</v>
      </c>
      <c r="EA666" s="3">
        <f t="shared" si="179"/>
        <v>0</v>
      </c>
      <c r="EB666" s="2">
        <f t="shared" si="180"/>
        <v>0</v>
      </c>
      <c r="EC666" s="112">
        <f t="shared" si="189"/>
        <v>0</v>
      </c>
      <c r="ED666" s="29">
        <f t="shared" si="181"/>
        <v>0</v>
      </c>
      <c r="EE666" s="2">
        <f t="shared" si="182"/>
        <v>0</v>
      </c>
      <c r="EF666" s="46">
        <f t="shared" si="183"/>
        <v>0</v>
      </c>
      <c r="EG666" s="46">
        <f t="shared" si="184"/>
        <v>0</v>
      </c>
      <c r="EH666" s="2">
        <f t="shared" si="185"/>
        <v>0</v>
      </c>
      <c r="EI666" s="29">
        <f>IF(COUNT(I666:AD666)&lt;5,DZ666,SUMPRODUCT(LARGE(I666:AD666,{1,2,3,4,5}))/5)</f>
        <v>0</v>
      </c>
      <c r="EJ666" s="29">
        <f>IF(COUNT(I666:BE666)&lt;5,DZ666,SUMPRODUCT(LARGE(I666:BE666,{1,2,3,4,5}))/5)</f>
        <v>0</v>
      </c>
      <c r="EK666" s="29">
        <f t="shared" si="187"/>
        <v>0</v>
      </c>
      <c r="EL666" s="29">
        <f t="shared" ref="EL666:EL671" si="190">(EK666*100)/101.28</f>
        <v>0</v>
      </c>
      <c r="EM666" s="116">
        <f t="shared" si="186"/>
        <v>0</v>
      </c>
      <c r="EN666" s="46"/>
      <c r="EQ666"/>
    </row>
    <row r="667" spans="1:147" x14ac:dyDescent="0.25">
      <c r="A667" s="59"/>
      <c r="B667" s="32"/>
      <c r="C667" s="5"/>
      <c r="D667" s="6"/>
      <c r="E667" s="6"/>
      <c r="F667" s="6"/>
      <c r="G667" s="5"/>
      <c r="H667" s="37"/>
      <c r="I667" s="107"/>
      <c r="J667" s="7"/>
      <c r="K667" s="74"/>
      <c r="L667" s="7"/>
      <c r="M667" s="74"/>
      <c r="N667" s="74"/>
      <c r="O667" s="7"/>
      <c r="P667" s="74"/>
      <c r="Q667" s="7"/>
      <c r="R667" s="74"/>
      <c r="S667" s="74"/>
      <c r="T667" s="7"/>
      <c r="U667" s="7"/>
      <c r="V667" s="74"/>
      <c r="W667" s="74"/>
      <c r="X667" s="74"/>
      <c r="Y667" s="227"/>
      <c r="Z667" s="228"/>
      <c r="AA667" s="74"/>
      <c r="AB667" s="74"/>
      <c r="AC667" s="74"/>
      <c r="AD667" s="74"/>
      <c r="AE667" s="7"/>
      <c r="AF667" s="74"/>
      <c r="AG667" s="74"/>
      <c r="AH667" s="7"/>
      <c r="AI667" s="7"/>
      <c r="AJ667" s="7"/>
      <c r="AK667" s="7"/>
      <c r="AL667" s="7"/>
      <c r="AM667" s="7"/>
      <c r="AN667" s="7"/>
      <c r="AO667" s="74"/>
      <c r="AP667" s="7"/>
      <c r="AQ667" s="74"/>
      <c r="AR667" s="101"/>
      <c r="AS667" s="7"/>
      <c r="AT667" s="101"/>
      <c r="AU667" s="7"/>
      <c r="AV667" s="101"/>
      <c r="AW667" s="7"/>
      <c r="AX667" s="183"/>
      <c r="AY667" s="107"/>
      <c r="AZ667" s="74"/>
      <c r="BA667" s="74"/>
      <c r="BB667" s="74"/>
      <c r="BC667" s="74"/>
      <c r="BD667" s="74"/>
      <c r="BE667" s="74"/>
      <c r="BF667" s="74"/>
      <c r="BG667" s="74"/>
      <c r="BH667" s="74"/>
      <c r="BI667" s="74"/>
      <c r="BJ667" s="74"/>
      <c r="BK667" s="7"/>
      <c r="BL667" s="74"/>
      <c r="BM667" s="7"/>
      <c r="BN667" s="74"/>
      <c r="BO667" s="74"/>
      <c r="BP667" s="74"/>
      <c r="BQ667" s="74"/>
      <c r="BR667" s="74"/>
      <c r="BS667" s="74"/>
      <c r="BT667" s="74"/>
      <c r="BU667" s="74"/>
      <c r="BV667" s="74"/>
      <c r="BW667" s="74"/>
      <c r="BX667" s="74"/>
      <c r="BY667" s="74"/>
      <c r="BZ667" s="74"/>
      <c r="CA667" s="74"/>
      <c r="CB667" s="74"/>
      <c r="CC667" s="74"/>
      <c r="CD667" s="74"/>
      <c r="CE667" s="7"/>
      <c r="CF667" s="74"/>
      <c r="CG667" s="74"/>
      <c r="CH667" s="7"/>
      <c r="CI667" s="74"/>
      <c r="CJ667" s="74"/>
      <c r="CK667" s="101"/>
      <c r="CL667" s="74"/>
      <c r="CM667" s="74"/>
      <c r="CN667" s="74"/>
      <c r="CO667" s="101"/>
      <c r="CP667" s="74"/>
      <c r="CQ667" s="74"/>
      <c r="CR667" s="74"/>
      <c r="CS667" s="74"/>
      <c r="CT667" s="74"/>
      <c r="CU667" s="74"/>
      <c r="CV667" s="74"/>
      <c r="CW667" s="74"/>
      <c r="CX667" s="74"/>
      <c r="CY667" s="74"/>
      <c r="CZ667" s="74"/>
      <c r="DA667" s="74"/>
      <c r="DB667" s="74"/>
      <c r="DC667" s="74"/>
      <c r="DD667" s="74"/>
      <c r="DE667" s="74"/>
      <c r="DF667" s="74"/>
      <c r="DG667" s="74"/>
      <c r="DH667" s="74"/>
      <c r="DI667" s="74"/>
      <c r="DJ667" s="74"/>
      <c r="DK667" s="74"/>
      <c r="DL667" s="74"/>
      <c r="DM667" s="74"/>
      <c r="DN667" s="74"/>
      <c r="DO667" s="74"/>
      <c r="DP667" s="74"/>
      <c r="DQ667" s="74"/>
      <c r="DR667" s="74"/>
      <c r="DS667" s="74"/>
      <c r="DT667" s="74"/>
      <c r="DU667" s="74"/>
      <c r="DV667" s="74"/>
      <c r="DW667" s="74"/>
      <c r="DX667" s="74"/>
      <c r="DY667" s="74"/>
      <c r="DZ667" s="8">
        <f t="shared" si="178"/>
        <v>0</v>
      </c>
      <c r="EA667" s="3">
        <f t="shared" si="179"/>
        <v>0</v>
      </c>
      <c r="EB667" s="2">
        <f t="shared" si="180"/>
        <v>0</v>
      </c>
      <c r="EC667" s="112">
        <f t="shared" si="189"/>
        <v>0</v>
      </c>
      <c r="ED667" s="29">
        <f t="shared" si="181"/>
        <v>0</v>
      </c>
      <c r="EE667" s="2">
        <f t="shared" si="182"/>
        <v>0</v>
      </c>
      <c r="EF667" s="46">
        <f t="shared" si="183"/>
        <v>0</v>
      </c>
      <c r="EG667" s="46">
        <f t="shared" si="184"/>
        <v>0</v>
      </c>
      <c r="EH667" s="29">
        <f t="shared" si="185"/>
        <v>0</v>
      </c>
      <c r="EI667" s="29">
        <f>IF(COUNT(I667:AD667)&lt;5,DZ667,SUMPRODUCT(LARGE(I667:AD667,{1,2,3,4,5}))/5)</f>
        <v>0</v>
      </c>
      <c r="EJ667" s="29">
        <f>IF(COUNT(I667:BE667)&lt;5,DZ667,SUMPRODUCT(LARGE(I667:BE667,{1,2,3,4,5}))/5)</f>
        <v>0</v>
      </c>
      <c r="EK667" s="29">
        <f t="shared" si="187"/>
        <v>0</v>
      </c>
      <c r="EL667" s="29">
        <f t="shared" si="190"/>
        <v>0</v>
      </c>
      <c r="EM667" s="116">
        <f t="shared" si="186"/>
        <v>0</v>
      </c>
      <c r="EN667" s="46"/>
      <c r="EQ667"/>
    </row>
    <row r="668" spans="1:147" x14ac:dyDescent="0.25">
      <c r="A668" s="59"/>
      <c r="B668" s="32"/>
      <c r="C668" s="5"/>
      <c r="D668" s="6"/>
      <c r="E668" s="6"/>
      <c r="F668" s="6"/>
      <c r="G668" s="5"/>
      <c r="H668" s="37"/>
      <c r="I668" s="107"/>
      <c r="J668" s="7"/>
      <c r="K668" s="74"/>
      <c r="L668" s="7"/>
      <c r="M668" s="74"/>
      <c r="N668" s="74"/>
      <c r="O668" s="7"/>
      <c r="P668" s="74"/>
      <c r="Q668" s="74"/>
      <c r="R668" s="74"/>
      <c r="S668" s="74"/>
      <c r="T668" s="7"/>
      <c r="U668" s="7"/>
      <c r="V668" s="74"/>
      <c r="W668" s="7"/>
      <c r="X668" s="74"/>
      <c r="Y668" s="227"/>
      <c r="Z668" s="228"/>
      <c r="AA668" s="74"/>
      <c r="AB668" s="74"/>
      <c r="AC668" s="74"/>
      <c r="AD668" s="7"/>
      <c r="AE668" s="7"/>
      <c r="AF668" s="74"/>
      <c r="AG668" s="74"/>
      <c r="AH668" s="7"/>
      <c r="AI668" s="7"/>
      <c r="AJ668" s="7"/>
      <c r="AK668" s="7"/>
      <c r="AL668" s="7"/>
      <c r="AM668" s="7"/>
      <c r="AN668" s="7"/>
      <c r="AO668" s="74"/>
      <c r="AP668" s="7"/>
      <c r="AQ668" s="74"/>
      <c r="AR668" s="101"/>
      <c r="AS668" s="7"/>
      <c r="AT668" s="101"/>
      <c r="AU668" s="7"/>
      <c r="AV668" s="101"/>
      <c r="AW668" s="7"/>
      <c r="AX668" s="8"/>
      <c r="AY668" s="36"/>
      <c r="AZ668" s="74"/>
      <c r="BA668" s="74"/>
      <c r="BB668" s="74"/>
      <c r="BC668" s="74"/>
      <c r="BD668" s="74"/>
      <c r="BE668" s="74"/>
      <c r="BF668" s="74"/>
      <c r="BG668" s="74"/>
      <c r="BH668" s="74"/>
      <c r="BI668" s="74"/>
      <c r="BJ668" s="74"/>
      <c r="BK668" s="7"/>
      <c r="BL668" s="74"/>
      <c r="BM668" s="7"/>
      <c r="BN668" s="74"/>
      <c r="BO668" s="74"/>
      <c r="BP668" s="74"/>
      <c r="BQ668" s="74"/>
      <c r="BR668" s="74"/>
      <c r="BS668" s="74"/>
      <c r="BT668" s="74"/>
      <c r="BU668" s="74"/>
      <c r="BV668" s="74"/>
      <c r="BW668" s="74"/>
      <c r="BX668" s="74"/>
      <c r="BY668" s="74"/>
      <c r="BZ668" s="74"/>
      <c r="CA668" s="74"/>
      <c r="CB668" s="74"/>
      <c r="CC668" s="74"/>
      <c r="CD668" s="74"/>
      <c r="CE668" s="7"/>
      <c r="CF668" s="74"/>
      <c r="CG668" s="74"/>
      <c r="CH668" s="7"/>
      <c r="CI668" s="74"/>
      <c r="CJ668" s="74"/>
      <c r="CK668" s="101"/>
      <c r="CL668" s="74"/>
      <c r="CM668" s="74"/>
      <c r="CN668" s="74"/>
      <c r="CO668" s="101"/>
      <c r="CP668" s="74"/>
      <c r="CQ668" s="74"/>
      <c r="CR668" s="74"/>
      <c r="CS668" s="74"/>
      <c r="CT668" s="74"/>
      <c r="CU668" s="74"/>
      <c r="CV668" s="74"/>
      <c r="CW668" s="74"/>
      <c r="CX668" s="74"/>
      <c r="CY668" s="74"/>
      <c r="CZ668" s="74"/>
      <c r="DA668" s="74"/>
      <c r="DB668" s="74"/>
      <c r="DC668" s="74"/>
      <c r="DD668" s="74"/>
      <c r="DE668" s="74"/>
      <c r="DF668" s="74"/>
      <c r="DG668" s="74"/>
      <c r="DH668" s="74"/>
      <c r="DI668" s="74"/>
      <c r="DJ668" s="74"/>
      <c r="DK668" s="74"/>
      <c r="DL668" s="74"/>
      <c r="DM668" s="74"/>
      <c r="DN668" s="74"/>
      <c r="DO668" s="74"/>
      <c r="DP668" s="74"/>
      <c r="DQ668" s="74"/>
      <c r="DR668" s="74"/>
      <c r="DS668" s="74"/>
      <c r="DT668" s="74"/>
      <c r="DU668" s="74"/>
      <c r="DV668" s="74"/>
      <c r="DW668" s="74"/>
      <c r="DX668" s="74"/>
      <c r="DY668" s="74"/>
      <c r="DZ668" s="8">
        <f t="shared" si="178"/>
        <v>0</v>
      </c>
      <c r="EA668" s="3">
        <f t="shared" si="179"/>
        <v>0</v>
      </c>
      <c r="EB668" s="2">
        <f t="shared" si="180"/>
        <v>0</v>
      </c>
      <c r="EC668" s="112">
        <f t="shared" si="189"/>
        <v>0</v>
      </c>
      <c r="ED668" s="29">
        <f t="shared" si="181"/>
        <v>0</v>
      </c>
      <c r="EE668" s="2">
        <f t="shared" si="182"/>
        <v>0</v>
      </c>
      <c r="EF668" s="46">
        <f t="shared" si="183"/>
        <v>0</v>
      </c>
      <c r="EG668" s="46">
        <f t="shared" si="184"/>
        <v>0</v>
      </c>
      <c r="EH668" s="29">
        <f t="shared" si="185"/>
        <v>0</v>
      </c>
      <c r="EI668" s="29">
        <f>IF(COUNT(I668:AD668)&lt;5,DZ668,SUMPRODUCT(LARGE(I668:AD668,{1,2,3,4,5}))/5)</f>
        <v>0</v>
      </c>
      <c r="EJ668" s="29">
        <f>IF(COUNT(I668:BE668)&lt;5,DZ668,SUMPRODUCT(LARGE(I668:BE668,{1,2,3,4,5}))/5)</f>
        <v>0</v>
      </c>
      <c r="EK668" s="29">
        <f t="shared" si="187"/>
        <v>0</v>
      </c>
      <c r="EL668" s="29">
        <f t="shared" si="190"/>
        <v>0</v>
      </c>
      <c r="EM668" s="116">
        <f t="shared" si="186"/>
        <v>0</v>
      </c>
      <c r="EN668" s="46"/>
      <c r="EQ668"/>
    </row>
    <row r="669" spans="1:147" x14ac:dyDescent="0.25">
      <c r="A669" s="59"/>
      <c r="B669" s="32"/>
      <c r="C669" s="5"/>
      <c r="D669" s="6"/>
      <c r="E669" s="6"/>
      <c r="F669" s="6"/>
      <c r="G669" s="5"/>
      <c r="H669" s="37"/>
      <c r="I669" s="107"/>
      <c r="J669" s="7"/>
      <c r="K669" s="74"/>
      <c r="L669" s="7"/>
      <c r="M669" s="74"/>
      <c r="N669" s="74"/>
      <c r="O669" s="7"/>
      <c r="P669" s="74"/>
      <c r="Q669" s="7"/>
      <c r="R669" s="74"/>
      <c r="S669" s="74"/>
      <c r="T669" s="7"/>
      <c r="U669" s="7"/>
      <c r="V669" s="74"/>
      <c r="W669" s="74"/>
      <c r="X669" s="74"/>
      <c r="Y669" s="227"/>
      <c r="Z669" s="228"/>
      <c r="AA669" s="74"/>
      <c r="AB669" s="74"/>
      <c r="AC669" s="74"/>
      <c r="AD669" s="74"/>
      <c r="AE669" s="7"/>
      <c r="AF669" s="74"/>
      <c r="AG669" s="74"/>
      <c r="AH669" s="7"/>
      <c r="AI669" s="7"/>
      <c r="AJ669" s="7"/>
      <c r="AK669" s="7"/>
      <c r="AL669" s="7"/>
      <c r="AM669" s="7"/>
      <c r="AN669" s="7"/>
      <c r="AO669" s="74"/>
      <c r="AP669" s="7"/>
      <c r="AQ669" s="74"/>
      <c r="AR669" s="101"/>
      <c r="AS669" s="7"/>
      <c r="AT669" s="101"/>
      <c r="AU669" s="7"/>
      <c r="AV669" s="101"/>
      <c r="AW669" s="7"/>
      <c r="AX669" s="8"/>
      <c r="AY669" s="36"/>
      <c r="AZ669" s="74"/>
      <c r="BA669" s="74"/>
      <c r="BB669" s="74"/>
      <c r="BC669" s="74"/>
      <c r="BD669" s="74"/>
      <c r="BE669" s="74"/>
      <c r="BF669" s="74"/>
      <c r="BG669" s="74"/>
      <c r="BH669" s="74"/>
      <c r="BI669" s="74"/>
      <c r="BJ669" s="74"/>
      <c r="BK669" s="7"/>
      <c r="BL669" s="74"/>
      <c r="BM669" s="7"/>
      <c r="BN669" s="74"/>
      <c r="BO669" s="74"/>
      <c r="BP669" s="74"/>
      <c r="BQ669" s="74"/>
      <c r="BR669" s="74"/>
      <c r="BS669" s="74"/>
      <c r="BT669" s="74"/>
      <c r="BU669" s="74"/>
      <c r="BV669" s="74"/>
      <c r="BW669" s="74"/>
      <c r="BX669" s="74"/>
      <c r="BY669" s="74"/>
      <c r="BZ669" s="74"/>
      <c r="CA669" s="74"/>
      <c r="CB669" s="74"/>
      <c r="CC669" s="74"/>
      <c r="CD669" s="74"/>
      <c r="CE669" s="7"/>
      <c r="CF669" s="74"/>
      <c r="CG669" s="74"/>
      <c r="CH669" s="7"/>
      <c r="CI669" s="74"/>
      <c r="CJ669" s="74"/>
      <c r="CK669" s="101"/>
      <c r="CL669" s="74"/>
      <c r="CM669" s="74"/>
      <c r="CN669" s="74"/>
      <c r="CO669" s="101"/>
      <c r="CP669" s="74"/>
      <c r="CQ669" s="74"/>
      <c r="CR669" s="74"/>
      <c r="CS669" s="74"/>
      <c r="CT669" s="74"/>
      <c r="CU669" s="74"/>
      <c r="CV669" s="74"/>
      <c r="CW669" s="74"/>
      <c r="CX669" s="74"/>
      <c r="CY669" s="74"/>
      <c r="CZ669" s="74"/>
      <c r="DA669" s="74"/>
      <c r="DB669" s="74"/>
      <c r="DC669" s="74"/>
      <c r="DD669" s="74"/>
      <c r="DE669" s="74"/>
      <c r="DF669" s="74"/>
      <c r="DG669" s="74"/>
      <c r="DH669" s="74"/>
      <c r="DI669" s="74"/>
      <c r="DJ669" s="74"/>
      <c r="DK669" s="74"/>
      <c r="DL669" s="74"/>
      <c r="DM669" s="74"/>
      <c r="DN669" s="74"/>
      <c r="DO669" s="74"/>
      <c r="DP669" s="74"/>
      <c r="DQ669" s="74"/>
      <c r="DR669" s="74"/>
      <c r="DS669" s="74"/>
      <c r="DT669" s="74"/>
      <c r="DU669" s="74"/>
      <c r="DV669" s="74"/>
      <c r="DW669" s="74"/>
      <c r="DX669" s="74"/>
      <c r="DY669" s="74"/>
      <c r="DZ669" s="8">
        <f t="shared" si="178"/>
        <v>0</v>
      </c>
      <c r="EA669" s="3">
        <f t="shared" si="179"/>
        <v>0</v>
      </c>
      <c r="EB669" s="2">
        <f t="shared" si="180"/>
        <v>0</v>
      </c>
      <c r="EC669" s="112">
        <f t="shared" si="189"/>
        <v>0</v>
      </c>
      <c r="ED669" s="29">
        <f t="shared" si="181"/>
        <v>0</v>
      </c>
      <c r="EE669" s="2">
        <f t="shared" si="182"/>
        <v>0</v>
      </c>
      <c r="EF669" s="46">
        <f t="shared" si="183"/>
        <v>0</v>
      </c>
      <c r="EG669" s="46">
        <f t="shared" si="184"/>
        <v>0</v>
      </c>
      <c r="EH669" s="29">
        <f t="shared" si="185"/>
        <v>0</v>
      </c>
      <c r="EI669" s="29">
        <f>IF(COUNT(I669:AD669)&lt;5,DZ669,SUMPRODUCT(LARGE(I669:AD669,{1,2,3,4,5}))/5)</f>
        <v>0</v>
      </c>
      <c r="EJ669" s="29">
        <f>IF(COUNT(I669:BE669)&lt;5,DZ669,SUMPRODUCT(LARGE(I669:BE669,{1,2,3,4,5}))/5)</f>
        <v>0</v>
      </c>
      <c r="EK669" s="29">
        <f t="shared" si="187"/>
        <v>0</v>
      </c>
      <c r="EL669" s="29">
        <f t="shared" si="190"/>
        <v>0</v>
      </c>
      <c r="EM669" s="116">
        <f t="shared" si="186"/>
        <v>0</v>
      </c>
      <c r="EN669" s="46"/>
      <c r="EQ669"/>
    </row>
    <row r="670" spans="1:147" x14ac:dyDescent="0.25">
      <c r="A670" s="59"/>
      <c r="B670" s="4"/>
      <c r="C670" s="5"/>
      <c r="D670" s="6"/>
      <c r="E670" s="6"/>
      <c r="F670" s="6"/>
      <c r="G670" s="5"/>
      <c r="H670" s="37"/>
      <c r="I670" s="107"/>
      <c r="J670" s="7"/>
      <c r="K670" s="74"/>
      <c r="L670" s="7"/>
      <c r="M670" s="74"/>
      <c r="N670" s="74"/>
      <c r="O670" s="7"/>
      <c r="P670" s="74"/>
      <c r="Q670" s="7"/>
      <c r="R670" s="74"/>
      <c r="S670" s="74"/>
      <c r="T670" s="7"/>
      <c r="U670" s="7"/>
      <c r="V670" s="74"/>
      <c r="W670" s="7"/>
      <c r="X670" s="74"/>
      <c r="Y670" s="227"/>
      <c r="Z670" s="228"/>
      <c r="AA670" s="7"/>
      <c r="AB670" s="7"/>
      <c r="AC670" s="7"/>
      <c r="AD670" s="7"/>
      <c r="AE670" s="7"/>
      <c r="AF670" s="74"/>
      <c r="AG670" s="74"/>
      <c r="AH670" s="7"/>
      <c r="AI670" s="7"/>
      <c r="AJ670" s="7"/>
      <c r="AK670" s="7"/>
      <c r="AL670" s="7"/>
      <c r="AM670" s="7"/>
      <c r="AN670" s="7"/>
      <c r="AO670" s="74"/>
      <c r="AP670" s="7"/>
      <c r="AQ670" s="74"/>
      <c r="AR670" s="101"/>
      <c r="AS670" s="7"/>
      <c r="AT670" s="101"/>
      <c r="AU670" s="7"/>
      <c r="AV670" s="101"/>
      <c r="AW670" s="7"/>
      <c r="AX670" s="183"/>
      <c r="AY670" s="107"/>
      <c r="AZ670" s="74"/>
      <c r="BA670" s="74"/>
      <c r="BB670" s="74"/>
      <c r="BC670" s="74"/>
      <c r="BD670" s="74"/>
      <c r="BE670" s="74"/>
      <c r="BF670" s="74"/>
      <c r="BG670" s="74"/>
      <c r="BH670" s="74"/>
      <c r="BI670" s="74"/>
      <c r="BJ670" s="74"/>
      <c r="BK670" s="7"/>
      <c r="BL670" s="74"/>
      <c r="BM670" s="7"/>
      <c r="BN670" s="74"/>
      <c r="BO670" s="74"/>
      <c r="BP670" s="74"/>
      <c r="BQ670" s="74"/>
      <c r="BR670" s="74"/>
      <c r="BS670" s="74"/>
      <c r="BT670" s="74"/>
      <c r="BU670" s="74"/>
      <c r="BV670" s="74"/>
      <c r="BW670" s="74"/>
      <c r="BX670" s="74"/>
      <c r="BY670" s="74"/>
      <c r="BZ670" s="74"/>
      <c r="CA670" s="74"/>
      <c r="CB670" s="74"/>
      <c r="CC670" s="74"/>
      <c r="CD670" s="74"/>
      <c r="CE670" s="7"/>
      <c r="CF670" s="74"/>
      <c r="CG670" s="74"/>
      <c r="CH670" s="7"/>
      <c r="CI670" s="74"/>
      <c r="CJ670" s="74"/>
      <c r="CK670" s="101"/>
      <c r="CL670" s="74"/>
      <c r="CM670" s="7"/>
      <c r="CN670" s="74"/>
      <c r="CO670" s="101"/>
      <c r="CP670" s="74"/>
      <c r="CQ670" s="74"/>
      <c r="CR670" s="74"/>
      <c r="CS670" s="74"/>
      <c r="CT670" s="74"/>
      <c r="CU670" s="74"/>
      <c r="CV670" s="74"/>
      <c r="CW670" s="74"/>
      <c r="CX670" s="74"/>
      <c r="CY670" s="74"/>
      <c r="CZ670" s="74"/>
      <c r="DA670" s="74"/>
      <c r="DB670" s="74"/>
      <c r="DC670" s="74"/>
      <c r="DD670" s="74"/>
      <c r="DE670" s="74"/>
      <c r="DF670" s="74"/>
      <c r="DG670" s="74"/>
      <c r="DH670" s="74"/>
      <c r="DI670" s="74"/>
      <c r="DJ670" s="74"/>
      <c r="DK670" s="74"/>
      <c r="DL670" s="74"/>
      <c r="DM670" s="74"/>
      <c r="DN670" s="74"/>
      <c r="DO670" s="74"/>
      <c r="DP670" s="74"/>
      <c r="DQ670" s="74"/>
      <c r="DR670" s="74"/>
      <c r="DS670" s="74"/>
      <c r="DT670" s="74"/>
      <c r="DU670" s="74"/>
      <c r="DV670" s="74"/>
      <c r="DW670" s="74"/>
      <c r="DX670" s="74"/>
      <c r="DY670" s="74"/>
      <c r="DZ670" s="8">
        <f t="shared" si="178"/>
        <v>0</v>
      </c>
      <c r="EA670" s="3">
        <f t="shared" si="179"/>
        <v>0</v>
      </c>
      <c r="EB670" s="2">
        <f t="shared" si="180"/>
        <v>0</v>
      </c>
      <c r="EC670" s="112">
        <f t="shared" si="189"/>
        <v>0</v>
      </c>
      <c r="ED670" s="29">
        <f t="shared" si="181"/>
        <v>0</v>
      </c>
      <c r="EE670" s="2">
        <f t="shared" si="182"/>
        <v>0</v>
      </c>
      <c r="EF670" s="46">
        <f t="shared" si="183"/>
        <v>0</v>
      </c>
      <c r="EG670" s="46">
        <f t="shared" si="184"/>
        <v>0</v>
      </c>
      <c r="EH670" s="29">
        <f t="shared" si="185"/>
        <v>0</v>
      </c>
      <c r="EI670" s="29">
        <f>IF(COUNT(I670:AD670)&lt;5,DZ670,SUMPRODUCT(LARGE(I670:AD670,{1,2,3,4,5}))/5)</f>
        <v>0</v>
      </c>
      <c r="EJ670" s="29">
        <f>IF(COUNT(I670:BE670)&lt;5,DZ670,SUMPRODUCT(LARGE(I670:BE670,{1,2,3,4,5}))/5)</f>
        <v>0</v>
      </c>
      <c r="EK670" s="29">
        <f t="shared" si="187"/>
        <v>0</v>
      </c>
      <c r="EL670" s="29">
        <f t="shared" si="190"/>
        <v>0</v>
      </c>
      <c r="EM670" s="116">
        <f t="shared" si="186"/>
        <v>0</v>
      </c>
      <c r="EN670" s="46"/>
      <c r="EQ670"/>
    </row>
    <row r="671" spans="1:147" x14ac:dyDescent="0.25">
      <c r="A671" s="59"/>
      <c r="B671" s="32"/>
      <c r="C671" s="5"/>
      <c r="D671" s="6"/>
      <c r="E671" s="6"/>
      <c r="F671" s="6"/>
      <c r="G671" s="5"/>
      <c r="H671" s="37"/>
      <c r="I671" s="107"/>
      <c r="J671" s="7"/>
      <c r="K671" s="74"/>
      <c r="L671" s="7"/>
      <c r="M671" s="74"/>
      <c r="N671" s="74"/>
      <c r="O671" s="7"/>
      <c r="P671" s="74"/>
      <c r="Q671" s="7"/>
      <c r="R671" s="74"/>
      <c r="S671" s="74"/>
      <c r="T671" s="7"/>
      <c r="U671" s="7"/>
      <c r="V671" s="74"/>
      <c r="W671" s="74"/>
      <c r="X671" s="74"/>
      <c r="Y671" s="227"/>
      <c r="Z671" s="228"/>
      <c r="AA671" s="74"/>
      <c r="AB671" s="74"/>
      <c r="AC671" s="74"/>
      <c r="AD671" s="74"/>
      <c r="AE671" s="7"/>
      <c r="AF671" s="74"/>
      <c r="AG671" s="74"/>
      <c r="AH671" s="7"/>
      <c r="AI671" s="7"/>
      <c r="AJ671" s="7"/>
      <c r="AK671" s="7"/>
      <c r="AL671" s="7"/>
      <c r="AM671" s="7"/>
      <c r="AN671" s="7"/>
      <c r="AO671" s="74"/>
      <c r="AP671" s="7"/>
      <c r="AQ671" s="74"/>
      <c r="AR671" s="101"/>
      <c r="AS671" s="7"/>
      <c r="AT671" s="101"/>
      <c r="AU671" s="7"/>
      <c r="AV671" s="101"/>
      <c r="AW671" s="7"/>
      <c r="AX671" s="183"/>
      <c r="AY671" s="107"/>
      <c r="AZ671" s="74"/>
      <c r="BA671" s="74"/>
      <c r="BB671" s="74"/>
      <c r="BC671" s="74"/>
      <c r="BD671" s="74"/>
      <c r="BE671" s="74"/>
      <c r="BF671" s="74"/>
      <c r="BG671" s="74"/>
      <c r="BH671" s="74"/>
      <c r="BI671" s="74"/>
      <c r="BJ671" s="74"/>
      <c r="BK671" s="7"/>
      <c r="BL671" s="74"/>
      <c r="BM671" s="7"/>
      <c r="BN671" s="74"/>
      <c r="BO671" s="74"/>
      <c r="BP671" s="74"/>
      <c r="BQ671" s="74"/>
      <c r="BR671" s="74"/>
      <c r="BS671" s="74"/>
      <c r="BT671" s="74"/>
      <c r="BU671" s="74"/>
      <c r="BV671" s="74"/>
      <c r="BW671" s="74"/>
      <c r="BX671" s="74"/>
      <c r="BY671" s="74"/>
      <c r="BZ671" s="74"/>
      <c r="CA671" s="74"/>
      <c r="CB671" s="74"/>
      <c r="CC671" s="74"/>
      <c r="CD671" s="74"/>
      <c r="CE671" s="7"/>
      <c r="CF671" s="74"/>
      <c r="CG671" s="74"/>
      <c r="CH671" s="7"/>
      <c r="CI671" s="74"/>
      <c r="CJ671" s="74"/>
      <c r="CK671" s="101"/>
      <c r="CL671" s="74"/>
      <c r="CM671" s="74"/>
      <c r="CN671" s="74"/>
      <c r="CO671" s="101"/>
      <c r="CP671" s="74"/>
      <c r="CQ671" s="74"/>
      <c r="CR671" s="74"/>
      <c r="CS671" s="74"/>
      <c r="CT671" s="74"/>
      <c r="CU671" s="74"/>
      <c r="CV671" s="74"/>
      <c r="CW671" s="74"/>
      <c r="CX671" s="74"/>
      <c r="CY671" s="74"/>
      <c r="CZ671" s="74"/>
      <c r="DA671" s="74"/>
      <c r="DB671" s="74"/>
      <c r="DC671" s="74"/>
      <c r="DD671" s="74"/>
      <c r="DE671" s="74"/>
      <c r="DF671" s="74"/>
      <c r="DG671" s="74"/>
      <c r="DH671" s="74"/>
      <c r="DI671" s="74"/>
      <c r="DJ671" s="74"/>
      <c r="DK671" s="74"/>
      <c r="DL671" s="74"/>
      <c r="DM671" s="74"/>
      <c r="DN671" s="74"/>
      <c r="DO671" s="74"/>
      <c r="DP671" s="74"/>
      <c r="DQ671" s="74"/>
      <c r="DR671" s="74"/>
      <c r="DS671" s="74"/>
      <c r="DT671" s="74"/>
      <c r="DU671" s="74"/>
      <c r="DV671" s="74"/>
      <c r="DW671" s="74"/>
      <c r="DX671" s="74"/>
      <c r="DY671" s="74"/>
      <c r="DZ671" s="8">
        <f t="shared" si="178"/>
        <v>0</v>
      </c>
      <c r="EA671" s="3">
        <f t="shared" si="179"/>
        <v>0</v>
      </c>
      <c r="EB671" s="2">
        <f t="shared" si="180"/>
        <v>0</v>
      </c>
      <c r="EC671" s="112">
        <f t="shared" si="189"/>
        <v>0</v>
      </c>
      <c r="ED671" s="29">
        <f t="shared" si="181"/>
        <v>0</v>
      </c>
      <c r="EE671" s="2">
        <f t="shared" si="182"/>
        <v>0</v>
      </c>
      <c r="EF671" s="46">
        <f t="shared" si="183"/>
        <v>0</v>
      </c>
      <c r="EG671" s="46">
        <f t="shared" si="184"/>
        <v>0</v>
      </c>
      <c r="EH671" s="2">
        <f t="shared" si="185"/>
        <v>0</v>
      </c>
      <c r="EI671" s="29">
        <f>IF(COUNT(I671:AD671)&lt;5,DZ671,SUMPRODUCT(LARGE(I671:AD671,{1,2,3,4,5}))/5)</f>
        <v>0</v>
      </c>
      <c r="EJ671" s="29">
        <f>IF(COUNT(I671:BE671)&lt;5,DZ671,SUMPRODUCT(LARGE(I671:BE671,{1,2,3,4,5}))/5)</f>
        <v>0</v>
      </c>
      <c r="EK671" s="29">
        <f t="shared" si="187"/>
        <v>0</v>
      </c>
      <c r="EL671" s="29">
        <f t="shared" si="190"/>
        <v>0</v>
      </c>
      <c r="EM671" s="116">
        <f t="shared" si="186"/>
        <v>0</v>
      </c>
      <c r="EN671" s="46"/>
      <c r="EQ671"/>
    </row>
    <row r="672" spans="1:147" x14ac:dyDescent="0.25">
      <c r="A672" s="59"/>
      <c r="B672" s="32"/>
      <c r="C672" s="5"/>
      <c r="D672" s="6"/>
      <c r="E672" s="6"/>
      <c r="F672" s="6"/>
      <c r="G672" s="5"/>
      <c r="H672" s="37"/>
      <c r="I672" s="36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227"/>
      <c r="Z672" s="228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4"/>
      <c r="AP672" s="7"/>
      <c r="AQ672" s="74"/>
      <c r="AR672" s="70"/>
      <c r="AS672" s="7"/>
      <c r="AT672" s="70"/>
      <c r="AU672" s="7"/>
      <c r="AV672" s="70"/>
      <c r="AW672" s="7"/>
      <c r="AX672" s="183"/>
      <c r="AY672" s="10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4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101"/>
      <c r="CL672" s="74"/>
      <c r="CM672" s="74"/>
      <c r="CN672" s="74"/>
      <c r="CO672" s="70"/>
      <c r="CP672" s="74"/>
      <c r="CQ672" s="7"/>
      <c r="CR672" s="74"/>
      <c r="CS672" s="74"/>
      <c r="CT672" s="74"/>
      <c r="CU672" s="74"/>
      <c r="CV672" s="7"/>
      <c r="CW672" s="7"/>
      <c r="CX672" s="7"/>
      <c r="CY672" s="7"/>
      <c r="CZ672" s="7"/>
      <c r="DA672" s="7"/>
      <c r="DB672" s="7"/>
      <c r="DC672" s="7"/>
      <c r="DD672" s="7"/>
      <c r="DE672" s="74"/>
      <c r="DF672" s="74"/>
      <c r="DG672" s="74"/>
      <c r="DH672" s="7"/>
      <c r="DI672" s="74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8">
        <f t="shared" si="178"/>
        <v>0</v>
      </c>
      <c r="EA672" s="3">
        <f t="shared" si="179"/>
        <v>0</v>
      </c>
      <c r="EB672" s="2">
        <f t="shared" si="180"/>
        <v>0</v>
      </c>
      <c r="EC672" s="112">
        <f t="shared" si="189"/>
        <v>0</v>
      </c>
      <c r="ED672" s="29">
        <f t="shared" si="181"/>
        <v>0</v>
      </c>
      <c r="EE672" s="2">
        <f t="shared" si="182"/>
        <v>0</v>
      </c>
      <c r="EF672" s="46">
        <f t="shared" si="183"/>
        <v>0</v>
      </c>
      <c r="EG672" s="46">
        <f t="shared" si="184"/>
        <v>0</v>
      </c>
      <c r="EH672" s="2">
        <f t="shared" si="185"/>
        <v>0</v>
      </c>
      <c r="EI672" s="29">
        <f>IF(COUNT(I672:AD672)&lt;5,DZ672,SUMPRODUCT(LARGE(I672:AD672,{1,2,3,4,5}))/5)</f>
        <v>0</v>
      </c>
      <c r="EJ672" s="29">
        <f>IF(COUNT(I672:BE672)&lt;5,DZ672,SUMPRODUCT(LARGE(I672:BE672,{1,2,3,4,5}))/5)</f>
        <v>0</v>
      </c>
      <c r="EK672" s="29">
        <f t="shared" si="187"/>
        <v>0</v>
      </c>
      <c r="EL672" s="29">
        <f>(EK672*100)/101.59</f>
        <v>0</v>
      </c>
      <c r="EM672" s="116">
        <f t="shared" si="186"/>
        <v>0</v>
      </c>
      <c r="EN672" s="46"/>
      <c r="EQ672"/>
    </row>
    <row r="673" spans="1:147" x14ac:dyDescent="0.25">
      <c r="A673" s="59"/>
      <c r="B673" s="32"/>
      <c r="C673" s="5"/>
      <c r="D673" s="6"/>
      <c r="E673" s="6"/>
      <c r="F673" s="6"/>
      <c r="G673" s="5"/>
      <c r="H673" s="37"/>
      <c r="I673" s="10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227"/>
      <c r="Z673" s="228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0"/>
      <c r="AS673" s="7"/>
      <c r="AT673" s="70"/>
      <c r="AU673" s="7"/>
      <c r="AV673" s="70"/>
      <c r="AW673" s="7"/>
      <c r="AX673" s="183"/>
      <c r="AY673" s="107"/>
      <c r="AZ673" s="7"/>
      <c r="BA673" s="7"/>
      <c r="BB673" s="7"/>
      <c r="BC673" s="74"/>
      <c r="BD673" s="7"/>
      <c r="BE673" s="74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101"/>
      <c r="CL673" s="74"/>
      <c r="CM673" s="74"/>
      <c r="CN673" s="74"/>
      <c r="CO673" s="70"/>
      <c r="CP673" s="74"/>
      <c r="CQ673" s="7"/>
      <c r="CR673" s="74"/>
      <c r="CS673" s="74"/>
      <c r="CT673" s="74"/>
      <c r="CU673" s="74"/>
      <c r="CV673" s="74"/>
      <c r="CW673" s="7"/>
      <c r="CX673" s="7"/>
      <c r="CY673" s="7"/>
      <c r="CZ673" s="7"/>
      <c r="DA673" s="7"/>
      <c r="DB673" s="7"/>
      <c r="DC673" s="7"/>
      <c r="DD673" s="7"/>
      <c r="DE673" s="74"/>
      <c r="DF673" s="74"/>
      <c r="DG673" s="74"/>
      <c r="DH673" s="74"/>
      <c r="DI673" s="74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8">
        <f t="shared" si="178"/>
        <v>0</v>
      </c>
      <c r="EA673" s="3">
        <f t="shared" si="179"/>
        <v>0</v>
      </c>
      <c r="EB673" s="2">
        <f t="shared" si="180"/>
        <v>0</v>
      </c>
      <c r="EC673" s="112">
        <f t="shared" si="189"/>
        <v>0</v>
      </c>
      <c r="ED673" s="29">
        <f t="shared" si="181"/>
        <v>0</v>
      </c>
      <c r="EE673" s="2">
        <f t="shared" si="182"/>
        <v>0</v>
      </c>
      <c r="EF673" s="46">
        <f t="shared" si="183"/>
        <v>0</v>
      </c>
      <c r="EG673" s="46">
        <f t="shared" si="184"/>
        <v>0</v>
      </c>
      <c r="EH673" s="2">
        <f t="shared" si="185"/>
        <v>0</v>
      </c>
      <c r="EI673" s="29">
        <f>IF(COUNT(I673:AD673)&lt;5,DZ673,SUMPRODUCT(LARGE(I673:AD673,{1,2,3,4,5}))/5)</f>
        <v>0</v>
      </c>
      <c r="EJ673" s="29">
        <f>IF(COUNT(I673:BE673)&lt;5,DZ673,SUMPRODUCT(LARGE(I673:BE673,{1,2,3,4,5}))/5)</f>
        <v>0</v>
      </c>
      <c r="EK673" s="29">
        <f t="shared" si="187"/>
        <v>0</v>
      </c>
      <c r="EL673" s="29">
        <f t="shared" ref="EL673:EL680" si="191">(EK673*100)/101.28</f>
        <v>0</v>
      </c>
      <c r="EM673" s="116">
        <f t="shared" si="186"/>
        <v>0</v>
      </c>
      <c r="EN673" s="46"/>
      <c r="EQ673"/>
    </row>
    <row r="674" spans="1:147" x14ac:dyDescent="0.25">
      <c r="A674" s="59"/>
      <c r="B674" s="32"/>
      <c r="C674" s="5"/>
      <c r="D674" s="6"/>
      <c r="E674" s="6"/>
      <c r="F674" s="6"/>
      <c r="G674" s="5"/>
      <c r="H674" s="99"/>
      <c r="I674" s="36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227"/>
      <c r="Z674" s="228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4"/>
      <c r="AP674" s="7"/>
      <c r="AQ674" s="74"/>
      <c r="AR674" s="70"/>
      <c r="AS674" s="7"/>
      <c r="AT674" s="70"/>
      <c r="AU674" s="7"/>
      <c r="AV674" s="70"/>
      <c r="AW674" s="7"/>
      <c r="AX674" s="183"/>
      <c r="AY674" s="10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4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101"/>
      <c r="CL674" s="74"/>
      <c r="CM674" s="74"/>
      <c r="CN674" s="74"/>
      <c r="CO674" s="70"/>
      <c r="CP674" s="7"/>
      <c r="CQ674" s="7"/>
      <c r="CR674" s="74"/>
      <c r="CS674" s="7"/>
      <c r="CT674" s="7"/>
      <c r="CU674" s="74"/>
      <c r="CV674" s="7"/>
      <c r="CW674" s="7"/>
      <c r="CX674" s="7"/>
      <c r="CY674" s="7"/>
      <c r="CZ674" s="7"/>
      <c r="DA674" s="7"/>
      <c r="DB674" s="7"/>
      <c r="DC674" s="7"/>
      <c r="DD674" s="7"/>
      <c r="DE674" s="74"/>
      <c r="DF674" s="74"/>
      <c r="DG674" s="74"/>
      <c r="DH674" s="7"/>
      <c r="DI674" s="74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8">
        <f t="shared" si="178"/>
        <v>0</v>
      </c>
      <c r="EA674" s="3">
        <f t="shared" si="179"/>
        <v>0</v>
      </c>
      <c r="EB674" s="2">
        <f t="shared" si="180"/>
        <v>0</v>
      </c>
      <c r="EC674" s="112">
        <f t="shared" si="189"/>
        <v>0</v>
      </c>
      <c r="ED674" s="29">
        <f t="shared" si="181"/>
        <v>0</v>
      </c>
      <c r="EE674" s="2">
        <f t="shared" si="182"/>
        <v>0</v>
      </c>
      <c r="EF674" s="46">
        <f t="shared" si="183"/>
        <v>0</v>
      </c>
      <c r="EG674" s="46">
        <f t="shared" si="184"/>
        <v>0</v>
      </c>
      <c r="EH674" s="2">
        <f t="shared" si="185"/>
        <v>0</v>
      </c>
      <c r="EI674" s="29">
        <f>IF(COUNT(I674:AD674)&lt;5,DZ674,SUMPRODUCT(LARGE(I674:AD674,{1,2,3,4,5}))/5)</f>
        <v>0</v>
      </c>
      <c r="EJ674" s="29">
        <f>IF(COUNT(I674:BE674)&lt;5,DZ674,SUMPRODUCT(LARGE(I674:BE674,{1,2,3,4,5}))/5)</f>
        <v>0</v>
      </c>
      <c r="EK674" s="29">
        <f t="shared" si="187"/>
        <v>0</v>
      </c>
      <c r="EL674" s="29">
        <f t="shared" si="191"/>
        <v>0</v>
      </c>
      <c r="EM674" s="116">
        <f t="shared" si="186"/>
        <v>0</v>
      </c>
      <c r="EN674" s="46"/>
      <c r="EQ674"/>
    </row>
    <row r="675" spans="1:147" x14ac:dyDescent="0.25">
      <c r="A675" s="59"/>
      <c r="B675" s="32"/>
      <c r="C675" s="5"/>
      <c r="D675" s="6"/>
      <c r="E675" s="6"/>
      <c r="F675" s="6"/>
      <c r="G675" s="5"/>
      <c r="H675" s="37"/>
      <c r="I675" s="107"/>
      <c r="J675" s="7"/>
      <c r="K675" s="74"/>
      <c r="L675" s="7"/>
      <c r="M675" s="74"/>
      <c r="N675" s="74"/>
      <c r="O675" s="7"/>
      <c r="P675" s="74"/>
      <c r="Q675" s="7"/>
      <c r="R675" s="74"/>
      <c r="S675" s="74"/>
      <c r="T675" s="7"/>
      <c r="U675" s="7"/>
      <c r="V675" s="74"/>
      <c r="W675" s="74"/>
      <c r="X675" s="74"/>
      <c r="Y675" s="227"/>
      <c r="Z675" s="228"/>
      <c r="AA675" s="74"/>
      <c r="AB675" s="74"/>
      <c r="AC675" s="74"/>
      <c r="AD675" s="74"/>
      <c r="AE675" s="7"/>
      <c r="AF675" s="74"/>
      <c r="AG675" s="74"/>
      <c r="AH675" s="7"/>
      <c r="AI675" s="7"/>
      <c r="AJ675" s="7"/>
      <c r="AK675" s="7"/>
      <c r="AL675" s="7"/>
      <c r="AM675" s="7"/>
      <c r="AN675" s="7"/>
      <c r="AO675" s="74"/>
      <c r="AP675" s="7"/>
      <c r="AQ675" s="74"/>
      <c r="AR675" s="101"/>
      <c r="AS675" s="7"/>
      <c r="AT675" s="101"/>
      <c r="AU675" s="7"/>
      <c r="AV675" s="101"/>
      <c r="AW675" s="7"/>
      <c r="AX675" s="8"/>
      <c r="AY675" s="36"/>
      <c r="AZ675" s="74"/>
      <c r="BA675" s="74"/>
      <c r="BB675" s="74"/>
      <c r="BC675" s="74"/>
      <c r="BD675" s="74"/>
      <c r="BE675" s="74"/>
      <c r="BF675" s="74"/>
      <c r="BG675" s="74"/>
      <c r="BH675" s="74"/>
      <c r="BI675" s="74"/>
      <c r="BJ675" s="74"/>
      <c r="BK675" s="7"/>
      <c r="BL675" s="74"/>
      <c r="BM675" s="7"/>
      <c r="BN675" s="74"/>
      <c r="BO675" s="74"/>
      <c r="BP675" s="74"/>
      <c r="BQ675" s="74"/>
      <c r="BR675" s="74"/>
      <c r="BS675" s="74"/>
      <c r="BT675" s="74"/>
      <c r="BU675" s="74"/>
      <c r="BV675" s="74"/>
      <c r="BW675" s="74"/>
      <c r="BX675" s="74"/>
      <c r="BY675" s="74"/>
      <c r="BZ675" s="74"/>
      <c r="CA675" s="74"/>
      <c r="CB675" s="74"/>
      <c r="CC675" s="74"/>
      <c r="CD675" s="74"/>
      <c r="CE675" s="7"/>
      <c r="CF675" s="74"/>
      <c r="CG675" s="74"/>
      <c r="CH675" s="7"/>
      <c r="CI675" s="74"/>
      <c r="CJ675" s="74"/>
      <c r="CK675" s="101"/>
      <c r="CL675" s="74"/>
      <c r="CM675" s="74"/>
      <c r="CN675" s="74"/>
      <c r="CO675" s="101"/>
      <c r="CP675" s="74"/>
      <c r="CQ675" s="74"/>
      <c r="CR675" s="74"/>
      <c r="CS675" s="74"/>
      <c r="CT675" s="74"/>
      <c r="CU675" s="74"/>
      <c r="CV675" s="74"/>
      <c r="CW675" s="74"/>
      <c r="CX675" s="74"/>
      <c r="CY675" s="74"/>
      <c r="CZ675" s="74"/>
      <c r="DA675" s="74"/>
      <c r="DB675" s="74"/>
      <c r="DC675" s="74"/>
      <c r="DD675" s="74"/>
      <c r="DE675" s="74"/>
      <c r="DF675" s="74"/>
      <c r="DG675" s="74"/>
      <c r="DH675" s="74"/>
      <c r="DI675" s="74"/>
      <c r="DJ675" s="74"/>
      <c r="DK675" s="74"/>
      <c r="DL675" s="74"/>
      <c r="DM675" s="74"/>
      <c r="DN675" s="74"/>
      <c r="DO675" s="74"/>
      <c r="DP675" s="74"/>
      <c r="DQ675" s="74"/>
      <c r="DR675" s="74"/>
      <c r="DS675" s="74"/>
      <c r="DT675" s="74"/>
      <c r="DU675" s="74"/>
      <c r="DV675" s="74"/>
      <c r="DW675" s="74"/>
      <c r="DX675" s="74"/>
      <c r="DY675" s="74"/>
      <c r="DZ675" s="8">
        <f t="shared" si="178"/>
        <v>0</v>
      </c>
      <c r="EA675" s="3">
        <f t="shared" si="179"/>
        <v>0</v>
      </c>
      <c r="EB675" s="2">
        <f t="shared" si="180"/>
        <v>0</v>
      </c>
      <c r="EC675" s="112">
        <f t="shared" si="189"/>
        <v>0</v>
      </c>
      <c r="ED675" s="29">
        <f t="shared" si="181"/>
        <v>0</v>
      </c>
      <c r="EE675" s="2">
        <f t="shared" si="182"/>
        <v>0</v>
      </c>
      <c r="EF675" s="46">
        <f t="shared" si="183"/>
        <v>0</v>
      </c>
      <c r="EG675" s="46">
        <f t="shared" si="184"/>
        <v>0</v>
      </c>
      <c r="EH675" s="2">
        <f t="shared" si="185"/>
        <v>0</v>
      </c>
      <c r="EI675" s="29">
        <f>IF(COUNT(I675:AD675)&lt;5,DZ675,SUMPRODUCT(LARGE(I675:AD675,{1,2,3,4,5}))/5)</f>
        <v>0</v>
      </c>
      <c r="EJ675" s="29">
        <f>IF(COUNT(I675:BE675)&lt;5,DZ675,SUMPRODUCT(LARGE(I675:BE675,{1,2,3,4,5}))/5)</f>
        <v>0</v>
      </c>
      <c r="EK675" s="29">
        <f t="shared" si="187"/>
        <v>0</v>
      </c>
      <c r="EL675" s="29">
        <f t="shared" si="191"/>
        <v>0</v>
      </c>
      <c r="EM675" s="116">
        <f t="shared" si="186"/>
        <v>0</v>
      </c>
      <c r="EN675" s="46"/>
      <c r="EQ675"/>
    </row>
    <row r="676" spans="1:147" x14ac:dyDescent="0.25">
      <c r="A676" s="59"/>
      <c r="B676" s="4"/>
      <c r="C676" s="5"/>
      <c r="D676" s="5"/>
      <c r="E676" s="6"/>
      <c r="F676" s="6"/>
      <c r="G676" s="5"/>
      <c r="H676" s="99"/>
      <c r="I676" s="107"/>
      <c r="J676" s="7"/>
      <c r="K676" s="74"/>
      <c r="L676" s="7"/>
      <c r="M676" s="74"/>
      <c r="N676" s="74"/>
      <c r="O676" s="7"/>
      <c r="P676" s="74"/>
      <c r="Q676" s="7"/>
      <c r="R676" s="74"/>
      <c r="S676" s="74"/>
      <c r="T676" s="7"/>
      <c r="U676" s="7"/>
      <c r="V676" s="74"/>
      <c r="W676" s="74"/>
      <c r="X676" s="74"/>
      <c r="Y676" s="227"/>
      <c r="Z676" s="228"/>
      <c r="AA676" s="74"/>
      <c r="AB676" s="74"/>
      <c r="AC676" s="74"/>
      <c r="AD676" s="74"/>
      <c r="AE676" s="7"/>
      <c r="AF676" s="74"/>
      <c r="AG676" s="74"/>
      <c r="AH676" s="7"/>
      <c r="AI676" s="7"/>
      <c r="AJ676" s="7"/>
      <c r="AK676" s="7"/>
      <c r="AL676" s="7"/>
      <c r="AM676" s="7"/>
      <c r="AN676" s="7"/>
      <c r="AO676" s="74"/>
      <c r="AP676" s="7"/>
      <c r="AQ676" s="74"/>
      <c r="AR676" s="101"/>
      <c r="AS676" s="7"/>
      <c r="AT676" s="101"/>
      <c r="AU676" s="7"/>
      <c r="AV676" s="101"/>
      <c r="AW676" s="7"/>
      <c r="AX676" s="8"/>
      <c r="AY676" s="36"/>
      <c r="AZ676" s="74"/>
      <c r="BA676" s="74"/>
      <c r="BB676" s="74"/>
      <c r="BC676" s="74"/>
      <c r="BD676" s="74"/>
      <c r="BE676" s="74"/>
      <c r="BF676" s="74"/>
      <c r="BG676" s="74"/>
      <c r="BH676" s="74"/>
      <c r="BI676" s="74"/>
      <c r="BJ676" s="74"/>
      <c r="BK676" s="7"/>
      <c r="BL676" s="74"/>
      <c r="BM676" s="7"/>
      <c r="BN676" s="74"/>
      <c r="BO676" s="74"/>
      <c r="BP676" s="74"/>
      <c r="BQ676" s="74"/>
      <c r="BR676" s="74"/>
      <c r="BS676" s="74"/>
      <c r="BT676" s="74"/>
      <c r="BU676" s="74"/>
      <c r="BV676" s="74"/>
      <c r="BW676" s="74"/>
      <c r="BX676" s="74"/>
      <c r="BY676" s="74"/>
      <c r="BZ676" s="74"/>
      <c r="CA676" s="74"/>
      <c r="CB676" s="74"/>
      <c r="CC676" s="74"/>
      <c r="CD676" s="74"/>
      <c r="CE676" s="7"/>
      <c r="CF676" s="74"/>
      <c r="CG676" s="74"/>
      <c r="CH676" s="7"/>
      <c r="CI676" s="74"/>
      <c r="CJ676" s="74"/>
      <c r="CK676" s="101"/>
      <c r="CL676" s="74"/>
      <c r="CM676" s="74"/>
      <c r="CN676" s="74"/>
      <c r="CO676" s="101"/>
      <c r="CP676" s="74"/>
      <c r="CQ676" s="74"/>
      <c r="CR676" s="74"/>
      <c r="CS676" s="74"/>
      <c r="CT676" s="74"/>
      <c r="CU676" s="74"/>
      <c r="CV676" s="74"/>
      <c r="CW676" s="74"/>
      <c r="CX676" s="74"/>
      <c r="CY676" s="74"/>
      <c r="CZ676" s="74"/>
      <c r="DA676" s="74"/>
      <c r="DB676" s="74"/>
      <c r="DC676" s="74"/>
      <c r="DD676" s="74"/>
      <c r="DE676" s="74"/>
      <c r="DF676" s="74"/>
      <c r="DG676" s="74"/>
      <c r="DH676" s="74"/>
      <c r="DI676" s="74"/>
      <c r="DJ676" s="74"/>
      <c r="DK676" s="74"/>
      <c r="DL676" s="74"/>
      <c r="DM676" s="74"/>
      <c r="DN676" s="74"/>
      <c r="DO676" s="74"/>
      <c r="DP676" s="74"/>
      <c r="DQ676" s="74"/>
      <c r="DR676" s="74"/>
      <c r="DS676" s="74"/>
      <c r="DT676" s="74"/>
      <c r="DU676" s="74"/>
      <c r="DV676" s="74"/>
      <c r="DW676" s="74"/>
      <c r="DX676" s="74"/>
      <c r="DY676" s="74"/>
      <c r="DZ676" s="8">
        <f t="shared" si="178"/>
        <v>0</v>
      </c>
      <c r="EA676" s="3">
        <f t="shared" si="179"/>
        <v>0</v>
      </c>
      <c r="EB676" s="2">
        <f t="shared" si="180"/>
        <v>0</v>
      </c>
      <c r="EC676" s="112">
        <f t="shared" si="189"/>
        <v>0</v>
      </c>
      <c r="ED676" s="29">
        <f t="shared" si="181"/>
        <v>0</v>
      </c>
      <c r="EE676" s="2">
        <f t="shared" si="182"/>
        <v>0</v>
      </c>
      <c r="EF676" s="46">
        <f t="shared" si="183"/>
        <v>0</v>
      </c>
      <c r="EG676" s="46">
        <f t="shared" si="184"/>
        <v>0</v>
      </c>
      <c r="EH676" s="29">
        <f t="shared" si="185"/>
        <v>0</v>
      </c>
      <c r="EI676" s="29">
        <f>IF(COUNT(I676:AD676)&lt;5,DZ676,SUMPRODUCT(LARGE(I676:AD676,{1,2,3,4,5}))/5)</f>
        <v>0</v>
      </c>
      <c r="EJ676" s="29">
        <f>IF(COUNT(I676:BE676)&lt;5,DZ676,SUMPRODUCT(LARGE(I676:BE676,{1,2,3,4,5}))/5)</f>
        <v>0</v>
      </c>
      <c r="EK676" s="29">
        <f t="shared" si="187"/>
        <v>0</v>
      </c>
      <c r="EL676" s="29">
        <f t="shared" si="191"/>
        <v>0</v>
      </c>
      <c r="EM676" s="116">
        <f t="shared" si="186"/>
        <v>0</v>
      </c>
      <c r="EN676" s="46"/>
      <c r="EQ676"/>
    </row>
    <row r="677" spans="1:147" x14ac:dyDescent="0.25">
      <c r="A677" s="59"/>
      <c r="B677" s="32"/>
      <c r="C677" s="5"/>
      <c r="D677" s="6"/>
      <c r="E677" s="6"/>
      <c r="F677" s="6"/>
      <c r="G677" s="5"/>
      <c r="H677" s="37"/>
      <c r="I677" s="107"/>
      <c r="J677" s="7"/>
      <c r="K677" s="74"/>
      <c r="L677" s="7"/>
      <c r="M677" s="74"/>
      <c r="N677" s="74"/>
      <c r="O677" s="7"/>
      <c r="P677" s="74"/>
      <c r="Q677" s="7"/>
      <c r="R677" s="74"/>
      <c r="S677" s="74"/>
      <c r="T677" s="7"/>
      <c r="U677" s="7"/>
      <c r="V677" s="74"/>
      <c r="W677" s="74"/>
      <c r="X677" s="74"/>
      <c r="Y677" s="227"/>
      <c r="Z677" s="228"/>
      <c r="AA677" s="74"/>
      <c r="AB677" s="74"/>
      <c r="AC677" s="74"/>
      <c r="AD677" s="74"/>
      <c r="AE677" s="7"/>
      <c r="AF677" s="74"/>
      <c r="AG677" s="74"/>
      <c r="AH677" s="7"/>
      <c r="AI677" s="7"/>
      <c r="AJ677" s="7"/>
      <c r="AK677" s="7"/>
      <c r="AL677" s="7"/>
      <c r="AM677" s="7"/>
      <c r="AN677" s="7"/>
      <c r="AO677" s="74"/>
      <c r="AP677" s="7"/>
      <c r="AQ677" s="74"/>
      <c r="AR677" s="101"/>
      <c r="AS677" s="7"/>
      <c r="AT677" s="101"/>
      <c r="AU677" s="7"/>
      <c r="AV677" s="101"/>
      <c r="AW677" s="7"/>
      <c r="AX677" s="8"/>
      <c r="AY677" s="36"/>
      <c r="AZ677" s="74"/>
      <c r="BA677" s="74"/>
      <c r="BB677" s="74"/>
      <c r="BC677" s="74"/>
      <c r="BD677" s="74"/>
      <c r="BE677" s="74"/>
      <c r="BF677" s="74"/>
      <c r="BG677" s="74"/>
      <c r="BH677" s="74"/>
      <c r="BI677" s="74"/>
      <c r="BJ677" s="74"/>
      <c r="BK677" s="7"/>
      <c r="BL677" s="74"/>
      <c r="BM677" s="7"/>
      <c r="BN677" s="74"/>
      <c r="BO677" s="74"/>
      <c r="BP677" s="74"/>
      <c r="BQ677" s="74"/>
      <c r="BR677" s="74"/>
      <c r="BS677" s="74"/>
      <c r="BT677" s="74"/>
      <c r="BU677" s="74"/>
      <c r="BV677" s="74"/>
      <c r="BW677" s="74"/>
      <c r="BX677" s="74"/>
      <c r="BY677" s="74"/>
      <c r="BZ677" s="74"/>
      <c r="CA677" s="74"/>
      <c r="CB677" s="74"/>
      <c r="CC677" s="74"/>
      <c r="CD677" s="74"/>
      <c r="CE677" s="7"/>
      <c r="CF677" s="74"/>
      <c r="CG677" s="74"/>
      <c r="CH677" s="7"/>
      <c r="CI677" s="74"/>
      <c r="CJ677" s="74"/>
      <c r="CK677" s="101"/>
      <c r="CL677" s="74"/>
      <c r="CM677" s="74"/>
      <c r="CN677" s="74"/>
      <c r="CO677" s="101"/>
      <c r="CP677" s="74"/>
      <c r="CQ677" s="74"/>
      <c r="CR677" s="74"/>
      <c r="CS677" s="74"/>
      <c r="CT677" s="74"/>
      <c r="CU677" s="74"/>
      <c r="CV677" s="74"/>
      <c r="CW677" s="74"/>
      <c r="CX677" s="74"/>
      <c r="CY677" s="74"/>
      <c r="CZ677" s="74"/>
      <c r="DA677" s="74"/>
      <c r="DB677" s="74"/>
      <c r="DC677" s="74"/>
      <c r="DD677" s="74"/>
      <c r="DE677" s="74"/>
      <c r="DF677" s="74"/>
      <c r="DG677" s="74"/>
      <c r="DH677" s="74"/>
      <c r="DI677" s="74"/>
      <c r="DJ677" s="74"/>
      <c r="DK677" s="74"/>
      <c r="DL677" s="74"/>
      <c r="DM677" s="74"/>
      <c r="DN677" s="74"/>
      <c r="DO677" s="74"/>
      <c r="DP677" s="74"/>
      <c r="DQ677" s="74"/>
      <c r="DR677" s="74"/>
      <c r="DS677" s="74"/>
      <c r="DT677" s="74"/>
      <c r="DU677" s="74"/>
      <c r="DV677" s="74"/>
      <c r="DW677" s="74"/>
      <c r="DX677" s="74"/>
      <c r="DY677" s="74"/>
      <c r="DZ677" s="8">
        <f t="shared" si="178"/>
        <v>0</v>
      </c>
      <c r="EA677" s="3">
        <f t="shared" si="179"/>
        <v>0</v>
      </c>
      <c r="EB677" s="2">
        <f t="shared" si="180"/>
        <v>0</v>
      </c>
      <c r="EC677" s="112">
        <f t="shared" si="189"/>
        <v>0</v>
      </c>
      <c r="ED677" s="29">
        <f t="shared" si="181"/>
        <v>0</v>
      </c>
      <c r="EE677" s="2">
        <f t="shared" si="182"/>
        <v>0</v>
      </c>
      <c r="EF677" s="46">
        <f t="shared" si="183"/>
        <v>0</v>
      </c>
      <c r="EG677" s="46">
        <f t="shared" si="184"/>
        <v>0</v>
      </c>
      <c r="EH677" s="2">
        <f t="shared" si="185"/>
        <v>0</v>
      </c>
      <c r="EI677" s="29">
        <f>IF(COUNT(I677:AD677)&lt;5,DZ677,SUMPRODUCT(LARGE(I677:AD677,{1,2,3,4,5}))/5)</f>
        <v>0</v>
      </c>
      <c r="EJ677" s="29">
        <f>IF(COUNT(I677:BE677)&lt;5,DZ677,SUMPRODUCT(LARGE(I677:BE677,{1,2,3,4,5}))/5)</f>
        <v>0</v>
      </c>
      <c r="EK677" s="29">
        <f t="shared" si="187"/>
        <v>0</v>
      </c>
      <c r="EL677" s="29">
        <f t="shared" si="191"/>
        <v>0</v>
      </c>
      <c r="EM677" s="116">
        <f t="shared" si="186"/>
        <v>0</v>
      </c>
      <c r="EN677" s="46"/>
      <c r="EQ677"/>
    </row>
    <row r="678" spans="1:147" x14ac:dyDescent="0.25">
      <c r="A678" s="59"/>
      <c r="B678" s="32"/>
      <c r="C678" s="5"/>
      <c r="D678" s="6"/>
      <c r="E678" s="6"/>
      <c r="F678" s="6"/>
      <c r="G678" s="5"/>
      <c r="H678" s="37"/>
      <c r="I678" s="107"/>
      <c r="J678" s="7"/>
      <c r="K678" s="74"/>
      <c r="L678" s="7"/>
      <c r="M678" s="74"/>
      <c r="N678" s="74"/>
      <c r="O678" s="7"/>
      <c r="P678" s="74"/>
      <c r="Q678" s="7"/>
      <c r="R678" s="74"/>
      <c r="S678" s="74"/>
      <c r="T678" s="7"/>
      <c r="U678" s="7"/>
      <c r="V678" s="74"/>
      <c r="W678" s="74"/>
      <c r="X678" s="74"/>
      <c r="Y678" s="227"/>
      <c r="Z678" s="228"/>
      <c r="AA678" s="74"/>
      <c r="AB678" s="74"/>
      <c r="AC678" s="74"/>
      <c r="AD678" s="74"/>
      <c r="AE678" s="7"/>
      <c r="AF678" s="74"/>
      <c r="AG678" s="74"/>
      <c r="AH678" s="7"/>
      <c r="AI678" s="7"/>
      <c r="AJ678" s="7"/>
      <c r="AK678" s="7"/>
      <c r="AL678" s="7"/>
      <c r="AM678" s="7"/>
      <c r="AN678" s="7"/>
      <c r="AO678" s="74"/>
      <c r="AP678" s="7"/>
      <c r="AQ678" s="74"/>
      <c r="AR678" s="101"/>
      <c r="AS678" s="7"/>
      <c r="AT678" s="101"/>
      <c r="AU678" s="7"/>
      <c r="AV678" s="101"/>
      <c r="AW678" s="7"/>
      <c r="AX678" s="183"/>
      <c r="AY678" s="107"/>
      <c r="AZ678" s="74"/>
      <c r="BA678" s="74"/>
      <c r="BB678" s="74"/>
      <c r="BC678" s="74"/>
      <c r="BD678" s="74"/>
      <c r="BE678" s="74"/>
      <c r="BF678" s="74"/>
      <c r="BG678" s="74"/>
      <c r="BH678" s="74"/>
      <c r="BI678" s="74"/>
      <c r="BJ678" s="74"/>
      <c r="BK678" s="7"/>
      <c r="BL678" s="74"/>
      <c r="BM678" s="7"/>
      <c r="BN678" s="74"/>
      <c r="BO678" s="74"/>
      <c r="BP678" s="74"/>
      <c r="BQ678" s="74"/>
      <c r="BR678" s="74"/>
      <c r="BS678" s="74"/>
      <c r="BT678" s="74"/>
      <c r="BU678" s="74"/>
      <c r="BV678" s="74"/>
      <c r="BW678" s="74"/>
      <c r="BX678" s="74"/>
      <c r="BY678" s="74"/>
      <c r="BZ678" s="74"/>
      <c r="CA678" s="74"/>
      <c r="CB678" s="74"/>
      <c r="CC678" s="74"/>
      <c r="CD678" s="74"/>
      <c r="CE678" s="7"/>
      <c r="CF678" s="74"/>
      <c r="CG678" s="74"/>
      <c r="CH678" s="7"/>
      <c r="CI678" s="74"/>
      <c r="CJ678" s="74"/>
      <c r="CK678" s="101"/>
      <c r="CL678" s="74"/>
      <c r="CM678" s="74"/>
      <c r="CN678" s="74"/>
      <c r="CO678" s="101"/>
      <c r="CP678" s="74"/>
      <c r="CQ678" s="74"/>
      <c r="CR678" s="74"/>
      <c r="CS678" s="74"/>
      <c r="CT678" s="74"/>
      <c r="CU678" s="74"/>
      <c r="CV678" s="74"/>
      <c r="CW678" s="74"/>
      <c r="CX678" s="74"/>
      <c r="CY678" s="74"/>
      <c r="CZ678" s="74"/>
      <c r="DA678" s="74"/>
      <c r="DB678" s="74"/>
      <c r="DC678" s="74"/>
      <c r="DD678" s="74"/>
      <c r="DE678" s="74"/>
      <c r="DF678" s="74"/>
      <c r="DG678" s="74"/>
      <c r="DH678" s="74"/>
      <c r="DI678" s="74"/>
      <c r="DJ678" s="74"/>
      <c r="DK678" s="74"/>
      <c r="DL678" s="74"/>
      <c r="DM678" s="74"/>
      <c r="DN678" s="74"/>
      <c r="DO678" s="74"/>
      <c r="DP678" s="74"/>
      <c r="DQ678" s="74"/>
      <c r="DR678" s="74"/>
      <c r="DS678" s="74"/>
      <c r="DT678" s="74"/>
      <c r="DU678" s="74"/>
      <c r="DV678" s="74"/>
      <c r="DW678" s="74"/>
      <c r="DX678" s="74"/>
      <c r="DY678" s="74"/>
      <c r="DZ678" s="8">
        <f t="shared" si="178"/>
        <v>0</v>
      </c>
      <c r="EA678" s="3">
        <f t="shared" si="179"/>
        <v>0</v>
      </c>
      <c r="EB678" s="2">
        <f t="shared" si="180"/>
        <v>0</v>
      </c>
      <c r="EC678" s="112">
        <f t="shared" si="189"/>
        <v>0</v>
      </c>
      <c r="ED678" s="29">
        <f t="shared" si="181"/>
        <v>0</v>
      </c>
      <c r="EE678" s="2">
        <f t="shared" si="182"/>
        <v>0</v>
      </c>
      <c r="EF678" s="46">
        <f t="shared" si="183"/>
        <v>0</v>
      </c>
      <c r="EG678" s="46">
        <f t="shared" si="184"/>
        <v>0</v>
      </c>
      <c r="EH678" s="29">
        <f t="shared" si="185"/>
        <v>0</v>
      </c>
      <c r="EI678" s="29">
        <f>IF(COUNT(I678:AD678)&lt;5,DZ678,SUMPRODUCT(LARGE(I678:AD678,{1,2,3,4,5}))/5)</f>
        <v>0</v>
      </c>
      <c r="EJ678" s="29">
        <f>IF(COUNT(I678:BE678)&lt;5,DZ678,SUMPRODUCT(LARGE(I678:BE678,{1,2,3,4,5}))/5)</f>
        <v>0</v>
      </c>
      <c r="EK678" s="29">
        <f t="shared" si="187"/>
        <v>0</v>
      </c>
      <c r="EL678" s="29">
        <f t="shared" si="191"/>
        <v>0</v>
      </c>
      <c r="EM678" s="116">
        <f t="shared" si="186"/>
        <v>0</v>
      </c>
      <c r="EN678" s="46"/>
      <c r="EQ678"/>
    </row>
    <row r="679" spans="1:147" x14ac:dyDescent="0.25">
      <c r="A679" s="59"/>
      <c r="B679" s="32"/>
      <c r="C679" s="5"/>
      <c r="D679" s="6"/>
      <c r="E679" s="6"/>
      <c r="F679" s="6"/>
      <c r="G679" s="5"/>
      <c r="H679" s="37"/>
      <c r="I679" s="107"/>
      <c r="J679" s="7"/>
      <c r="K679" s="74"/>
      <c r="L679" s="7"/>
      <c r="M679" s="74"/>
      <c r="N679" s="74"/>
      <c r="O679" s="7"/>
      <c r="P679" s="74"/>
      <c r="Q679" s="7"/>
      <c r="R679" s="74"/>
      <c r="S679" s="74"/>
      <c r="T679" s="7"/>
      <c r="U679" s="7"/>
      <c r="V679" s="74"/>
      <c r="W679" s="74"/>
      <c r="X679" s="74"/>
      <c r="Y679" s="227"/>
      <c r="Z679" s="228"/>
      <c r="AA679" s="74"/>
      <c r="AB679" s="74"/>
      <c r="AC679" s="74"/>
      <c r="AD679" s="74"/>
      <c r="AE679" s="7"/>
      <c r="AF679" s="74"/>
      <c r="AG679" s="74"/>
      <c r="AH679" s="7"/>
      <c r="AI679" s="7"/>
      <c r="AJ679" s="7"/>
      <c r="AK679" s="7"/>
      <c r="AL679" s="7"/>
      <c r="AM679" s="7"/>
      <c r="AN679" s="7"/>
      <c r="AO679" s="74"/>
      <c r="AP679" s="7"/>
      <c r="AQ679" s="74"/>
      <c r="AR679" s="101"/>
      <c r="AS679" s="7"/>
      <c r="AT679" s="101"/>
      <c r="AU679" s="7"/>
      <c r="AV679" s="101"/>
      <c r="AW679" s="7"/>
      <c r="AX679" s="183"/>
      <c r="AY679" s="107"/>
      <c r="AZ679" s="74"/>
      <c r="BA679" s="74"/>
      <c r="BB679" s="74"/>
      <c r="BC679" s="74"/>
      <c r="BD679" s="74"/>
      <c r="BE679" s="74"/>
      <c r="BF679" s="74"/>
      <c r="BG679" s="74"/>
      <c r="BH679" s="74"/>
      <c r="BI679" s="74"/>
      <c r="BJ679" s="74"/>
      <c r="BK679" s="7"/>
      <c r="BL679" s="74"/>
      <c r="BM679" s="7"/>
      <c r="BN679" s="74"/>
      <c r="BO679" s="74"/>
      <c r="BP679" s="74"/>
      <c r="BQ679" s="74"/>
      <c r="BR679" s="74"/>
      <c r="BS679" s="74"/>
      <c r="BT679" s="74"/>
      <c r="BU679" s="74"/>
      <c r="BV679" s="74"/>
      <c r="BW679" s="74"/>
      <c r="BX679" s="74"/>
      <c r="BY679" s="74"/>
      <c r="BZ679" s="74"/>
      <c r="CA679" s="74"/>
      <c r="CB679" s="74"/>
      <c r="CC679" s="74"/>
      <c r="CD679" s="74"/>
      <c r="CE679" s="7"/>
      <c r="CF679" s="74"/>
      <c r="CG679" s="102"/>
      <c r="CH679" s="7"/>
      <c r="CI679" s="74"/>
      <c r="CJ679" s="74"/>
      <c r="CK679" s="101"/>
      <c r="CL679" s="74"/>
      <c r="CM679" s="74"/>
      <c r="CN679" s="74"/>
      <c r="CO679" s="101"/>
      <c r="CP679" s="74"/>
      <c r="CQ679" s="74"/>
      <c r="CR679" s="74"/>
      <c r="CS679" s="74"/>
      <c r="CT679" s="74"/>
      <c r="CU679" s="74"/>
      <c r="CV679" s="74"/>
      <c r="CW679" s="74"/>
      <c r="CX679" s="74"/>
      <c r="CY679" s="74"/>
      <c r="CZ679" s="74"/>
      <c r="DA679" s="74"/>
      <c r="DB679" s="74"/>
      <c r="DC679" s="74"/>
      <c r="DD679" s="74"/>
      <c r="DE679" s="74"/>
      <c r="DF679" s="74"/>
      <c r="DG679" s="74"/>
      <c r="DH679" s="74"/>
      <c r="DI679" s="74"/>
      <c r="DJ679" s="74"/>
      <c r="DK679" s="74"/>
      <c r="DL679" s="74"/>
      <c r="DM679" s="74"/>
      <c r="DN679" s="74"/>
      <c r="DO679" s="74"/>
      <c r="DP679" s="74"/>
      <c r="DQ679" s="74"/>
      <c r="DR679" s="74"/>
      <c r="DS679" s="74"/>
      <c r="DT679" s="74"/>
      <c r="DU679" s="74"/>
      <c r="DV679" s="74"/>
      <c r="DW679" s="74"/>
      <c r="DX679" s="74"/>
      <c r="DY679" s="74"/>
      <c r="DZ679" s="8">
        <f t="shared" si="178"/>
        <v>0</v>
      </c>
      <c r="EA679" s="3">
        <f t="shared" si="179"/>
        <v>0</v>
      </c>
      <c r="EB679" s="2">
        <f t="shared" si="180"/>
        <v>0</v>
      </c>
      <c r="EC679" s="112">
        <f t="shared" si="189"/>
        <v>0</v>
      </c>
      <c r="ED679" s="29">
        <f t="shared" si="181"/>
        <v>0</v>
      </c>
      <c r="EE679" s="2">
        <f t="shared" si="182"/>
        <v>0</v>
      </c>
      <c r="EF679" s="46">
        <f t="shared" si="183"/>
        <v>0</v>
      </c>
      <c r="EG679" s="46">
        <f t="shared" si="184"/>
        <v>0</v>
      </c>
      <c r="EH679" s="29">
        <f t="shared" si="185"/>
        <v>0</v>
      </c>
      <c r="EI679" s="29">
        <f>IF(COUNT(I679:AD679)&lt;5,DZ679,SUMPRODUCT(LARGE(I679:AD679,{1,2,3,4,5}))/5)</f>
        <v>0</v>
      </c>
      <c r="EJ679" s="29">
        <f>IF(COUNT(I679:BE679)&lt;5,DZ679,SUMPRODUCT(LARGE(I679:BE679,{1,2,3,4,5}))/5)</f>
        <v>0</v>
      </c>
      <c r="EK679" s="29">
        <f t="shared" si="187"/>
        <v>0</v>
      </c>
      <c r="EL679" s="29">
        <f t="shared" si="191"/>
        <v>0</v>
      </c>
      <c r="EM679" s="116">
        <f t="shared" si="186"/>
        <v>0</v>
      </c>
      <c r="EN679" s="46"/>
      <c r="EQ679"/>
    </row>
    <row r="680" spans="1:147" x14ac:dyDescent="0.25">
      <c r="A680" s="59"/>
      <c r="B680" s="32"/>
      <c r="C680" s="5"/>
      <c r="D680" s="6"/>
      <c r="E680" s="6"/>
      <c r="F680" s="6"/>
      <c r="G680" s="5"/>
      <c r="H680" s="99"/>
      <c r="I680" s="36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227"/>
      <c r="Z680" s="228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4"/>
      <c r="AP680" s="7"/>
      <c r="AQ680" s="74"/>
      <c r="AR680" s="70"/>
      <c r="AS680" s="7"/>
      <c r="AT680" s="70"/>
      <c r="AU680" s="7"/>
      <c r="AV680" s="70"/>
      <c r="AW680" s="7"/>
      <c r="AX680" s="183"/>
      <c r="AY680" s="10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4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101"/>
      <c r="CL680" s="74"/>
      <c r="CM680" s="74"/>
      <c r="CN680" s="74"/>
      <c r="CO680" s="70"/>
      <c r="CP680" s="74"/>
      <c r="CQ680" s="7"/>
      <c r="CR680" s="74"/>
      <c r="CS680" s="74"/>
      <c r="CT680" s="74"/>
      <c r="CU680" s="74"/>
      <c r="CV680" s="7"/>
      <c r="CW680" s="7"/>
      <c r="CX680" s="7"/>
      <c r="CY680" s="7"/>
      <c r="CZ680" s="7"/>
      <c r="DA680" s="7"/>
      <c r="DB680" s="7"/>
      <c r="DC680" s="7"/>
      <c r="DD680" s="7"/>
      <c r="DE680" s="74"/>
      <c r="DF680" s="74"/>
      <c r="DG680" s="74"/>
      <c r="DH680" s="7"/>
      <c r="DI680" s="74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8">
        <f t="shared" si="178"/>
        <v>0</v>
      </c>
      <c r="EA680" s="3">
        <f t="shared" si="179"/>
        <v>0</v>
      </c>
      <c r="EB680" s="2">
        <f t="shared" si="180"/>
        <v>0</v>
      </c>
      <c r="EC680" s="112">
        <f t="shared" si="189"/>
        <v>0</v>
      </c>
      <c r="ED680" s="29">
        <f t="shared" si="181"/>
        <v>0</v>
      </c>
      <c r="EE680" s="2">
        <f t="shared" si="182"/>
        <v>0</v>
      </c>
      <c r="EF680" s="46">
        <f t="shared" si="183"/>
        <v>0</v>
      </c>
      <c r="EG680" s="46">
        <f t="shared" si="184"/>
        <v>0</v>
      </c>
      <c r="EH680" s="2">
        <f t="shared" si="185"/>
        <v>0</v>
      </c>
      <c r="EI680" s="29">
        <f>IF(COUNT(I680:AD680)&lt;5,DZ680,SUMPRODUCT(LARGE(I680:AD680,{1,2,3,4,5}))/5)</f>
        <v>0</v>
      </c>
      <c r="EJ680" s="29">
        <f>IF(COUNT(I680:BE680)&lt;5,DZ680,SUMPRODUCT(LARGE(I680:BE680,{1,2,3,4,5}))/5)</f>
        <v>0</v>
      </c>
      <c r="EK680" s="29">
        <f t="shared" si="187"/>
        <v>0</v>
      </c>
      <c r="EL680" s="29">
        <f t="shared" si="191"/>
        <v>0</v>
      </c>
      <c r="EM680" s="116">
        <f t="shared" si="186"/>
        <v>0</v>
      </c>
      <c r="EN680" s="46"/>
      <c r="EQ680"/>
    </row>
    <row r="681" spans="1:147" x14ac:dyDescent="0.25">
      <c r="A681" s="59"/>
      <c r="B681" s="32"/>
      <c r="C681" s="5"/>
      <c r="D681" s="6"/>
      <c r="E681" s="6"/>
      <c r="F681" s="6"/>
      <c r="G681" s="5"/>
      <c r="H681" s="37"/>
      <c r="I681" s="36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227"/>
      <c r="Z681" s="228"/>
      <c r="AA681" s="7"/>
      <c r="AB681" s="7"/>
      <c r="AC681" s="7"/>
      <c r="AD681" s="7"/>
      <c r="AE681" s="7"/>
      <c r="AF681" s="7"/>
      <c r="AG681" s="74"/>
      <c r="AH681" s="7"/>
      <c r="AI681" s="7"/>
      <c r="AJ681" s="7"/>
      <c r="AK681" s="7"/>
      <c r="AL681" s="7"/>
      <c r="AM681" s="7"/>
      <c r="AN681" s="7"/>
      <c r="AO681" s="74"/>
      <c r="AP681" s="7"/>
      <c r="AQ681" s="74"/>
      <c r="AR681" s="70"/>
      <c r="AS681" s="7"/>
      <c r="AT681" s="70"/>
      <c r="AU681" s="7"/>
      <c r="AV681" s="70"/>
      <c r="AW681" s="7"/>
      <c r="AX681" s="183"/>
      <c r="AY681" s="107"/>
      <c r="AZ681" s="7"/>
      <c r="BA681" s="7"/>
      <c r="BB681" s="7"/>
      <c r="BC681" s="74"/>
      <c r="BD681" s="7"/>
      <c r="BE681" s="74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101"/>
      <c r="CL681" s="74"/>
      <c r="CM681" s="74"/>
      <c r="CN681" s="74"/>
      <c r="CO681" s="70"/>
      <c r="CP681" s="74"/>
      <c r="CQ681" s="7"/>
      <c r="CR681" s="74"/>
      <c r="CS681" s="74"/>
      <c r="CT681" s="74"/>
      <c r="CU681" s="74"/>
      <c r="CV681" s="74"/>
      <c r="CW681" s="7"/>
      <c r="CX681" s="7"/>
      <c r="CY681" s="7"/>
      <c r="CZ681" s="7"/>
      <c r="DA681" s="7"/>
      <c r="DB681" s="7"/>
      <c r="DC681" s="7"/>
      <c r="DD681" s="7"/>
      <c r="DE681" s="74"/>
      <c r="DF681" s="74"/>
      <c r="DG681" s="74"/>
      <c r="DH681" s="74"/>
      <c r="DI681" s="74"/>
      <c r="DJ681" s="74"/>
      <c r="DK681" s="7"/>
      <c r="DL681" s="74"/>
      <c r="DM681" s="74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8">
        <f t="shared" si="178"/>
        <v>0</v>
      </c>
      <c r="EA681" s="3">
        <f t="shared" si="179"/>
        <v>0</v>
      </c>
      <c r="EB681" s="2">
        <f t="shared" si="180"/>
        <v>0</v>
      </c>
      <c r="EC681" s="112">
        <f t="shared" si="189"/>
        <v>0</v>
      </c>
      <c r="ED681" s="29">
        <f t="shared" si="181"/>
        <v>0</v>
      </c>
      <c r="EE681" s="2">
        <f t="shared" si="182"/>
        <v>0</v>
      </c>
      <c r="EF681" s="46">
        <f t="shared" si="183"/>
        <v>0</v>
      </c>
      <c r="EG681" s="46">
        <f t="shared" si="184"/>
        <v>0</v>
      </c>
      <c r="EH681" s="2">
        <f t="shared" si="185"/>
        <v>0</v>
      </c>
      <c r="EI681" s="29">
        <f>IF(COUNT(I681:AD681)&lt;5,DZ681,SUMPRODUCT(LARGE(I681:AD681,{1,2,3,4,5}))/5)</f>
        <v>0</v>
      </c>
      <c r="EJ681" s="29">
        <f>IF(COUNT(I681:BE681)&lt;5,DZ681,SUMPRODUCT(LARGE(I681:BE681,{1,2,3,4,5}))/5)</f>
        <v>0</v>
      </c>
      <c r="EK681" s="29">
        <f t="shared" si="187"/>
        <v>0</v>
      </c>
      <c r="EL681" s="29">
        <f>(EK681*100)/101.59</f>
        <v>0</v>
      </c>
      <c r="EM681" s="116">
        <f t="shared" si="186"/>
        <v>0</v>
      </c>
      <c r="EN681" s="46"/>
      <c r="EQ681"/>
    </row>
    <row r="682" spans="1:147" x14ac:dyDescent="0.25">
      <c r="A682" s="59"/>
      <c r="B682" s="32"/>
      <c r="C682" s="5"/>
      <c r="D682" s="6"/>
      <c r="E682" s="6"/>
      <c r="F682" s="6"/>
      <c r="G682" s="5"/>
      <c r="H682" s="37"/>
      <c r="I682" s="107"/>
      <c r="J682" s="7"/>
      <c r="K682" s="74"/>
      <c r="L682" s="7"/>
      <c r="M682" s="74"/>
      <c r="N682" s="74"/>
      <c r="O682" s="7"/>
      <c r="P682" s="74"/>
      <c r="Q682" s="7"/>
      <c r="R682" s="74"/>
      <c r="S682" s="74"/>
      <c r="T682" s="7"/>
      <c r="U682" s="7"/>
      <c r="V682" s="74"/>
      <c r="W682" s="7"/>
      <c r="X682" s="7"/>
      <c r="Y682" s="227"/>
      <c r="Z682" s="228"/>
      <c r="AA682" s="74"/>
      <c r="AB682" s="74"/>
      <c r="AC682" s="74"/>
      <c r="AD682" s="74"/>
      <c r="AE682" s="7"/>
      <c r="AF682" s="74"/>
      <c r="AG682" s="74"/>
      <c r="AH682" s="7"/>
      <c r="AI682" s="7"/>
      <c r="AJ682" s="7"/>
      <c r="AK682" s="7"/>
      <c r="AL682" s="7"/>
      <c r="AM682" s="7"/>
      <c r="AN682" s="7"/>
      <c r="AO682" s="74"/>
      <c r="AP682" s="7"/>
      <c r="AQ682" s="74"/>
      <c r="AR682" s="101"/>
      <c r="AS682" s="7"/>
      <c r="AT682" s="101"/>
      <c r="AU682" s="7"/>
      <c r="AV682" s="101"/>
      <c r="AW682" s="7"/>
      <c r="AX682" s="183"/>
      <c r="AY682" s="107"/>
      <c r="AZ682" s="74"/>
      <c r="BA682" s="74"/>
      <c r="BB682" s="74"/>
      <c r="BC682" s="74"/>
      <c r="BD682" s="74"/>
      <c r="BE682" s="74"/>
      <c r="BF682" s="74"/>
      <c r="BG682" s="74"/>
      <c r="BH682" s="74"/>
      <c r="BI682" s="74"/>
      <c r="BJ682" s="74"/>
      <c r="BK682" s="7"/>
      <c r="BL682" s="74"/>
      <c r="BM682" s="7"/>
      <c r="BN682" s="74"/>
      <c r="BO682" s="74"/>
      <c r="BP682" s="74"/>
      <c r="BQ682" s="74"/>
      <c r="BR682" s="74"/>
      <c r="BS682" s="74"/>
      <c r="BT682" s="74"/>
      <c r="BU682" s="74"/>
      <c r="BV682" s="74"/>
      <c r="BW682" s="74"/>
      <c r="BX682" s="74"/>
      <c r="BY682" s="74"/>
      <c r="BZ682" s="74"/>
      <c r="CA682" s="74"/>
      <c r="CB682" s="74"/>
      <c r="CC682" s="74"/>
      <c r="CD682" s="74"/>
      <c r="CE682" s="7"/>
      <c r="CF682" s="74"/>
      <c r="CG682" s="74"/>
      <c r="CH682" s="7"/>
      <c r="CI682" s="74"/>
      <c r="CJ682" s="74"/>
      <c r="CK682" s="101"/>
      <c r="CL682" s="74"/>
      <c r="CM682" s="74"/>
      <c r="CN682" s="74"/>
      <c r="CO682" s="101"/>
      <c r="CP682" s="74"/>
      <c r="CQ682" s="74"/>
      <c r="CR682" s="74"/>
      <c r="CS682" s="74"/>
      <c r="CT682" s="74"/>
      <c r="CU682" s="74"/>
      <c r="CV682" s="74"/>
      <c r="CW682" s="74"/>
      <c r="CX682" s="74"/>
      <c r="CY682" s="74"/>
      <c r="CZ682" s="74"/>
      <c r="DA682" s="74"/>
      <c r="DB682" s="74"/>
      <c r="DC682" s="74"/>
      <c r="DD682" s="74"/>
      <c r="DE682" s="74"/>
      <c r="DF682" s="74"/>
      <c r="DG682" s="74"/>
      <c r="DH682" s="74"/>
      <c r="DI682" s="74"/>
      <c r="DJ682" s="74"/>
      <c r="DK682" s="74"/>
      <c r="DL682" s="74"/>
      <c r="DM682" s="74"/>
      <c r="DN682" s="74"/>
      <c r="DO682" s="74"/>
      <c r="DP682" s="74"/>
      <c r="DQ682" s="74"/>
      <c r="DR682" s="74"/>
      <c r="DS682" s="74"/>
      <c r="DT682" s="74"/>
      <c r="DU682" s="74"/>
      <c r="DV682" s="74"/>
      <c r="DW682" s="74"/>
      <c r="DX682" s="74"/>
      <c r="DY682" s="74"/>
      <c r="DZ682" s="8">
        <f t="shared" si="178"/>
        <v>0</v>
      </c>
      <c r="EA682" s="3">
        <f t="shared" si="179"/>
        <v>0</v>
      </c>
      <c r="EB682" s="2">
        <f t="shared" si="180"/>
        <v>0</v>
      </c>
      <c r="EC682" s="112">
        <f t="shared" si="189"/>
        <v>0</v>
      </c>
      <c r="ED682" s="29">
        <f t="shared" si="181"/>
        <v>0</v>
      </c>
      <c r="EE682" s="2">
        <f t="shared" si="182"/>
        <v>0</v>
      </c>
      <c r="EF682" s="46">
        <f t="shared" si="183"/>
        <v>0</v>
      </c>
      <c r="EG682" s="46">
        <f t="shared" si="184"/>
        <v>0</v>
      </c>
      <c r="EH682" s="29">
        <f t="shared" si="185"/>
        <v>0</v>
      </c>
      <c r="EI682" s="29">
        <f>IF(COUNT(I682:AD682)&lt;5,DZ682,SUMPRODUCT(LARGE(I682:AD682,{1,2,3,4,5}))/5)</f>
        <v>0</v>
      </c>
      <c r="EJ682" s="29">
        <f>IF(COUNT(I682:BE682)&lt;5,DZ682,SUMPRODUCT(LARGE(I682:BE682,{1,2,3,4,5}))/5)</f>
        <v>0</v>
      </c>
      <c r="EK682" s="29">
        <f t="shared" si="187"/>
        <v>0</v>
      </c>
      <c r="EL682" s="29">
        <f>(EK682*100)/101.28</f>
        <v>0</v>
      </c>
      <c r="EM682" s="116">
        <f t="shared" si="186"/>
        <v>0</v>
      </c>
      <c r="EN682" s="46"/>
      <c r="EQ682"/>
    </row>
    <row r="683" spans="1:147" x14ac:dyDescent="0.25">
      <c r="A683" s="59"/>
      <c r="B683" s="32"/>
      <c r="C683" s="5"/>
      <c r="D683" s="6"/>
      <c r="E683" s="6"/>
      <c r="F683" s="6"/>
      <c r="G683" s="5"/>
      <c r="H683" s="99"/>
      <c r="I683" s="107"/>
      <c r="J683" s="7"/>
      <c r="K683" s="74"/>
      <c r="L683" s="7"/>
      <c r="M683" s="74"/>
      <c r="N683" s="74"/>
      <c r="O683" s="7"/>
      <c r="P683" s="74"/>
      <c r="Q683" s="7"/>
      <c r="R683" s="74"/>
      <c r="S683" s="74"/>
      <c r="T683" s="7"/>
      <c r="U683" s="7"/>
      <c r="V683" s="74"/>
      <c r="W683" s="74"/>
      <c r="X683" s="74"/>
      <c r="Y683" s="227"/>
      <c r="Z683" s="228"/>
      <c r="AA683" s="74"/>
      <c r="AB683" s="74"/>
      <c r="AC683" s="74"/>
      <c r="AD683" s="74"/>
      <c r="AE683" s="7"/>
      <c r="AF683" s="74"/>
      <c r="AG683" s="74"/>
      <c r="AH683" s="7"/>
      <c r="AI683" s="7"/>
      <c r="AJ683" s="7"/>
      <c r="AK683" s="7"/>
      <c r="AL683" s="7"/>
      <c r="AM683" s="7"/>
      <c r="AN683" s="7"/>
      <c r="AO683" s="74"/>
      <c r="AP683" s="7"/>
      <c r="AQ683" s="74"/>
      <c r="AR683" s="101"/>
      <c r="AS683" s="7"/>
      <c r="AT683" s="101"/>
      <c r="AU683" s="7"/>
      <c r="AV683" s="101"/>
      <c r="AW683" s="7"/>
      <c r="AX683" s="8"/>
      <c r="AY683" s="36"/>
      <c r="AZ683" s="74"/>
      <c r="BA683" s="74"/>
      <c r="BB683" s="74"/>
      <c r="BC683" s="74"/>
      <c r="BD683" s="74"/>
      <c r="BE683" s="74"/>
      <c r="BF683" s="74"/>
      <c r="BG683" s="74"/>
      <c r="BH683" s="74"/>
      <c r="BI683" s="74"/>
      <c r="BJ683" s="74"/>
      <c r="BK683" s="7"/>
      <c r="BL683" s="74"/>
      <c r="BM683" s="7"/>
      <c r="BN683" s="74"/>
      <c r="BO683" s="74"/>
      <c r="BP683" s="74"/>
      <c r="BQ683" s="74"/>
      <c r="BR683" s="74"/>
      <c r="BS683" s="74"/>
      <c r="BT683" s="74"/>
      <c r="BU683" s="74"/>
      <c r="BV683" s="74"/>
      <c r="BW683" s="74"/>
      <c r="BX683" s="74"/>
      <c r="BY683" s="74"/>
      <c r="BZ683" s="74"/>
      <c r="CA683" s="74"/>
      <c r="CB683" s="74"/>
      <c r="CC683" s="74"/>
      <c r="CD683" s="74"/>
      <c r="CE683" s="7"/>
      <c r="CF683" s="74"/>
      <c r="CG683" s="74"/>
      <c r="CH683" s="7"/>
      <c r="CI683" s="74"/>
      <c r="CJ683" s="74"/>
      <c r="CK683" s="101"/>
      <c r="CL683" s="74"/>
      <c r="CM683" s="74"/>
      <c r="CN683" s="74"/>
      <c r="CO683" s="101"/>
      <c r="CP683" s="74"/>
      <c r="CQ683" s="74"/>
      <c r="CR683" s="74"/>
      <c r="CS683" s="74"/>
      <c r="CT683" s="74"/>
      <c r="CU683" s="74"/>
      <c r="CV683" s="74"/>
      <c r="CW683" s="74"/>
      <c r="CX683" s="74"/>
      <c r="CY683" s="7"/>
      <c r="CZ683" s="74"/>
      <c r="DA683" s="74"/>
      <c r="DB683" s="74"/>
      <c r="DC683" s="74"/>
      <c r="DD683" s="74"/>
      <c r="DE683" s="74"/>
      <c r="DF683" s="74"/>
      <c r="DG683" s="74"/>
      <c r="DH683" s="74"/>
      <c r="DI683" s="74"/>
      <c r="DJ683" s="74"/>
      <c r="DK683" s="74"/>
      <c r="DL683" s="74"/>
      <c r="DM683" s="74"/>
      <c r="DN683" s="74"/>
      <c r="DO683" s="74"/>
      <c r="DP683" s="74"/>
      <c r="DQ683" s="74"/>
      <c r="DR683" s="74"/>
      <c r="DS683" s="74"/>
      <c r="DT683" s="74"/>
      <c r="DU683" s="74"/>
      <c r="DV683" s="74"/>
      <c r="DW683" s="74"/>
      <c r="DX683" s="74"/>
      <c r="DY683" s="74"/>
      <c r="DZ683" s="8">
        <f t="shared" si="178"/>
        <v>0</v>
      </c>
      <c r="EA683" s="3">
        <f t="shared" si="179"/>
        <v>0</v>
      </c>
      <c r="EB683" s="2">
        <f t="shared" si="180"/>
        <v>0</v>
      </c>
      <c r="EC683" s="112">
        <f t="shared" si="189"/>
        <v>0</v>
      </c>
      <c r="ED683" s="29">
        <f t="shared" si="181"/>
        <v>0</v>
      </c>
      <c r="EE683" s="2">
        <f t="shared" si="182"/>
        <v>0</v>
      </c>
      <c r="EF683" s="46">
        <f t="shared" si="183"/>
        <v>0</v>
      </c>
      <c r="EG683" s="46">
        <f t="shared" si="184"/>
        <v>0</v>
      </c>
      <c r="EH683" s="29">
        <f t="shared" si="185"/>
        <v>0</v>
      </c>
      <c r="EI683" s="29">
        <f>IF(COUNT(I683:AD683)&lt;5,DZ683,SUMPRODUCT(LARGE(I683:AD683,{1,2,3,4,5}))/5)</f>
        <v>0</v>
      </c>
      <c r="EJ683" s="29">
        <f>IF(COUNT(I683:BE683)&lt;5,DZ683,SUMPRODUCT(LARGE(I683:BE683,{1,2,3,4,5}))/5)</f>
        <v>0</v>
      </c>
      <c r="EK683" s="29">
        <f t="shared" si="187"/>
        <v>0</v>
      </c>
      <c r="EL683" s="29">
        <f>(EK683*100)/101.28</f>
        <v>0</v>
      </c>
      <c r="EM683" s="116">
        <f t="shared" si="186"/>
        <v>0</v>
      </c>
      <c r="EN683" s="46"/>
      <c r="EQ683"/>
    </row>
    <row r="684" spans="1:147" x14ac:dyDescent="0.25">
      <c r="A684" s="59"/>
      <c r="B684" s="32"/>
      <c r="C684" s="5"/>
      <c r="D684" s="6"/>
      <c r="E684" s="6"/>
      <c r="F684" s="6"/>
      <c r="G684" s="5"/>
      <c r="H684" s="37"/>
      <c r="I684" s="107"/>
      <c r="J684" s="7"/>
      <c r="K684" s="74"/>
      <c r="L684" s="7"/>
      <c r="M684" s="74"/>
      <c r="N684" s="74"/>
      <c r="O684" s="7"/>
      <c r="P684" s="74"/>
      <c r="Q684" s="7"/>
      <c r="R684" s="74"/>
      <c r="S684" s="74"/>
      <c r="T684" s="7"/>
      <c r="U684" s="7"/>
      <c r="V684" s="74"/>
      <c r="W684" s="74"/>
      <c r="X684" s="74"/>
      <c r="Y684" s="227"/>
      <c r="Z684" s="228"/>
      <c r="AA684" s="74"/>
      <c r="AB684" s="74"/>
      <c r="AC684" s="74"/>
      <c r="AD684" s="74"/>
      <c r="AE684" s="7"/>
      <c r="AF684" s="74"/>
      <c r="AG684" s="74"/>
      <c r="AH684" s="7"/>
      <c r="AI684" s="7"/>
      <c r="AJ684" s="7"/>
      <c r="AK684" s="7"/>
      <c r="AL684" s="7"/>
      <c r="AM684" s="7"/>
      <c r="AN684" s="7"/>
      <c r="AO684" s="74"/>
      <c r="AP684" s="7"/>
      <c r="AQ684" s="74"/>
      <c r="AR684" s="101"/>
      <c r="AS684" s="7"/>
      <c r="AT684" s="101"/>
      <c r="AU684" s="7"/>
      <c r="AV684" s="101"/>
      <c r="AW684" s="7"/>
      <c r="AX684" s="8"/>
      <c r="AY684" s="36"/>
      <c r="AZ684" s="74"/>
      <c r="BA684" s="74"/>
      <c r="BB684" s="74"/>
      <c r="BC684" s="74"/>
      <c r="BD684" s="74"/>
      <c r="BE684" s="74"/>
      <c r="BF684" s="74"/>
      <c r="BG684" s="74"/>
      <c r="BH684" s="74"/>
      <c r="BI684" s="74"/>
      <c r="BJ684" s="74"/>
      <c r="BK684" s="7"/>
      <c r="BL684" s="74"/>
      <c r="BM684" s="7"/>
      <c r="BN684" s="74"/>
      <c r="BO684" s="74"/>
      <c r="BP684" s="74"/>
      <c r="BQ684" s="74"/>
      <c r="BR684" s="74"/>
      <c r="BS684" s="74"/>
      <c r="BT684" s="74"/>
      <c r="BU684" s="74"/>
      <c r="BV684" s="74"/>
      <c r="BW684" s="74"/>
      <c r="BX684" s="74"/>
      <c r="BY684" s="74"/>
      <c r="BZ684" s="74"/>
      <c r="CA684" s="74"/>
      <c r="CB684" s="74"/>
      <c r="CC684" s="74"/>
      <c r="CD684" s="74"/>
      <c r="CE684" s="7"/>
      <c r="CF684" s="74"/>
      <c r="CG684" s="74"/>
      <c r="CH684" s="7"/>
      <c r="CI684" s="74"/>
      <c r="CJ684" s="74"/>
      <c r="CK684" s="101"/>
      <c r="CL684" s="74"/>
      <c r="CM684" s="74"/>
      <c r="CN684" s="74"/>
      <c r="CO684" s="101"/>
      <c r="CP684" s="74"/>
      <c r="CQ684" s="74"/>
      <c r="CR684" s="74"/>
      <c r="CS684" s="74"/>
      <c r="CT684" s="74"/>
      <c r="CU684" s="74"/>
      <c r="CV684" s="74"/>
      <c r="CW684" s="74"/>
      <c r="CX684" s="74"/>
      <c r="CY684" s="7"/>
      <c r="CZ684" s="74"/>
      <c r="DA684" s="74"/>
      <c r="DB684" s="74"/>
      <c r="DC684" s="74"/>
      <c r="DD684" s="74"/>
      <c r="DE684" s="74"/>
      <c r="DF684" s="74"/>
      <c r="DG684" s="74"/>
      <c r="DH684" s="74"/>
      <c r="DI684" s="74"/>
      <c r="DJ684" s="74"/>
      <c r="DK684" s="74"/>
      <c r="DL684" s="74"/>
      <c r="DM684" s="74"/>
      <c r="DN684" s="74"/>
      <c r="DO684" s="74"/>
      <c r="DP684" s="74"/>
      <c r="DQ684" s="74"/>
      <c r="DR684" s="74"/>
      <c r="DS684" s="74"/>
      <c r="DT684" s="74"/>
      <c r="DU684" s="74"/>
      <c r="DV684" s="74"/>
      <c r="DW684" s="74"/>
      <c r="DX684" s="74"/>
      <c r="DY684" s="74"/>
      <c r="DZ684" s="8">
        <f t="shared" si="178"/>
        <v>0</v>
      </c>
      <c r="EA684" s="3">
        <f t="shared" si="179"/>
        <v>0</v>
      </c>
      <c r="EB684" s="2">
        <f t="shared" si="180"/>
        <v>0</v>
      </c>
      <c r="EC684" s="112">
        <f t="shared" si="189"/>
        <v>0</v>
      </c>
      <c r="ED684" s="29">
        <f t="shared" si="181"/>
        <v>0</v>
      </c>
      <c r="EE684" s="2">
        <f t="shared" si="182"/>
        <v>0</v>
      </c>
      <c r="EF684" s="46">
        <f t="shared" si="183"/>
        <v>0</v>
      </c>
      <c r="EG684" s="46">
        <f t="shared" si="184"/>
        <v>0</v>
      </c>
      <c r="EH684" s="29">
        <f t="shared" si="185"/>
        <v>0</v>
      </c>
      <c r="EI684" s="29">
        <f>IF(COUNT(I684:AD684)&lt;5,DZ684,SUMPRODUCT(LARGE(I684:AD684,{1,2,3,4,5}))/5)</f>
        <v>0</v>
      </c>
      <c r="EJ684" s="29">
        <f>IF(COUNT(I684:BE684)&lt;5,DZ684,SUMPRODUCT(LARGE(I684:BE684,{1,2,3,4,5}))/5)</f>
        <v>0</v>
      </c>
      <c r="EK684" s="29">
        <f t="shared" si="187"/>
        <v>0</v>
      </c>
      <c r="EL684" s="29">
        <f>(EK684*100)/101.28</f>
        <v>0</v>
      </c>
      <c r="EM684" s="116">
        <f t="shared" si="186"/>
        <v>0</v>
      </c>
      <c r="EN684" s="46"/>
      <c r="EQ684"/>
    </row>
    <row r="685" spans="1:147" x14ac:dyDescent="0.25">
      <c r="A685" s="59"/>
      <c r="B685" s="32"/>
      <c r="C685" s="5"/>
      <c r="D685" s="6"/>
      <c r="E685" s="6"/>
      <c r="F685" s="6"/>
      <c r="G685" s="5"/>
      <c r="H685" s="37"/>
      <c r="I685" s="107"/>
      <c r="J685" s="7"/>
      <c r="K685" s="74"/>
      <c r="L685" s="7"/>
      <c r="M685" s="74"/>
      <c r="N685" s="74"/>
      <c r="O685" s="7"/>
      <c r="P685" s="74"/>
      <c r="Q685" s="7"/>
      <c r="R685" s="74"/>
      <c r="S685" s="74"/>
      <c r="T685" s="7"/>
      <c r="U685" s="7"/>
      <c r="V685" s="74"/>
      <c r="W685" s="74"/>
      <c r="X685" s="74"/>
      <c r="Y685" s="227"/>
      <c r="Z685" s="228"/>
      <c r="AA685" s="74"/>
      <c r="AB685" s="74"/>
      <c r="AC685" s="74"/>
      <c r="AD685" s="74"/>
      <c r="AE685" s="7"/>
      <c r="AF685" s="74"/>
      <c r="AG685" s="74"/>
      <c r="AH685" s="7"/>
      <c r="AI685" s="7"/>
      <c r="AJ685" s="7"/>
      <c r="AK685" s="7"/>
      <c r="AL685" s="7"/>
      <c r="AM685" s="7"/>
      <c r="AN685" s="7"/>
      <c r="AO685" s="74"/>
      <c r="AP685" s="7"/>
      <c r="AQ685" s="74"/>
      <c r="AR685" s="101"/>
      <c r="AS685" s="7"/>
      <c r="AT685" s="101"/>
      <c r="AU685" s="7"/>
      <c r="AV685" s="101"/>
      <c r="AW685" s="7"/>
      <c r="AX685" s="183"/>
      <c r="AY685" s="107"/>
      <c r="AZ685" s="74"/>
      <c r="BA685" s="74"/>
      <c r="BB685" s="74"/>
      <c r="BC685" s="74"/>
      <c r="BD685" s="74"/>
      <c r="BE685" s="74"/>
      <c r="BF685" s="74"/>
      <c r="BG685" s="74"/>
      <c r="BH685" s="74"/>
      <c r="BI685" s="74"/>
      <c r="BJ685" s="74"/>
      <c r="BK685" s="7"/>
      <c r="BL685" s="74"/>
      <c r="BM685" s="7"/>
      <c r="BN685" s="74"/>
      <c r="BO685" s="74"/>
      <c r="BP685" s="74"/>
      <c r="BQ685" s="74"/>
      <c r="BR685" s="74"/>
      <c r="BS685" s="74"/>
      <c r="BT685" s="74"/>
      <c r="BU685" s="74"/>
      <c r="BV685" s="74"/>
      <c r="BW685" s="74"/>
      <c r="BX685" s="74"/>
      <c r="BY685" s="74"/>
      <c r="BZ685" s="74"/>
      <c r="CA685" s="74"/>
      <c r="CB685" s="74"/>
      <c r="CC685" s="74"/>
      <c r="CD685" s="74"/>
      <c r="CE685" s="7"/>
      <c r="CF685" s="74"/>
      <c r="CG685" s="74"/>
      <c r="CH685" s="7"/>
      <c r="CI685" s="74"/>
      <c r="CJ685" s="74"/>
      <c r="CK685" s="101"/>
      <c r="CL685" s="74"/>
      <c r="CM685" s="74"/>
      <c r="CN685" s="74"/>
      <c r="CO685" s="74"/>
      <c r="CP685" s="74"/>
      <c r="CQ685" s="74"/>
      <c r="CR685" s="74"/>
      <c r="CS685" s="74"/>
      <c r="CT685" s="74"/>
      <c r="CU685" s="74"/>
      <c r="CV685" s="74"/>
      <c r="CW685" s="74"/>
      <c r="CX685" s="74"/>
      <c r="CY685" s="74"/>
      <c r="CZ685" s="74"/>
      <c r="DA685" s="74"/>
      <c r="DB685" s="74"/>
      <c r="DC685" s="74"/>
      <c r="DD685" s="74"/>
      <c r="DE685" s="74"/>
      <c r="DF685" s="74"/>
      <c r="DG685" s="74"/>
      <c r="DH685" s="74"/>
      <c r="DI685" s="74"/>
      <c r="DJ685" s="74"/>
      <c r="DK685" s="74"/>
      <c r="DL685" s="74"/>
      <c r="DM685" s="74"/>
      <c r="DN685" s="74"/>
      <c r="DO685" s="74"/>
      <c r="DP685" s="74"/>
      <c r="DQ685" s="74"/>
      <c r="DR685" s="74"/>
      <c r="DS685" s="74"/>
      <c r="DT685" s="74"/>
      <c r="DU685" s="74"/>
      <c r="DV685" s="74"/>
      <c r="DW685" s="74"/>
      <c r="DX685" s="74"/>
      <c r="DY685" s="74"/>
      <c r="DZ685" s="8">
        <f t="shared" si="178"/>
        <v>0</v>
      </c>
      <c r="EA685" s="3">
        <f t="shared" si="179"/>
        <v>0</v>
      </c>
      <c r="EB685" s="2">
        <f t="shared" si="180"/>
        <v>0</v>
      </c>
      <c r="EC685" s="112">
        <f t="shared" si="189"/>
        <v>0</v>
      </c>
      <c r="ED685" s="29">
        <f t="shared" si="181"/>
        <v>0</v>
      </c>
      <c r="EE685" s="2">
        <f t="shared" si="182"/>
        <v>0</v>
      </c>
      <c r="EF685" s="46">
        <f t="shared" si="183"/>
        <v>0</v>
      </c>
      <c r="EG685" s="46">
        <f t="shared" si="184"/>
        <v>0</v>
      </c>
      <c r="EH685" s="2">
        <f t="shared" si="185"/>
        <v>0</v>
      </c>
      <c r="EI685" s="29">
        <f>IF(COUNT(I685:AD685)&lt;5,DZ685,SUMPRODUCT(LARGE(I685:AD685,{1,2,3,4,5}))/5)</f>
        <v>0</v>
      </c>
      <c r="EJ685" s="29">
        <f>IF(COUNT(I685:BE685)&lt;5,DZ685,SUMPRODUCT(LARGE(I685:BE685,{1,2,3,4,5}))/5)</f>
        <v>0</v>
      </c>
      <c r="EK685" s="29">
        <f t="shared" si="187"/>
        <v>0</v>
      </c>
      <c r="EL685" s="29">
        <f>(EK685*100)/101.28</f>
        <v>0</v>
      </c>
      <c r="EM685" s="116">
        <f t="shared" si="186"/>
        <v>0</v>
      </c>
      <c r="EN685" s="46"/>
      <c r="EQ685"/>
    </row>
    <row r="686" spans="1:147" x14ac:dyDescent="0.25">
      <c r="A686" s="59"/>
      <c r="B686" s="32"/>
      <c r="C686" s="5"/>
      <c r="D686" s="6"/>
      <c r="E686" s="6"/>
      <c r="F686" s="6"/>
      <c r="G686" s="5"/>
      <c r="H686" s="37"/>
      <c r="I686" s="36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227"/>
      <c r="Z686" s="228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4"/>
      <c r="AP686" s="7"/>
      <c r="AQ686" s="74"/>
      <c r="AR686" s="70"/>
      <c r="AS686" s="7"/>
      <c r="AT686" s="70"/>
      <c r="AU686" s="7"/>
      <c r="AV686" s="70"/>
      <c r="AW686" s="7"/>
      <c r="AX686" s="183"/>
      <c r="AY686" s="10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4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101"/>
      <c r="CL686" s="74"/>
      <c r="CM686" s="74"/>
      <c r="CN686" s="74"/>
      <c r="CO686" s="70"/>
      <c r="CP686" s="74"/>
      <c r="CQ686" s="7"/>
      <c r="CR686" s="74"/>
      <c r="CS686" s="74"/>
      <c r="CT686" s="74"/>
      <c r="CU686" s="74"/>
      <c r="CV686" s="7"/>
      <c r="CW686" s="7"/>
      <c r="CX686" s="7"/>
      <c r="CY686" s="7"/>
      <c r="CZ686" s="7"/>
      <c r="DA686" s="7"/>
      <c r="DB686" s="7"/>
      <c r="DC686" s="7"/>
      <c r="DD686" s="7"/>
      <c r="DE686" s="74"/>
      <c r="DF686" s="74"/>
      <c r="DG686" s="74"/>
      <c r="DH686" s="7"/>
      <c r="DI686" s="74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8">
        <f t="shared" si="178"/>
        <v>0</v>
      </c>
      <c r="EA686" s="3">
        <f t="shared" si="179"/>
        <v>0</v>
      </c>
      <c r="EB686" s="2">
        <f t="shared" si="180"/>
        <v>0</v>
      </c>
      <c r="EC686" s="112">
        <f t="shared" si="189"/>
        <v>0</v>
      </c>
      <c r="ED686" s="29">
        <f t="shared" si="181"/>
        <v>0</v>
      </c>
      <c r="EE686" s="2">
        <f t="shared" si="182"/>
        <v>0</v>
      </c>
      <c r="EF686" s="46">
        <f t="shared" si="183"/>
        <v>0</v>
      </c>
      <c r="EG686" s="46">
        <f t="shared" si="184"/>
        <v>0</v>
      </c>
      <c r="EH686" s="2">
        <f t="shared" si="185"/>
        <v>0</v>
      </c>
      <c r="EI686" s="29">
        <f>IF(COUNT(I686:AD686)&lt;5,DZ686,SUMPRODUCT(LARGE(I686:AD686,{1,2,3,4,5}))/5)</f>
        <v>0</v>
      </c>
      <c r="EJ686" s="29">
        <f>IF(COUNT(I686:BE686)&lt;5,DZ686,SUMPRODUCT(LARGE(I686:BE686,{1,2,3,4,5}))/5)</f>
        <v>0</v>
      </c>
      <c r="EK686" s="29">
        <f t="shared" si="187"/>
        <v>0</v>
      </c>
      <c r="EL686" s="29">
        <f>(EK686*100)/101.59</f>
        <v>0</v>
      </c>
      <c r="EM686" s="116">
        <f t="shared" si="186"/>
        <v>0</v>
      </c>
      <c r="EN686" s="46"/>
      <c r="EQ686"/>
    </row>
    <row r="687" spans="1:147" x14ac:dyDescent="0.25">
      <c r="A687" s="59"/>
      <c r="B687" s="32"/>
      <c r="C687" s="5"/>
      <c r="D687" s="6"/>
      <c r="E687" s="6"/>
      <c r="F687" s="6"/>
      <c r="G687" s="5"/>
      <c r="H687" s="37"/>
      <c r="I687" s="36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227"/>
      <c r="Z687" s="228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4"/>
      <c r="AP687" s="7"/>
      <c r="AQ687" s="74"/>
      <c r="AR687" s="70"/>
      <c r="AS687" s="7"/>
      <c r="AT687" s="70"/>
      <c r="AU687" s="7"/>
      <c r="AV687" s="70"/>
      <c r="AW687" s="7"/>
      <c r="AX687" s="183"/>
      <c r="AY687" s="107"/>
      <c r="AZ687" s="7"/>
      <c r="BA687" s="7"/>
      <c r="BB687" s="7"/>
      <c r="BC687" s="74"/>
      <c r="BD687" s="7"/>
      <c r="BE687" s="74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101"/>
      <c r="CL687" s="74"/>
      <c r="CM687" s="74"/>
      <c r="CN687" s="74"/>
      <c r="CO687" s="70"/>
      <c r="CP687" s="74"/>
      <c r="CQ687" s="7"/>
      <c r="CR687" s="74"/>
      <c r="CS687" s="74"/>
      <c r="CT687" s="74"/>
      <c r="CU687" s="74"/>
      <c r="CV687" s="74"/>
      <c r="CW687" s="7"/>
      <c r="CX687" s="7"/>
      <c r="CY687" s="7"/>
      <c r="CZ687" s="74"/>
      <c r="DA687" s="7"/>
      <c r="DB687" s="7"/>
      <c r="DC687" s="7"/>
      <c r="DD687" s="7"/>
      <c r="DE687" s="74"/>
      <c r="DF687" s="74"/>
      <c r="DG687" s="74"/>
      <c r="DH687" s="74"/>
      <c r="DI687" s="74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8">
        <f t="shared" si="178"/>
        <v>0</v>
      </c>
      <c r="EA687" s="3">
        <f t="shared" si="179"/>
        <v>0</v>
      </c>
      <c r="EB687" s="2">
        <f t="shared" si="180"/>
        <v>0</v>
      </c>
      <c r="EC687" s="112">
        <f t="shared" si="189"/>
        <v>0</v>
      </c>
      <c r="ED687" s="29">
        <f t="shared" si="181"/>
        <v>0</v>
      </c>
      <c r="EE687" s="2">
        <f t="shared" si="182"/>
        <v>0</v>
      </c>
      <c r="EF687" s="46">
        <f t="shared" si="183"/>
        <v>0</v>
      </c>
      <c r="EG687" s="46">
        <f t="shared" si="184"/>
        <v>0</v>
      </c>
      <c r="EH687" s="2">
        <f t="shared" si="185"/>
        <v>0</v>
      </c>
      <c r="EI687" s="29">
        <f>IF(COUNT(I687:AD687)&lt;5,DZ687,SUMPRODUCT(LARGE(I687:AD687,{1,2,3,4,5}))/5)</f>
        <v>0</v>
      </c>
      <c r="EJ687" s="29">
        <f>IF(COUNT(I687:BE687)&lt;5,DZ687,SUMPRODUCT(LARGE(I687:BE687,{1,2,3,4,5}))/5)</f>
        <v>0</v>
      </c>
      <c r="EK687" s="29">
        <f t="shared" si="187"/>
        <v>0</v>
      </c>
      <c r="EL687" s="29">
        <f>(EK687*100)/101.28</f>
        <v>0</v>
      </c>
      <c r="EM687" s="116">
        <f t="shared" si="186"/>
        <v>0</v>
      </c>
      <c r="EN687" s="46"/>
      <c r="EQ687"/>
    </row>
    <row r="688" spans="1:147" x14ac:dyDescent="0.25">
      <c r="A688" s="59"/>
      <c r="B688" s="4"/>
      <c r="C688" s="5"/>
      <c r="D688" s="6"/>
      <c r="E688" s="6"/>
      <c r="F688" s="6"/>
      <c r="G688" s="5"/>
      <c r="H688" s="37"/>
      <c r="I688" s="36"/>
      <c r="J688" s="7"/>
      <c r="K688" s="7"/>
      <c r="L688" s="7"/>
      <c r="M688" s="74"/>
      <c r="N688" s="74"/>
      <c r="O688" s="74"/>
      <c r="P688" s="74"/>
      <c r="Q688" s="7"/>
      <c r="R688" s="74"/>
      <c r="S688" s="74"/>
      <c r="T688" s="74"/>
      <c r="U688" s="74"/>
      <c r="V688" s="74"/>
      <c r="W688" s="7"/>
      <c r="X688" s="74"/>
      <c r="Y688" s="227"/>
      <c r="Z688" s="228"/>
      <c r="AA688" s="74"/>
      <c r="AB688" s="74"/>
      <c r="AC688" s="74"/>
      <c r="AD688" s="74"/>
      <c r="AE688" s="74"/>
      <c r="AF688" s="74"/>
      <c r="AG688" s="74"/>
      <c r="AH688" s="74"/>
      <c r="AI688" s="74"/>
      <c r="AJ688" s="74"/>
      <c r="AK688" s="74"/>
      <c r="AL688" s="74"/>
      <c r="AM688" s="74"/>
      <c r="AN688" s="74"/>
      <c r="AO688" s="74"/>
      <c r="AP688" s="74"/>
      <c r="AQ688" s="74"/>
      <c r="AR688" s="101"/>
      <c r="AS688" s="7"/>
      <c r="AT688" s="101"/>
      <c r="AU688" s="7"/>
      <c r="AV688" s="101"/>
      <c r="AW688" s="7"/>
      <c r="AX688" s="183"/>
      <c r="AY688" s="107"/>
      <c r="AZ688" s="74"/>
      <c r="BA688" s="74"/>
      <c r="BB688" s="74"/>
      <c r="BC688" s="74"/>
      <c r="BD688" s="74"/>
      <c r="BE688" s="74"/>
      <c r="BF688" s="74"/>
      <c r="BG688" s="74"/>
      <c r="BH688" s="74"/>
      <c r="BI688" s="74"/>
      <c r="BJ688" s="74"/>
      <c r="BK688" s="7"/>
      <c r="BL688" s="74"/>
      <c r="BM688" s="7"/>
      <c r="BN688" s="74"/>
      <c r="BO688" s="74"/>
      <c r="BP688" s="74"/>
      <c r="BQ688" s="74"/>
      <c r="BR688" s="74"/>
      <c r="BS688" s="74"/>
      <c r="BT688" s="74"/>
      <c r="BU688" s="74"/>
      <c r="BV688" s="74"/>
      <c r="BW688" s="74"/>
      <c r="BX688" s="74"/>
      <c r="BY688" s="74"/>
      <c r="BZ688" s="74"/>
      <c r="CA688" s="74"/>
      <c r="CB688" s="74"/>
      <c r="CC688" s="74"/>
      <c r="CD688" s="74"/>
      <c r="CE688" s="74"/>
      <c r="CF688" s="74"/>
      <c r="CG688" s="74"/>
      <c r="CH688" s="74"/>
      <c r="CI688" s="74"/>
      <c r="CJ688" s="74"/>
      <c r="CK688" s="101"/>
      <c r="CL688" s="74"/>
      <c r="CM688" s="74"/>
      <c r="CN688" s="74"/>
      <c r="CO688" s="101"/>
      <c r="CP688" s="74"/>
      <c r="CQ688" s="74"/>
      <c r="CR688" s="74"/>
      <c r="CS688" s="74"/>
      <c r="CT688" s="74"/>
      <c r="CU688" s="74"/>
      <c r="CV688" s="74"/>
      <c r="CW688" s="74"/>
      <c r="CX688" s="74"/>
      <c r="CY688" s="74"/>
      <c r="CZ688" s="74"/>
      <c r="DA688" s="74"/>
      <c r="DB688" s="74"/>
      <c r="DC688" s="74"/>
      <c r="DD688" s="74"/>
      <c r="DE688" s="74"/>
      <c r="DF688" s="74"/>
      <c r="DG688" s="74"/>
      <c r="DH688" s="74"/>
      <c r="DI688" s="74"/>
      <c r="DJ688" s="74"/>
      <c r="DK688" s="74"/>
      <c r="DL688" s="74"/>
      <c r="DM688" s="74"/>
      <c r="DN688" s="74"/>
      <c r="DO688" s="74"/>
      <c r="DP688" s="100"/>
      <c r="DQ688" s="74"/>
      <c r="DR688" s="74"/>
      <c r="DS688" s="74"/>
      <c r="DT688" s="74"/>
      <c r="DU688" s="74"/>
      <c r="DV688" s="74"/>
      <c r="DW688" s="74"/>
      <c r="DX688" s="74"/>
      <c r="DY688" s="74"/>
      <c r="DZ688" s="8">
        <f t="shared" si="178"/>
        <v>0</v>
      </c>
      <c r="EA688" s="3">
        <f t="shared" si="179"/>
        <v>0</v>
      </c>
      <c r="EB688" s="2">
        <f t="shared" si="180"/>
        <v>0</v>
      </c>
      <c r="EC688" s="112">
        <f t="shared" si="189"/>
        <v>0</v>
      </c>
      <c r="ED688" s="29">
        <f t="shared" si="181"/>
        <v>0</v>
      </c>
      <c r="EE688" s="2">
        <f t="shared" si="182"/>
        <v>0</v>
      </c>
      <c r="EF688" s="46">
        <f t="shared" si="183"/>
        <v>0</v>
      </c>
      <c r="EG688" s="46">
        <f t="shared" si="184"/>
        <v>0</v>
      </c>
      <c r="EH688" s="29">
        <f t="shared" si="185"/>
        <v>0</v>
      </c>
      <c r="EI688" s="29">
        <f>IF(COUNT(I688:AD688)&lt;5,DZ688,SUMPRODUCT(LARGE(I688:AD688,{1,2,3,4,5}))/5)</f>
        <v>0</v>
      </c>
      <c r="EJ688" s="29">
        <f>IF(COUNT(I688:BE688)&lt;5,DZ688,SUMPRODUCT(LARGE(I688:BE688,{1,2,3,4,5}))/5)</f>
        <v>0</v>
      </c>
      <c r="EK688" s="29">
        <f t="shared" si="187"/>
        <v>0</v>
      </c>
      <c r="EL688" s="29">
        <f>(EK688*100)/101.28</f>
        <v>0</v>
      </c>
      <c r="EM688" s="116">
        <f t="shared" si="186"/>
        <v>0</v>
      </c>
      <c r="EN688" s="46"/>
      <c r="EQ688"/>
    </row>
    <row r="689" spans="1:147" x14ac:dyDescent="0.25">
      <c r="A689" s="59"/>
      <c r="B689" s="33"/>
      <c r="C689" s="5"/>
      <c r="D689" s="6"/>
      <c r="E689" s="6"/>
      <c r="F689" s="6"/>
      <c r="G689" s="5"/>
      <c r="H689" s="99"/>
      <c r="I689" s="107"/>
      <c r="J689" s="7"/>
      <c r="K689" s="74"/>
      <c r="L689" s="7"/>
      <c r="M689" s="74"/>
      <c r="N689" s="74"/>
      <c r="O689" s="7"/>
      <c r="P689" s="74"/>
      <c r="Q689" s="7"/>
      <c r="R689" s="74"/>
      <c r="S689" s="74"/>
      <c r="T689" s="7"/>
      <c r="U689" s="7"/>
      <c r="V689" s="74"/>
      <c r="W689" s="74"/>
      <c r="X689" s="74"/>
      <c r="Y689" s="227"/>
      <c r="Z689" s="228"/>
      <c r="AA689" s="74"/>
      <c r="AB689" s="74"/>
      <c r="AC689" s="74"/>
      <c r="AD689" s="74"/>
      <c r="AE689" s="7"/>
      <c r="AF689" s="74"/>
      <c r="AG689" s="74"/>
      <c r="AH689" s="7"/>
      <c r="AI689" s="7"/>
      <c r="AJ689" s="7"/>
      <c r="AK689" s="7"/>
      <c r="AL689" s="7"/>
      <c r="AM689" s="7"/>
      <c r="AN689" s="7"/>
      <c r="AO689" s="74"/>
      <c r="AP689" s="7"/>
      <c r="AQ689" s="74"/>
      <c r="AR689" s="101"/>
      <c r="AS689" s="7"/>
      <c r="AT689" s="101"/>
      <c r="AU689" s="7"/>
      <c r="AV689" s="101"/>
      <c r="AW689" s="7"/>
      <c r="AX689" s="8"/>
      <c r="AY689" s="36"/>
      <c r="AZ689" s="74"/>
      <c r="BA689" s="74"/>
      <c r="BB689" s="74"/>
      <c r="BC689" s="74"/>
      <c r="BD689" s="74"/>
      <c r="BE689" s="74"/>
      <c r="BF689" s="74"/>
      <c r="BG689" s="74"/>
      <c r="BH689" s="74"/>
      <c r="BI689" s="74"/>
      <c r="BJ689" s="74"/>
      <c r="BK689" s="7"/>
      <c r="BL689" s="74"/>
      <c r="BM689" s="7"/>
      <c r="BN689" s="74"/>
      <c r="BO689" s="74"/>
      <c r="BP689" s="74"/>
      <c r="BQ689" s="74"/>
      <c r="BR689" s="74"/>
      <c r="BS689" s="74"/>
      <c r="BT689" s="74"/>
      <c r="BU689" s="74"/>
      <c r="BV689" s="74"/>
      <c r="BW689" s="74"/>
      <c r="BX689" s="74"/>
      <c r="BY689" s="74"/>
      <c r="BZ689" s="74"/>
      <c r="CA689" s="74"/>
      <c r="CB689" s="74"/>
      <c r="CC689" s="74"/>
      <c r="CD689" s="74"/>
      <c r="CE689" s="7"/>
      <c r="CF689" s="74"/>
      <c r="CG689" s="74"/>
      <c r="CH689" s="7"/>
      <c r="CI689" s="74"/>
      <c r="CJ689" s="74"/>
      <c r="CK689" s="101"/>
      <c r="CL689" s="74"/>
      <c r="CM689" s="74"/>
      <c r="CN689" s="74"/>
      <c r="CO689" s="101"/>
      <c r="CP689" s="74"/>
      <c r="CQ689" s="74"/>
      <c r="CR689" s="74"/>
      <c r="CS689" s="74"/>
      <c r="CT689" s="74"/>
      <c r="CU689" s="74"/>
      <c r="CV689" s="74"/>
      <c r="CW689" s="74"/>
      <c r="CX689" s="74"/>
      <c r="CY689" s="74"/>
      <c r="CZ689" s="74"/>
      <c r="DA689" s="74"/>
      <c r="DB689" s="74"/>
      <c r="DC689" s="74"/>
      <c r="DD689" s="74"/>
      <c r="DE689" s="74"/>
      <c r="DF689" s="74"/>
      <c r="DG689" s="74"/>
      <c r="DH689" s="74"/>
      <c r="DI689" s="74"/>
      <c r="DJ689" s="74"/>
      <c r="DK689" s="74"/>
      <c r="DL689" s="74"/>
      <c r="DM689" s="74"/>
      <c r="DN689" s="74"/>
      <c r="DO689" s="74"/>
      <c r="DP689" s="74"/>
      <c r="DQ689" s="74"/>
      <c r="DR689" s="74"/>
      <c r="DS689" s="74"/>
      <c r="DT689" s="74"/>
      <c r="DU689" s="74"/>
      <c r="DV689" s="74"/>
      <c r="DW689" s="74"/>
      <c r="DX689" s="74"/>
      <c r="DY689" s="74"/>
      <c r="DZ689" s="8">
        <f t="shared" si="178"/>
        <v>0</v>
      </c>
      <c r="EA689" s="3">
        <f t="shared" si="179"/>
        <v>0</v>
      </c>
      <c r="EB689" s="2">
        <f t="shared" si="180"/>
        <v>0</v>
      </c>
      <c r="EC689" s="112">
        <f t="shared" si="189"/>
        <v>0</v>
      </c>
      <c r="ED689" s="29">
        <f t="shared" si="181"/>
        <v>0</v>
      </c>
      <c r="EE689" s="2">
        <f t="shared" si="182"/>
        <v>0</v>
      </c>
      <c r="EF689" s="46">
        <f t="shared" si="183"/>
        <v>0</v>
      </c>
      <c r="EG689" s="46">
        <f t="shared" si="184"/>
        <v>0</v>
      </c>
      <c r="EH689" s="2">
        <f t="shared" si="185"/>
        <v>0</v>
      </c>
      <c r="EI689" s="29">
        <f>IF(COUNT(I689:AD689)&lt;5,DZ689,SUMPRODUCT(LARGE(I689:AD689,{1,2,3,4,5}))/5)</f>
        <v>0</v>
      </c>
      <c r="EJ689" s="29">
        <f>IF(COUNT(I689:BE689)&lt;5,DZ689,SUMPRODUCT(LARGE(I689:BE689,{1,2,3,4,5}))/5)</f>
        <v>0</v>
      </c>
      <c r="EK689" s="29">
        <f t="shared" si="187"/>
        <v>0</v>
      </c>
      <c r="EL689" s="29">
        <f>(EK689*100)/101.28</f>
        <v>0</v>
      </c>
      <c r="EM689" s="116">
        <f t="shared" si="186"/>
        <v>0</v>
      </c>
      <c r="EN689" s="46"/>
      <c r="EQ689"/>
    </row>
    <row r="690" spans="1:147" x14ac:dyDescent="0.25">
      <c r="A690" s="59"/>
      <c r="B690" s="32"/>
      <c r="C690" s="5"/>
      <c r="D690" s="6"/>
      <c r="E690" s="6"/>
      <c r="F690" s="6"/>
      <c r="G690" s="5"/>
      <c r="H690" s="37"/>
      <c r="I690" s="107"/>
      <c r="J690" s="7"/>
      <c r="K690" s="74"/>
      <c r="L690" s="7"/>
      <c r="M690" s="7"/>
      <c r="N690" s="7"/>
      <c r="O690" s="74"/>
      <c r="P690" s="74"/>
      <c r="Q690" s="7"/>
      <c r="R690" s="74"/>
      <c r="S690" s="74"/>
      <c r="T690" s="74"/>
      <c r="U690" s="7"/>
      <c r="V690" s="7"/>
      <c r="W690" s="7"/>
      <c r="X690" s="7"/>
      <c r="Y690" s="227"/>
      <c r="Z690" s="228"/>
      <c r="AA690" s="74"/>
      <c r="AB690" s="74"/>
      <c r="AC690" s="74"/>
      <c r="AD690" s="74"/>
      <c r="AE690" s="74"/>
      <c r="AF690" s="74"/>
      <c r="AG690" s="74"/>
      <c r="AH690" s="74"/>
      <c r="AI690" s="74"/>
      <c r="AJ690" s="74"/>
      <c r="AK690" s="74"/>
      <c r="AL690" s="74"/>
      <c r="AM690" s="74"/>
      <c r="AN690" s="74"/>
      <c r="AO690" s="74"/>
      <c r="AP690" s="74"/>
      <c r="AQ690" s="74"/>
      <c r="AR690" s="101"/>
      <c r="AS690" s="7"/>
      <c r="AT690" s="101"/>
      <c r="AU690" s="7"/>
      <c r="AV690" s="101"/>
      <c r="AW690" s="7"/>
      <c r="AX690" s="8"/>
      <c r="AY690" s="36"/>
      <c r="AZ690" s="74"/>
      <c r="BA690" s="74"/>
      <c r="BB690" s="74"/>
      <c r="BC690" s="74"/>
      <c r="BD690" s="74"/>
      <c r="BE690" s="74"/>
      <c r="BF690" s="74"/>
      <c r="BG690" s="74"/>
      <c r="BH690" s="74"/>
      <c r="BI690" s="74"/>
      <c r="BJ690" s="74"/>
      <c r="BK690" s="7"/>
      <c r="BL690" s="74"/>
      <c r="BM690" s="7"/>
      <c r="BN690" s="74"/>
      <c r="BO690" s="74"/>
      <c r="BP690" s="74"/>
      <c r="BQ690" s="74"/>
      <c r="BR690" s="74"/>
      <c r="BS690" s="74"/>
      <c r="BT690" s="74"/>
      <c r="BU690" s="74"/>
      <c r="BV690" s="74"/>
      <c r="BW690" s="74"/>
      <c r="BX690" s="74"/>
      <c r="BY690" s="74"/>
      <c r="BZ690" s="7"/>
      <c r="CA690" s="74"/>
      <c r="CB690" s="74"/>
      <c r="CC690" s="74"/>
      <c r="CD690" s="74"/>
      <c r="CE690" s="74"/>
      <c r="CF690" s="74"/>
      <c r="CG690" s="74"/>
      <c r="CH690" s="74"/>
      <c r="CI690" s="74"/>
      <c r="CJ690" s="74"/>
      <c r="CK690" s="101"/>
      <c r="CL690" s="74"/>
      <c r="CM690" s="74"/>
      <c r="CN690" s="74"/>
      <c r="CO690" s="101"/>
      <c r="CP690" s="74"/>
      <c r="CQ690" s="74"/>
      <c r="CR690" s="74"/>
      <c r="CS690" s="74"/>
      <c r="CT690" s="74"/>
      <c r="CU690" s="74"/>
      <c r="CV690" s="74"/>
      <c r="CW690" s="74"/>
      <c r="CX690" s="74"/>
      <c r="CY690" s="74"/>
      <c r="CZ690" s="74"/>
      <c r="DA690" s="74"/>
      <c r="DB690" s="74"/>
      <c r="DC690" s="74"/>
      <c r="DD690" s="74"/>
      <c r="DE690" s="74"/>
      <c r="DF690" s="74"/>
      <c r="DG690" s="74"/>
      <c r="DH690" s="74"/>
      <c r="DI690" s="74"/>
      <c r="DJ690" s="74"/>
      <c r="DK690" s="74"/>
      <c r="DL690" s="74"/>
      <c r="DM690" s="74"/>
      <c r="DN690" s="74"/>
      <c r="DO690" s="74"/>
      <c r="DP690" s="74"/>
      <c r="DQ690" s="74"/>
      <c r="DR690" s="74"/>
      <c r="DS690" s="74"/>
      <c r="DT690" s="74"/>
      <c r="DU690" s="74"/>
      <c r="DV690" s="74"/>
      <c r="DW690" s="74"/>
      <c r="DX690" s="74"/>
      <c r="DY690" s="74"/>
      <c r="DZ690" s="8">
        <f t="shared" si="178"/>
        <v>0</v>
      </c>
      <c r="EA690" s="3">
        <f t="shared" si="179"/>
        <v>0</v>
      </c>
      <c r="EB690" s="2">
        <f t="shared" si="180"/>
        <v>0</v>
      </c>
      <c r="EC690" s="112">
        <f t="shared" si="189"/>
        <v>0</v>
      </c>
      <c r="ED690" s="29">
        <f t="shared" si="181"/>
        <v>0</v>
      </c>
      <c r="EE690" s="2">
        <f t="shared" si="182"/>
        <v>0</v>
      </c>
      <c r="EF690" s="46">
        <f t="shared" si="183"/>
        <v>0</v>
      </c>
      <c r="EG690" s="46">
        <f t="shared" si="184"/>
        <v>0</v>
      </c>
      <c r="EH690" s="29">
        <f t="shared" si="185"/>
        <v>0</v>
      </c>
      <c r="EI690" s="29">
        <f>IF(COUNT(I690:AD690)&lt;5,DZ690,SUMPRODUCT(LARGE(I690:AD690,{1,2,3,4,5}))/5)</f>
        <v>0</v>
      </c>
      <c r="EJ690" s="29">
        <f>IF(COUNT(I690:BE690)&lt;5,DZ690,SUMPRODUCT(LARGE(I690:BE690,{1,2,3,4,5}))/5)</f>
        <v>0</v>
      </c>
      <c r="EK690" s="29">
        <f t="shared" si="187"/>
        <v>0</v>
      </c>
      <c r="EL690" s="29">
        <f>(EK690*100)/101.28</f>
        <v>0</v>
      </c>
      <c r="EM690" s="116">
        <f t="shared" si="186"/>
        <v>0</v>
      </c>
      <c r="EN690" s="46"/>
      <c r="EQ690"/>
    </row>
    <row r="691" spans="1:147" x14ac:dyDescent="0.25">
      <c r="A691" s="59"/>
      <c r="B691" s="32"/>
      <c r="C691" s="5"/>
      <c r="D691" s="6"/>
      <c r="E691" s="6"/>
      <c r="F691" s="6"/>
      <c r="G691" s="5"/>
      <c r="H691" s="37"/>
      <c r="I691" s="36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227"/>
      <c r="Z691" s="228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4"/>
      <c r="AP691" s="7"/>
      <c r="AQ691" s="74"/>
      <c r="AR691" s="70"/>
      <c r="AS691" s="7"/>
      <c r="AT691" s="70"/>
      <c r="AU691" s="7"/>
      <c r="AV691" s="70"/>
      <c r="AW691" s="7"/>
      <c r="AX691" s="183"/>
      <c r="AY691" s="10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4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4"/>
      <c r="CG691" s="7"/>
      <c r="CH691" s="7"/>
      <c r="CI691" s="7"/>
      <c r="CJ691" s="7"/>
      <c r="CK691" s="101"/>
      <c r="CL691" s="74"/>
      <c r="CM691" s="74"/>
      <c r="CN691" s="74"/>
      <c r="CO691" s="70"/>
      <c r="CP691" s="74"/>
      <c r="CQ691" s="7"/>
      <c r="CR691" s="74"/>
      <c r="CS691" s="74"/>
      <c r="CT691" s="74"/>
      <c r="CU691" s="74"/>
      <c r="CV691" s="7"/>
      <c r="CW691" s="7"/>
      <c r="CX691" s="7"/>
      <c r="CY691" s="7"/>
      <c r="CZ691" s="7"/>
      <c r="DA691" s="7"/>
      <c r="DB691" s="7"/>
      <c r="DC691" s="7"/>
      <c r="DD691" s="7"/>
      <c r="DE691" s="74"/>
      <c r="DF691" s="74"/>
      <c r="DG691" s="74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8">
        <f t="shared" si="178"/>
        <v>0</v>
      </c>
      <c r="EA691" s="3">
        <f t="shared" si="179"/>
        <v>0</v>
      </c>
      <c r="EB691" s="2">
        <f t="shared" si="180"/>
        <v>0</v>
      </c>
      <c r="EC691" s="112">
        <f t="shared" si="189"/>
        <v>0</v>
      </c>
      <c r="ED691" s="29">
        <f t="shared" si="181"/>
        <v>0</v>
      </c>
      <c r="EE691" s="2">
        <f t="shared" si="182"/>
        <v>0</v>
      </c>
      <c r="EF691" s="46">
        <f t="shared" si="183"/>
        <v>0</v>
      </c>
      <c r="EG691" s="46">
        <f t="shared" si="184"/>
        <v>0</v>
      </c>
      <c r="EH691" s="2">
        <f t="shared" si="185"/>
        <v>0</v>
      </c>
      <c r="EI691" s="29">
        <f>IF(COUNT(I691:AD691)&lt;5,DZ691,SUMPRODUCT(LARGE(I691:AD691,{1,2,3,4,5}))/5)</f>
        <v>0</v>
      </c>
      <c r="EJ691" s="29">
        <f>IF(COUNT(I691:BE691)&lt;5,DZ691,SUMPRODUCT(LARGE(I691:BE691,{1,2,3,4,5}))/5)</f>
        <v>0</v>
      </c>
      <c r="EK691" s="29">
        <f t="shared" si="187"/>
        <v>0</v>
      </c>
      <c r="EL691" s="29">
        <f>(EK691*100)/101.59</f>
        <v>0</v>
      </c>
      <c r="EM691" s="116">
        <f t="shared" si="186"/>
        <v>0</v>
      </c>
      <c r="EN691" s="46"/>
      <c r="EQ691"/>
    </row>
    <row r="692" spans="1:147" x14ac:dyDescent="0.25">
      <c r="A692" s="59"/>
      <c r="B692" s="32"/>
      <c r="C692" s="5"/>
      <c r="D692" s="5"/>
      <c r="E692" s="6"/>
      <c r="F692" s="6"/>
      <c r="G692" s="5"/>
      <c r="H692" s="37"/>
      <c r="I692" s="107"/>
      <c r="J692" s="7"/>
      <c r="K692" s="74"/>
      <c r="L692" s="7"/>
      <c r="M692" s="74"/>
      <c r="N692" s="74"/>
      <c r="O692" s="7"/>
      <c r="P692" s="74"/>
      <c r="Q692" s="74"/>
      <c r="R692" s="74"/>
      <c r="S692" s="74"/>
      <c r="T692" s="7"/>
      <c r="U692" s="7"/>
      <c r="V692" s="74"/>
      <c r="W692" s="74"/>
      <c r="X692" s="74"/>
      <c r="Y692" s="227"/>
      <c r="Z692" s="228"/>
      <c r="AA692" s="74"/>
      <c r="AB692" s="74"/>
      <c r="AC692" s="74"/>
      <c r="AD692" s="74"/>
      <c r="AE692" s="7"/>
      <c r="AF692" s="74"/>
      <c r="AG692" s="74"/>
      <c r="AH692" s="7"/>
      <c r="AI692" s="7"/>
      <c r="AJ692" s="7"/>
      <c r="AK692" s="7"/>
      <c r="AL692" s="7"/>
      <c r="AM692" s="7"/>
      <c r="AN692" s="7"/>
      <c r="AO692" s="74"/>
      <c r="AP692" s="7"/>
      <c r="AQ692" s="74"/>
      <c r="AR692" s="101"/>
      <c r="AS692" s="7"/>
      <c r="AT692" s="101"/>
      <c r="AU692" s="7"/>
      <c r="AV692" s="101"/>
      <c r="AW692" s="7"/>
      <c r="AX692" s="183"/>
      <c r="AY692" s="107"/>
      <c r="AZ692" s="74"/>
      <c r="BA692" s="74"/>
      <c r="BB692" s="74"/>
      <c r="BC692" s="74"/>
      <c r="BD692" s="74"/>
      <c r="BE692" s="74"/>
      <c r="BF692" s="74"/>
      <c r="BG692" s="74"/>
      <c r="BH692" s="74"/>
      <c r="BI692" s="74"/>
      <c r="BJ692" s="74"/>
      <c r="BK692" s="7"/>
      <c r="BL692" s="74"/>
      <c r="BM692" s="7"/>
      <c r="BN692" s="74"/>
      <c r="BO692" s="74"/>
      <c r="BP692" s="74"/>
      <c r="BQ692" s="74"/>
      <c r="BR692" s="74"/>
      <c r="BS692" s="74"/>
      <c r="BT692" s="74"/>
      <c r="BU692" s="74"/>
      <c r="BV692" s="74"/>
      <c r="BW692" s="74"/>
      <c r="BX692" s="74"/>
      <c r="BY692" s="74"/>
      <c r="BZ692" s="74"/>
      <c r="CA692" s="74"/>
      <c r="CB692" s="74"/>
      <c r="CC692" s="74"/>
      <c r="CD692" s="74"/>
      <c r="CE692" s="7"/>
      <c r="CF692" s="74"/>
      <c r="CG692" s="74"/>
      <c r="CH692" s="7"/>
      <c r="CI692" s="74"/>
      <c r="CJ692" s="74"/>
      <c r="CK692" s="101"/>
      <c r="CL692" s="74"/>
      <c r="CM692" s="74"/>
      <c r="CN692" s="74"/>
      <c r="CO692" s="101"/>
      <c r="CP692" s="74"/>
      <c r="CQ692" s="74"/>
      <c r="CR692" s="74"/>
      <c r="CS692" s="74"/>
      <c r="CT692" s="74"/>
      <c r="CU692" s="74"/>
      <c r="CV692" s="74"/>
      <c r="CW692" s="74"/>
      <c r="CX692" s="74"/>
      <c r="CY692" s="74"/>
      <c r="CZ692" s="74"/>
      <c r="DA692" s="74"/>
      <c r="DB692" s="74"/>
      <c r="DC692" s="74"/>
      <c r="DD692" s="74"/>
      <c r="DE692" s="74"/>
      <c r="DF692" s="74"/>
      <c r="DG692" s="74"/>
      <c r="DH692" s="74"/>
      <c r="DI692" s="74"/>
      <c r="DJ692" s="74"/>
      <c r="DK692" s="74"/>
      <c r="DL692" s="74"/>
      <c r="DM692" s="74"/>
      <c r="DN692" s="74"/>
      <c r="DO692" s="74"/>
      <c r="DP692" s="74"/>
      <c r="DQ692" s="74"/>
      <c r="DR692" s="74"/>
      <c r="DS692" s="74"/>
      <c r="DT692" s="74"/>
      <c r="DU692" s="74"/>
      <c r="DV692" s="74"/>
      <c r="DW692" s="74"/>
      <c r="DX692" s="74"/>
      <c r="DY692" s="74"/>
      <c r="DZ692" s="8">
        <f t="shared" si="178"/>
        <v>0</v>
      </c>
      <c r="EA692" s="3">
        <f t="shared" si="179"/>
        <v>0</v>
      </c>
      <c r="EB692" s="2">
        <f t="shared" si="180"/>
        <v>0</v>
      </c>
      <c r="EC692" s="112">
        <f t="shared" si="189"/>
        <v>0</v>
      </c>
      <c r="ED692" s="29">
        <f t="shared" si="181"/>
        <v>0</v>
      </c>
      <c r="EE692" s="2">
        <f t="shared" si="182"/>
        <v>0</v>
      </c>
      <c r="EF692" s="46">
        <f t="shared" si="183"/>
        <v>0</v>
      </c>
      <c r="EG692" s="46">
        <f t="shared" si="184"/>
        <v>0</v>
      </c>
      <c r="EH692" s="2">
        <f t="shared" si="185"/>
        <v>0</v>
      </c>
      <c r="EI692" s="29">
        <f>IF(COUNT(I692:AD692)&lt;5,DZ692,SUMPRODUCT(LARGE(I692:AD692,{1,2,3,4,5}))/5)</f>
        <v>0</v>
      </c>
      <c r="EJ692" s="29">
        <f>IF(COUNT(I692:BE692)&lt;5,DZ692,SUMPRODUCT(LARGE(I692:BE692,{1,2,3,4,5}))/5)</f>
        <v>0</v>
      </c>
      <c r="EK692" s="29">
        <f t="shared" si="187"/>
        <v>0</v>
      </c>
      <c r="EL692" s="29">
        <f>(EK692*100)/101.28</f>
        <v>0</v>
      </c>
      <c r="EM692" s="116">
        <f t="shared" si="186"/>
        <v>0</v>
      </c>
      <c r="EN692" s="46"/>
      <c r="EQ692"/>
    </row>
    <row r="693" spans="1:147" x14ac:dyDescent="0.25">
      <c r="A693" s="59"/>
      <c r="B693" s="32"/>
      <c r="C693" s="5"/>
      <c r="D693" s="6"/>
      <c r="E693" s="6"/>
      <c r="F693" s="6"/>
      <c r="G693" s="5"/>
      <c r="H693" s="37"/>
      <c r="I693" s="107"/>
      <c r="J693" s="7"/>
      <c r="K693" s="74"/>
      <c r="L693" s="7"/>
      <c r="M693" s="74"/>
      <c r="N693" s="74"/>
      <c r="O693" s="7"/>
      <c r="P693" s="74"/>
      <c r="Q693" s="7"/>
      <c r="R693" s="74"/>
      <c r="S693" s="74"/>
      <c r="T693" s="7"/>
      <c r="U693" s="7"/>
      <c r="V693" s="74"/>
      <c r="W693" s="74"/>
      <c r="X693" s="74"/>
      <c r="Y693" s="227"/>
      <c r="Z693" s="228"/>
      <c r="AA693" s="74"/>
      <c r="AB693" s="74"/>
      <c r="AC693" s="74"/>
      <c r="AD693" s="74"/>
      <c r="AE693" s="7"/>
      <c r="AF693" s="74"/>
      <c r="AG693" s="74"/>
      <c r="AH693" s="7"/>
      <c r="AI693" s="7"/>
      <c r="AJ693" s="7"/>
      <c r="AK693" s="7"/>
      <c r="AL693" s="7"/>
      <c r="AM693" s="7"/>
      <c r="AN693" s="7"/>
      <c r="AO693" s="74"/>
      <c r="AP693" s="7"/>
      <c r="AQ693" s="74"/>
      <c r="AR693" s="101"/>
      <c r="AS693" s="7"/>
      <c r="AT693" s="101"/>
      <c r="AU693" s="7"/>
      <c r="AV693" s="101"/>
      <c r="AW693" s="7"/>
      <c r="AX693" s="183"/>
      <c r="AY693" s="107"/>
      <c r="AZ693" s="74"/>
      <c r="BA693" s="74"/>
      <c r="BB693" s="74"/>
      <c r="BC693" s="74"/>
      <c r="BD693" s="74"/>
      <c r="BE693" s="74"/>
      <c r="BF693" s="74"/>
      <c r="BG693" s="74"/>
      <c r="BH693" s="74"/>
      <c r="BI693" s="74"/>
      <c r="BJ693" s="74"/>
      <c r="BK693" s="7"/>
      <c r="BL693" s="74"/>
      <c r="BM693" s="7"/>
      <c r="BN693" s="74"/>
      <c r="BO693" s="74"/>
      <c r="BP693" s="74"/>
      <c r="BQ693" s="74"/>
      <c r="BR693" s="74"/>
      <c r="BS693" s="74"/>
      <c r="BT693" s="74"/>
      <c r="BU693" s="74"/>
      <c r="BV693" s="74"/>
      <c r="BW693" s="74"/>
      <c r="BX693" s="74"/>
      <c r="BY693" s="74"/>
      <c r="BZ693" s="74"/>
      <c r="CA693" s="74"/>
      <c r="CB693" s="74"/>
      <c r="CC693" s="74"/>
      <c r="CD693" s="74"/>
      <c r="CE693" s="7"/>
      <c r="CF693" s="74"/>
      <c r="CG693" s="74"/>
      <c r="CH693" s="7"/>
      <c r="CI693" s="74"/>
      <c r="CJ693" s="74"/>
      <c r="CK693" s="101"/>
      <c r="CL693" s="74"/>
      <c r="CM693" s="74"/>
      <c r="CN693" s="74"/>
      <c r="CO693" s="101"/>
      <c r="CP693" s="74"/>
      <c r="CQ693" s="74"/>
      <c r="CR693" s="74"/>
      <c r="CS693" s="74"/>
      <c r="CT693" s="74"/>
      <c r="CU693" s="74"/>
      <c r="CV693" s="74"/>
      <c r="CW693" s="74"/>
      <c r="CX693" s="74"/>
      <c r="CY693" s="74"/>
      <c r="CZ693" s="74"/>
      <c r="DA693" s="74"/>
      <c r="DB693" s="74"/>
      <c r="DC693" s="74"/>
      <c r="DD693" s="74"/>
      <c r="DE693" s="74"/>
      <c r="DF693" s="74"/>
      <c r="DG693" s="74"/>
      <c r="DH693" s="74"/>
      <c r="DI693" s="74"/>
      <c r="DJ693" s="74"/>
      <c r="DK693" s="74"/>
      <c r="DL693" s="74"/>
      <c r="DM693" s="74"/>
      <c r="DN693" s="74"/>
      <c r="DO693" s="74"/>
      <c r="DP693" s="74"/>
      <c r="DQ693" s="74"/>
      <c r="DR693" s="74"/>
      <c r="DS693" s="74"/>
      <c r="DT693" s="74"/>
      <c r="DU693" s="74"/>
      <c r="DV693" s="74"/>
      <c r="DW693" s="74"/>
      <c r="DX693" s="74"/>
      <c r="DY693" s="74"/>
      <c r="DZ693" s="8">
        <f t="shared" si="178"/>
        <v>0</v>
      </c>
      <c r="EA693" s="3">
        <f t="shared" si="179"/>
        <v>0</v>
      </c>
      <c r="EB693" s="2">
        <f t="shared" si="180"/>
        <v>0</v>
      </c>
      <c r="EC693" s="112">
        <f t="shared" si="189"/>
        <v>0</v>
      </c>
      <c r="ED693" s="29">
        <f t="shared" si="181"/>
        <v>0</v>
      </c>
      <c r="EE693" s="2">
        <f t="shared" si="182"/>
        <v>0</v>
      </c>
      <c r="EF693" s="46">
        <f t="shared" si="183"/>
        <v>0</v>
      </c>
      <c r="EG693" s="46">
        <f t="shared" si="184"/>
        <v>0</v>
      </c>
      <c r="EH693" s="2">
        <f t="shared" si="185"/>
        <v>0</v>
      </c>
      <c r="EI693" s="29">
        <f>IF(COUNT(I693:AD693)&lt;5,DZ693,SUMPRODUCT(LARGE(I693:AD693,{1,2,3,4,5}))/5)</f>
        <v>0</v>
      </c>
      <c r="EJ693" s="29">
        <f>IF(COUNT(I693:BE693)&lt;5,DZ693,SUMPRODUCT(LARGE(I693:BE693,{1,2,3,4,5}))/5)</f>
        <v>0</v>
      </c>
      <c r="EK693" s="29">
        <f t="shared" si="187"/>
        <v>0</v>
      </c>
      <c r="EL693" s="29">
        <f>(EK693*100)/101.28</f>
        <v>0</v>
      </c>
      <c r="EM693" s="116">
        <f t="shared" si="186"/>
        <v>0</v>
      </c>
      <c r="EN693" s="46"/>
      <c r="EQ693"/>
    </row>
    <row r="694" spans="1:147" x14ac:dyDescent="0.25">
      <c r="A694" s="59"/>
      <c r="B694" s="4"/>
      <c r="C694" s="5"/>
      <c r="D694" s="5"/>
      <c r="E694" s="6"/>
      <c r="F694" s="6"/>
      <c r="G694" s="5"/>
      <c r="H694" s="37"/>
      <c r="I694" s="107"/>
      <c r="J694" s="7"/>
      <c r="K694" s="74"/>
      <c r="L694" s="7"/>
      <c r="M694" s="74"/>
      <c r="N694" s="74"/>
      <c r="O694" s="7"/>
      <c r="P694" s="74"/>
      <c r="Q694" s="74"/>
      <c r="R694" s="74"/>
      <c r="S694" s="74"/>
      <c r="T694" s="7"/>
      <c r="U694" s="7"/>
      <c r="V694" s="74"/>
      <c r="W694" s="7"/>
      <c r="X694" s="74"/>
      <c r="Y694" s="227"/>
      <c r="Z694" s="228"/>
      <c r="AA694" s="74"/>
      <c r="AB694" s="74"/>
      <c r="AC694" s="74"/>
      <c r="AD694" s="74"/>
      <c r="AE694" s="7"/>
      <c r="AF694" s="74"/>
      <c r="AG694" s="74"/>
      <c r="AH694" s="7"/>
      <c r="AI694" s="7"/>
      <c r="AJ694" s="7"/>
      <c r="AK694" s="7"/>
      <c r="AL694" s="7"/>
      <c r="AM694" s="7"/>
      <c r="AN694" s="7"/>
      <c r="AO694" s="74"/>
      <c r="AP694" s="7"/>
      <c r="AQ694" s="74"/>
      <c r="AR694" s="101"/>
      <c r="AS694" s="7"/>
      <c r="AT694" s="101"/>
      <c r="AU694" s="7"/>
      <c r="AV694" s="101"/>
      <c r="AW694" s="7"/>
      <c r="AX694" s="8"/>
      <c r="AY694" s="36"/>
      <c r="AZ694" s="74"/>
      <c r="BA694" s="7"/>
      <c r="BB694" s="74"/>
      <c r="BC694" s="74"/>
      <c r="BD694" s="74"/>
      <c r="BE694" s="74"/>
      <c r="BF694" s="74"/>
      <c r="BG694" s="7"/>
      <c r="BH694" s="7"/>
      <c r="BI694" s="74"/>
      <c r="BJ694" s="74"/>
      <c r="BK694" s="7"/>
      <c r="BL694" s="74"/>
      <c r="BM694" s="7"/>
      <c r="BN694" s="74"/>
      <c r="BO694" s="74"/>
      <c r="BP694" s="74"/>
      <c r="BQ694" s="74"/>
      <c r="BR694" s="74"/>
      <c r="BS694" s="74"/>
      <c r="BT694" s="74"/>
      <c r="BU694" s="74"/>
      <c r="BV694" s="74"/>
      <c r="BW694" s="74"/>
      <c r="BX694" s="74"/>
      <c r="BY694" s="74"/>
      <c r="BZ694" s="74"/>
      <c r="CA694" s="7"/>
      <c r="CB694" s="74"/>
      <c r="CC694" s="74"/>
      <c r="CD694" s="74"/>
      <c r="CE694" s="7"/>
      <c r="CF694" s="7"/>
      <c r="CG694" s="74"/>
      <c r="CH694" s="7"/>
      <c r="CI694" s="74"/>
      <c r="CJ694" s="74"/>
      <c r="CK694" s="101"/>
      <c r="CL694" s="74"/>
      <c r="CM694" s="74"/>
      <c r="CN694" s="74"/>
      <c r="CO694" s="101"/>
      <c r="CP694" s="74"/>
      <c r="CQ694" s="74"/>
      <c r="CR694" s="74"/>
      <c r="CS694" s="74"/>
      <c r="CT694" s="74"/>
      <c r="CU694" s="74"/>
      <c r="CV694" s="74"/>
      <c r="CW694" s="74"/>
      <c r="CX694" s="74"/>
      <c r="CY694" s="74"/>
      <c r="CZ694" s="74"/>
      <c r="DA694" s="74"/>
      <c r="DB694" s="74"/>
      <c r="DC694" s="74"/>
      <c r="DD694" s="74"/>
      <c r="DE694" s="74"/>
      <c r="DF694" s="74"/>
      <c r="DG694" s="74"/>
      <c r="DH694" s="74"/>
      <c r="DI694" s="74"/>
      <c r="DJ694" s="74"/>
      <c r="DK694" s="74"/>
      <c r="DL694" s="74"/>
      <c r="DM694" s="74"/>
      <c r="DN694" s="74"/>
      <c r="DO694" s="74"/>
      <c r="DP694" s="74"/>
      <c r="DQ694" s="74"/>
      <c r="DR694" s="74"/>
      <c r="DS694" s="74"/>
      <c r="DT694" s="74"/>
      <c r="DU694" s="74"/>
      <c r="DV694" s="74"/>
      <c r="DW694" s="74"/>
      <c r="DX694" s="74"/>
      <c r="DY694" s="74"/>
      <c r="DZ694" s="8">
        <f t="shared" si="178"/>
        <v>0</v>
      </c>
      <c r="EA694" s="3">
        <f t="shared" si="179"/>
        <v>0</v>
      </c>
      <c r="EB694" s="2">
        <f t="shared" si="180"/>
        <v>0</v>
      </c>
      <c r="EC694" s="112">
        <f t="shared" si="189"/>
        <v>0</v>
      </c>
      <c r="ED694" s="29">
        <f t="shared" si="181"/>
        <v>0</v>
      </c>
      <c r="EE694" s="2">
        <f t="shared" si="182"/>
        <v>0</v>
      </c>
      <c r="EF694" s="46">
        <f t="shared" si="183"/>
        <v>0</v>
      </c>
      <c r="EG694" s="46">
        <f t="shared" si="184"/>
        <v>0</v>
      </c>
      <c r="EH694" s="29">
        <f t="shared" si="185"/>
        <v>0</v>
      </c>
      <c r="EI694" s="29">
        <f>IF(COUNT(I694:AD694)&lt;5,DZ694,SUMPRODUCT(LARGE(I694:AD694,{1,2,3,4,5}))/5)</f>
        <v>0</v>
      </c>
      <c r="EJ694" s="29">
        <f>IF(COUNT(I694:BE694)&lt;5,DZ694,SUMPRODUCT(LARGE(I694:BE694,{1,2,3,4,5}))/5)</f>
        <v>0</v>
      </c>
      <c r="EK694" s="29">
        <f t="shared" si="187"/>
        <v>0</v>
      </c>
      <c r="EL694" s="29">
        <f>(EK694*100)/101.59</f>
        <v>0</v>
      </c>
      <c r="EM694" s="116">
        <f t="shared" si="186"/>
        <v>0</v>
      </c>
      <c r="EN694" s="46"/>
      <c r="EQ694"/>
    </row>
    <row r="695" spans="1:147" x14ac:dyDescent="0.25">
      <c r="A695" s="59"/>
      <c r="B695" s="32"/>
      <c r="C695" s="5"/>
      <c r="D695" s="6"/>
      <c r="E695" s="6"/>
      <c r="F695" s="6"/>
      <c r="G695" s="5"/>
      <c r="H695" s="37"/>
      <c r="I695" s="107"/>
      <c r="J695" s="7"/>
      <c r="K695" s="74"/>
      <c r="L695" s="7"/>
      <c r="M695" s="74"/>
      <c r="N695" s="74"/>
      <c r="O695" s="7"/>
      <c r="P695" s="74"/>
      <c r="Q695" s="7"/>
      <c r="R695" s="74"/>
      <c r="S695" s="74"/>
      <c r="T695" s="7"/>
      <c r="U695" s="7"/>
      <c r="V695" s="74"/>
      <c r="W695" s="74"/>
      <c r="X695" s="74"/>
      <c r="Y695" s="227"/>
      <c r="Z695" s="228"/>
      <c r="AA695" s="74"/>
      <c r="AB695" s="74"/>
      <c r="AC695" s="74"/>
      <c r="AD695" s="74"/>
      <c r="AE695" s="7"/>
      <c r="AF695" s="74"/>
      <c r="AG695" s="74"/>
      <c r="AH695" s="7"/>
      <c r="AI695" s="7"/>
      <c r="AJ695" s="7"/>
      <c r="AK695" s="7"/>
      <c r="AL695" s="7"/>
      <c r="AM695" s="7"/>
      <c r="AN695" s="7"/>
      <c r="AO695" s="74"/>
      <c r="AP695" s="7"/>
      <c r="AQ695" s="74"/>
      <c r="AR695" s="101"/>
      <c r="AS695" s="7"/>
      <c r="AT695" s="101"/>
      <c r="AU695" s="7"/>
      <c r="AV695" s="101"/>
      <c r="AW695" s="7"/>
      <c r="AX695" s="183"/>
      <c r="AY695" s="107"/>
      <c r="AZ695" s="74"/>
      <c r="BA695" s="74"/>
      <c r="BB695" s="74"/>
      <c r="BC695" s="74"/>
      <c r="BD695" s="74"/>
      <c r="BE695" s="74"/>
      <c r="BF695" s="74"/>
      <c r="BG695" s="74"/>
      <c r="BH695" s="74"/>
      <c r="BI695" s="74"/>
      <c r="BJ695" s="74"/>
      <c r="BK695" s="7"/>
      <c r="BL695" s="74"/>
      <c r="BM695" s="7"/>
      <c r="BN695" s="74"/>
      <c r="BO695" s="74"/>
      <c r="BP695" s="74"/>
      <c r="BQ695" s="74"/>
      <c r="BR695" s="74"/>
      <c r="BS695" s="74"/>
      <c r="BT695" s="74"/>
      <c r="BU695" s="74"/>
      <c r="BV695" s="74"/>
      <c r="BW695" s="74"/>
      <c r="BX695" s="74"/>
      <c r="BY695" s="74"/>
      <c r="BZ695" s="74"/>
      <c r="CA695" s="74"/>
      <c r="CB695" s="74"/>
      <c r="CC695" s="74"/>
      <c r="CD695" s="74"/>
      <c r="CE695" s="7"/>
      <c r="CF695" s="74"/>
      <c r="CG695" s="74"/>
      <c r="CH695" s="7"/>
      <c r="CI695" s="74"/>
      <c r="CJ695" s="74"/>
      <c r="CK695" s="101"/>
      <c r="CL695" s="74"/>
      <c r="CM695" s="74"/>
      <c r="CN695" s="74"/>
      <c r="CO695" s="101"/>
      <c r="CP695" s="74"/>
      <c r="CQ695" s="74"/>
      <c r="CR695" s="74"/>
      <c r="CS695" s="74"/>
      <c r="CT695" s="74"/>
      <c r="CU695" s="74"/>
      <c r="CV695" s="74"/>
      <c r="CW695" s="74"/>
      <c r="CX695" s="74"/>
      <c r="CY695" s="74"/>
      <c r="CZ695" s="74"/>
      <c r="DA695" s="74"/>
      <c r="DB695" s="74"/>
      <c r="DC695" s="74"/>
      <c r="DD695" s="74"/>
      <c r="DE695" s="74"/>
      <c r="DF695" s="74"/>
      <c r="DG695" s="74"/>
      <c r="DH695" s="74"/>
      <c r="DI695" s="74"/>
      <c r="DJ695" s="74"/>
      <c r="DK695" s="74"/>
      <c r="DL695" s="74"/>
      <c r="DM695" s="74"/>
      <c r="DN695" s="74"/>
      <c r="DO695" s="74"/>
      <c r="DP695" s="74"/>
      <c r="DQ695" s="74"/>
      <c r="DR695" s="74"/>
      <c r="DS695" s="74"/>
      <c r="DT695" s="74"/>
      <c r="DU695" s="74"/>
      <c r="DV695" s="74"/>
      <c r="DW695" s="74"/>
      <c r="DX695" s="74"/>
      <c r="DY695" s="74"/>
      <c r="DZ695" s="8">
        <f t="shared" si="178"/>
        <v>0</v>
      </c>
      <c r="EA695" s="3">
        <f t="shared" si="179"/>
        <v>0</v>
      </c>
      <c r="EB695" s="2">
        <f t="shared" si="180"/>
        <v>0</v>
      </c>
      <c r="EC695" s="112">
        <f t="shared" si="189"/>
        <v>0</v>
      </c>
      <c r="ED695" s="29">
        <f t="shared" si="181"/>
        <v>0</v>
      </c>
      <c r="EE695" s="2">
        <f t="shared" si="182"/>
        <v>0</v>
      </c>
      <c r="EF695" s="46">
        <f t="shared" si="183"/>
        <v>0</v>
      </c>
      <c r="EG695" s="46">
        <f t="shared" si="184"/>
        <v>0</v>
      </c>
      <c r="EH695" s="29">
        <f t="shared" si="185"/>
        <v>0</v>
      </c>
      <c r="EI695" s="29">
        <f>IF(COUNT(I695:AD695)&lt;5,DZ695,SUMPRODUCT(LARGE(I695:AD695,{1,2,3,4,5}))/5)</f>
        <v>0</v>
      </c>
      <c r="EJ695" s="29">
        <f>IF(COUNT(I695:BE695)&lt;5,DZ695,SUMPRODUCT(LARGE(I695:BE695,{1,2,3,4,5}))/5)</f>
        <v>0</v>
      </c>
      <c r="EK695" s="29">
        <f t="shared" si="187"/>
        <v>0</v>
      </c>
      <c r="EL695" s="29">
        <f t="shared" ref="EL695:EL702" si="192">(EK695*100)/101.28</f>
        <v>0</v>
      </c>
      <c r="EM695" s="116">
        <f t="shared" si="186"/>
        <v>0</v>
      </c>
      <c r="EN695" s="46"/>
      <c r="EQ695"/>
    </row>
    <row r="696" spans="1:147" x14ac:dyDescent="0.25">
      <c r="A696" s="59"/>
      <c r="B696" s="4"/>
      <c r="C696" s="5"/>
      <c r="D696" s="5"/>
      <c r="E696" s="6"/>
      <c r="F696" s="6"/>
      <c r="G696" s="5"/>
      <c r="H696" s="99"/>
      <c r="I696" s="107"/>
      <c r="J696" s="7"/>
      <c r="K696" s="74"/>
      <c r="L696" s="7"/>
      <c r="M696" s="74"/>
      <c r="N696" s="74"/>
      <c r="O696" s="7"/>
      <c r="P696" s="74"/>
      <c r="Q696" s="7"/>
      <c r="R696" s="74"/>
      <c r="S696" s="74"/>
      <c r="T696" s="7"/>
      <c r="U696" s="7"/>
      <c r="V696" s="74"/>
      <c r="W696" s="74"/>
      <c r="X696" s="74"/>
      <c r="Y696" s="227"/>
      <c r="Z696" s="228"/>
      <c r="AA696" s="74"/>
      <c r="AB696" s="74"/>
      <c r="AC696" s="74"/>
      <c r="AD696" s="74"/>
      <c r="AE696" s="7"/>
      <c r="AF696" s="74"/>
      <c r="AG696" s="74"/>
      <c r="AH696" s="7"/>
      <c r="AI696" s="7"/>
      <c r="AJ696" s="7"/>
      <c r="AK696" s="7"/>
      <c r="AL696" s="7"/>
      <c r="AM696" s="7"/>
      <c r="AN696" s="7"/>
      <c r="AO696" s="74"/>
      <c r="AP696" s="7"/>
      <c r="AQ696" s="74"/>
      <c r="AR696" s="101"/>
      <c r="AS696" s="7"/>
      <c r="AT696" s="101"/>
      <c r="AU696" s="7"/>
      <c r="AV696" s="101"/>
      <c r="AW696" s="7"/>
      <c r="AX696" s="183"/>
      <c r="AY696" s="107"/>
      <c r="AZ696" s="74"/>
      <c r="BA696" s="74"/>
      <c r="BB696" s="74"/>
      <c r="BC696" s="74"/>
      <c r="BD696" s="74"/>
      <c r="BE696" s="74"/>
      <c r="BF696" s="74"/>
      <c r="BG696" s="74"/>
      <c r="BH696" s="74"/>
      <c r="BI696" s="74"/>
      <c r="BJ696" s="74"/>
      <c r="BK696" s="7"/>
      <c r="BL696" s="74"/>
      <c r="BM696" s="7"/>
      <c r="BN696" s="74"/>
      <c r="BO696" s="74"/>
      <c r="BP696" s="74"/>
      <c r="BQ696" s="74"/>
      <c r="BR696" s="74"/>
      <c r="BS696" s="74"/>
      <c r="BT696" s="74"/>
      <c r="BU696" s="74"/>
      <c r="BV696" s="74"/>
      <c r="BW696" s="74"/>
      <c r="BX696" s="74"/>
      <c r="BY696" s="74"/>
      <c r="BZ696" s="74"/>
      <c r="CA696" s="74"/>
      <c r="CB696" s="74"/>
      <c r="CC696" s="74"/>
      <c r="CD696" s="74"/>
      <c r="CE696" s="7"/>
      <c r="CF696" s="74"/>
      <c r="CG696" s="74"/>
      <c r="CH696" s="7"/>
      <c r="CI696" s="74"/>
      <c r="CJ696" s="74"/>
      <c r="CK696" s="101"/>
      <c r="CL696" s="74"/>
      <c r="CM696" s="74"/>
      <c r="CN696" s="74"/>
      <c r="CO696" s="101"/>
      <c r="CP696" s="74"/>
      <c r="CQ696" s="74"/>
      <c r="CR696" s="74"/>
      <c r="CS696" s="74"/>
      <c r="CT696" s="74"/>
      <c r="CU696" s="74"/>
      <c r="CV696" s="74"/>
      <c r="CW696" s="74"/>
      <c r="CX696" s="74"/>
      <c r="CY696" s="74"/>
      <c r="CZ696" s="74"/>
      <c r="DA696" s="74"/>
      <c r="DB696" s="74"/>
      <c r="DC696" s="74"/>
      <c r="DD696" s="74"/>
      <c r="DE696" s="74"/>
      <c r="DF696" s="74"/>
      <c r="DG696" s="74"/>
      <c r="DH696" s="74"/>
      <c r="DI696" s="74"/>
      <c r="DJ696" s="74"/>
      <c r="DK696" s="74"/>
      <c r="DL696" s="74"/>
      <c r="DM696" s="74"/>
      <c r="DN696" s="74"/>
      <c r="DO696" s="74"/>
      <c r="DP696" s="74"/>
      <c r="DQ696" s="74"/>
      <c r="DR696" s="74"/>
      <c r="DS696" s="74"/>
      <c r="DT696" s="74"/>
      <c r="DU696" s="74"/>
      <c r="DV696" s="74"/>
      <c r="DW696" s="74"/>
      <c r="DX696" s="74"/>
      <c r="DY696" s="74"/>
      <c r="DZ696" s="8">
        <f t="shared" si="178"/>
        <v>0</v>
      </c>
      <c r="EA696" s="3">
        <f t="shared" si="179"/>
        <v>0</v>
      </c>
      <c r="EB696" s="2">
        <f t="shared" si="180"/>
        <v>0</v>
      </c>
      <c r="EC696" s="112">
        <f t="shared" si="189"/>
        <v>0</v>
      </c>
      <c r="ED696" s="29">
        <f t="shared" si="181"/>
        <v>0</v>
      </c>
      <c r="EE696" s="2">
        <f t="shared" si="182"/>
        <v>0</v>
      </c>
      <c r="EF696" s="46">
        <f t="shared" si="183"/>
        <v>0</v>
      </c>
      <c r="EG696" s="46">
        <f t="shared" si="184"/>
        <v>0</v>
      </c>
      <c r="EH696" s="2">
        <f t="shared" si="185"/>
        <v>0</v>
      </c>
      <c r="EI696" s="29">
        <f>IF(COUNT(I696:AD696)&lt;5,DZ696,SUMPRODUCT(LARGE(I696:AD696,{1,2,3,4,5}))/5)</f>
        <v>0</v>
      </c>
      <c r="EJ696" s="29">
        <f>IF(COUNT(I696:BE696)&lt;5,DZ696,SUMPRODUCT(LARGE(I696:BE696,{1,2,3,4,5}))/5)</f>
        <v>0</v>
      </c>
      <c r="EK696" s="29">
        <f t="shared" si="187"/>
        <v>0</v>
      </c>
      <c r="EL696" s="29">
        <f t="shared" si="192"/>
        <v>0</v>
      </c>
      <c r="EM696" s="116">
        <f t="shared" si="186"/>
        <v>0</v>
      </c>
      <c r="EN696" s="46"/>
      <c r="EQ696"/>
    </row>
    <row r="697" spans="1:147" x14ac:dyDescent="0.25">
      <c r="A697" s="59"/>
      <c r="B697" s="32"/>
      <c r="C697" s="5"/>
      <c r="D697" s="6"/>
      <c r="E697" s="6"/>
      <c r="F697" s="6"/>
      <c r="G697" s="5"/>
      <c r="H697" s="37"/>
      <c r="I697" s="107"/>
      <c r="J697" s="7"/>
      <c r="K697" s="74"/>
      <c r="L697" s="7"/>
      <c r="M697" s="74"/>
      <c r="N697" s="74"/>
      <c r="O697" s="7"/>
      <c r="P697" s="74"/>
      <c r="Q697" s="7"/>
      <c r="R697" s="74"/>
      <c r="S697" s="74"/>
      <c r="T697" s="7"/>
      <c r="U697" s="7"/>
      <c r="V697" s="74"/>
      <c r="W697" s="74"/>
      <c r="X697" s="74"/>
      <c r="Y697" s="227"/>
      <c r="Z697" s="228"/>
      <c r="AA697" s="74"/>
      <c r="AB697" s="74"/>
      <c r="AC697" s="74"/>
      <c r="AD697" s="74"/>
      <c r="AE697" s="7"/>
      <c r="AF697" s="74"/>
      <c r="AG697" s="74"/>
      <c r="AH697" s="7"/>
      <c r="AI697" s="7"/>
      <c r="AJ697" s="7"/>
      <c r="AK697" s="7"/>
      <c r="AL697" s="7"/>
      <c r="AM697" s="7"/>
      <c r="AN697" s="7"/>
      <c r="AO697" s="74"/>
      <c r="AP697" s="7"/>
      <c r="AQ697" s="74"/>
      <c r="AR697" s="101"/>
      <c r="AS697" s="7"/>
      <c r="AT697" s="101"/>
      <c r="AU697" s="7"/>
      <c r="AV697" s="101"/>
      <c r="AW697" s="7"/>
      <c r="AX697" s="8"/>
      <c r="AY697" s="36"/>
      <c r="AZ697" s="74"/>
      <c r="BA697" s="74"/>
      <c r="BB697" s="74"/>
      <c r="BC697" s="74"/>
      <c r="BD697" s="74"/>
      <c r="BE697" s="74"/>
      <c r="BF697" s="74"/>
      <c r="BG697" s="74"/>
      <c r="BH697" s="74"/>
      <c r="BI697" s="74"/>
      <c r="BJ697" s="74"/>
      <c r="BK697" s="7"/>
      <c r="BL697" s="74"/>
      <c r="BM697" s="7"/>
      <c r="BN697" s="74"/>
      <c r="BO697" s="74"/>
      <c r="BP697" s="74"/>
      <c r="BQ697" s="74"/>
      <c r="BR697" s="74"/>
      <c r="BS697" s="74"/>
      <c r="BT697" s="74"/>
      <c r="BU697" s="74"/>
      <c r="BV697" s="74"/>
      <c r="BW697" s="74"/>
      <c r="BX697" s="74"/>
      <c r="BY697" s="74"/>
      <c r="BZ697" s="74"/>
      <c r="CA697" s="74"/>
      <c r="CB697" s="74"/>
      <c r="CC697" s="74"/>
      <c r="CD697" s="74"/>
      <c r="CE697" s="7"/>
      <c r="CF697" s="74"/>
      <c r="CG697" s="74"/>
      <c r="CH697" s="7"/>
      <c r="CI697" s="74"/>
      <c r="CJ697" s="74"/>
      <c r="CK697" s="101"/>
      <c r="CL697" s="74"/>
      <c r="CM697" s="74"/>
      <c r="CN697" s="74"/>
      <c r="CO697" s="101"/>
      <c r="CP697" s="74"/>
      <c r="CQ697" s="74"/>
      <c r="CR697" s="74"/>
      <c r="CS697" s="74"/>
      <c r="CT697" s="74"/>
      <c r="CU697" s="74"/>
      <c r="CV697" s="74"/>
      <c r="CW697" s="74"/>
      <c r="CX697" s="74"/>
      <c r="CY697" s="74"/>
      <c r="CZ697" s="74"/>
      <c r="DA697" s="74"/>
      <c r="DB697" s="74"/>
      <c r="DC697" s="74"/>
      <c r="DD697" s="74"/>
      <c r="DE697" s="74"/>
      <c r="DF697" s="74"/>
      <c r="DG697" s="74"/>
      <c r="DH697" s="74"/>
      <c r="DI697" s="74"/>
      <c r="DJ697" s="74"/>
      <c r="DK697" s="74"/>
      <c r="DL697" s="74"/>
      <c r="DM697" s="74"/>
      <c r="DN697" s="74"/>
      <c r="DO697" s="74"/>
      <c r="DP697" s="74"/>
      <c r="DQ697" s="74"/>
      <c r="DR697" s="74"/>
      <c r="DS697" s="74"/>
      <c r="DT697" s="74"/>
      <c r="DU697" s="74"/>
      <c r="DV697" s="74"/>
      <c r="DW697" s="74"/>
      <c r="DX697" s="74"/>
      <c r="DY697" s="74"/>
      <c r="DZ697" s="8">
        <f t="shared" si="178"/>
        <v>0</v>
      </c>
      <c r="EA697" s="3">
        <f t="shared" si="179"/>
        <v>0</v>
      </c>
      <c r="EB697" s="2">
        <f t="shared" si="180"/>
        <v>0</v>
      </c>
      <c r="EC697" s="112">
        <f t="shared" si="189"/>
        <v>0</v>
      </c>
      <c r="ED697" s="29">
        <f t="shared" si="181"/>
        <v>0</v>
      </c>
      <c r="EE697" s="2">
        <f t="shared" si="182"/>
        <v>0</v>
      </c>
      <c r="EF697" s="46">
        <f t="shared" si="183"/>
        <v>0</v>
      </c>
      <c r="EG697" s="46">
        <f t="shared" si="184"/>
        <v>0</v>
      </c>
      <c r="EH697" s="2">
        <f t="shared" si="185"/>
        <v>0</v>
      </c>
      <c r="EI697" s="29">
        <f>IF(COUNT(I697:AD697)&lt;5,DZ697,SUMPRODUCT(LARGE(I697:AD697,{1,2,3,4,5}))/5)</f>
        <v>0</v>
      </c>
      <c r="EJ697" s="29">
        <f>IF(COUNT(I697:BE697)&lt;5,DZ697,SUMPRODUCT(LARGE(I697:BE697,{1,2,3,4,5}))/5)</f>
        <v>0</v>
      </c>
      <c r="EK697" s="29">
        <f t="shared" si="187"/>
        <v>0</v>
      </c>
      <c r="EL697" s="29">
        <f t="shared" si="192"/>
        <v>0</v>
      </c>
      <c r="EM697" s="116">
        <f t="shared" si="186"/>
        <v>0</v>
      </c>
      <c r="EN697" s="46"/>
      <c r="EQ697"/>
    </row>
    <row r="698" spans="1:147" x14ac:dyDescent="0.25">
      <c r="A698" s="59"/>
      <c r="B698" s="32"/>
      <c r="C698" s="5"/>
      <c r="D698" s="6"/>
      <c r="E698" s="6"/>
      <c r="F698" s="6"/>
      <c r="G698" s="5"/>
      <c r="H698" s="37"/>
      <c r="I698" s="107"/>
      <c r="J698" s="7"/>
      <c r="K698" s="74"/>
      <c r="L698" s="7"/>
      <c r="M698" s="74"/>
      <c r="N698" s="74"/>
      <c r="O698" s="7"/>
      <c r="P698" s="74"/>
      <c r="Q698" s="7"/>
      <c r="R698" s="74"/>
      <c r="S698" s="74"/>
      <c r="T698" s="7"/>
      <c r="U698" s="7"/>
      <c r="V698" s="74"/>
      <c r="W698" s="74"/>
      <c r="X698" s="74"/>
      <c r="Y698" s="227"/>
      <c r="Z698" s="228"/>
      <c r="AA698" s="74"/>
      <c r="AB698" s="74"/>
      <c r="AC698" s="74"/>
      <c r="AD698" s="74"/>
      <c r="AE698" s="7"/>
      <c r="AF698" s="74"/>
      <c r="AG698" s="74"/>
      <c r="AH698" s="7"/>
      <c r="AI698" s="7"/>
      <c r="AJ698" s="7"/>
      <c r="AK698" s="7"/>
      <c r="AL698" s="7"/>
      <c r="AM698" s="7"/>
      <c r="AN698" s="7"/>
      <c r="AO698" s="74"/>
      <c r="AP698" s="7"/>
      <c r="AQ698" s="74"/>
      <c r="AR698" s="101"/>
      <c r="AS698" s="7"/>
      <c r="AT698" s="101"/>
      <c r="AU698" s="7"/>
      <c r="AV698" s="101"/>
      <c r="AW698" s="7"/>
      <c r="AX698" s="183"/>
      <c r="AY698" s="107"/>
      <c r="AZ698" s="74"/>
      <c r="BA698" s="74"/>
      <c r="BB698" s="74"/>
      <c r="BC698" s="74"/>
      <c r="BD698" s="74"/>
      <c r="BE698" s="74"/>
      <c r="BF698" s="74"/>
      <c r="BG698" s="74"/>
      <c r="BH698" s="74"/>
      <c r="BI698" s="74"/>
      <c r="BJ698" s="74"/>
      <c r="BK698" s="7"/>
      <c r="BL698" s="74"/>
      <c r="BM698" s="7"/>
      <c r="BN698" s="74"/>
      <c r="BO698" s="74"/>
      <c r="BP698" s="74"/>
      <c r="BQ698" s="74"/>
      <c r="BR698" s="74"/>
      <c r="BS698" s="74"/>
      <c r="BT698" s="74"/>
      <c r="BU698" s="74"/>
      <c r="BV698" s="74"/>
      <c r="BW698" s="74"/>
      <c r="BX698" s="74"/>
      <c r="BY698" s="74"/>
      <c r="BZ698" s="74"/>
      <c r="CA698" s="74"/>
      <c r="CB698" s="74"/>
      <c r="CC698" s="74"/>
      <c r="CD698" s="74"/>
      <c r="CE698" s="7"/>
      <c r="CF698" s="74"/>
      <c r="CG698" s="74"/>
      <c r="CH698" s="7"/>
      <c r="CI698" s="74"/>
      <c r="CJ698" s="74"/>
      <c r="CK698" s="101"/>
      <c r="CL698" s="74"/>
      <c r="CM698" s="74"/>
      <c r="CN698" s="74"/>
      <c r="CO698" s="101"/>
      <c r="CP698" s="74"/>
      <c r="CQ698" s="74"/>
      <c r="CR698" s="74"/>
      <c r="CS698" s="74"/>
      <c r="CT698" s="74"/>
      <c r="CU698" s="74"/>
      <c r="CV698" s="74"/>
      <c r="CW698" s="74"/>
      <c r="CX698" s="74"/>
      <c r="CY698" s="74"/>
      <c r="CZ698" s="74"/>
      <c r="DA698" s="74"/>
      <c r="DB698" s="74"/>
      <c r="DC698" s="74"/>
      <c r="DD698" s="74"/>
      <c r="DE698" s="74"/>
      <c r="DF698" s="74"/>
      <c r="DG698" s="74"/>
      <c r="DH698" s="74"/>
      <c r="DI698" s="74"/>
      <c r="DJ698" s="74"/>
      <c r="DK698" s="74"/>
      <c r="DL698" s="74"/>
      <c r="DM698" s="74"/>
      <c r="DN698" s="74"/>
      <c r="DO698" s="74"/>
      <c r="DP698" s="74"/>
      <c r="DQ698" s="74"/>
      <c r="DR698" s="74"/>
      <c r="DS698" s="74"/>
      <c r="DT698" s="74"/>
      <c r="DU698" s="74"/>
      <c r="DV698" s="74"/>
      <c r="DW698" s="74"/>
      <c r="DX698" s="74"/>
      <c r="DY698" s="74"/>
      <c r="DZ698" s="8">
        <f t="shared" si="178"/>
        <v>0</v>
      </c>
      <c r="EA698" s="3">
        <f t="shared" si="179"/>
        <v>0</v>
      </c>
      <c r="EB698" s="2">
        <f t="shared" si="180"/>
        <v>0</v>
      </c>
      <c r="EC698" s="112">
        <f t="shared" si="189"/>
        <v>0</v>
      </c>
      <c r="ED698" s="29">
        <f t="shared" si="181"/>
        <v>0</v>
      </c>
      <c r="EE698" s="2">
        <f t="shared" si="182"/>
        <v>0</v>
      </c>
      <c r="EF698" s="46">
        <f t="shared" si="183"/>
        <v>0</v>
      </c>
      <c r="EG698" s="46">
        <f t="shared" si="184"/>
        <v>0</v>
      </c>
      <c r="EH698" s="2">
        <f t="shared" si="185"/>
        <v>0</v>
      </c>
      <c r="EI698" s="29">
        <f>IF(COUNT(I698:AD698)&lt;5,DZ698,SUMPRODUCT(LARGE(I698:AD698,{1,2,3,4,5}))/5)</f>
        <v>0</v>
      </c>
      <c r="EJ698" s="29">
        <f>IF(COUNT(I698:BE698)&lt;5,DZ698,SUMPRODUCT(LARGE(I698:BE698,{1,2,3,4,5}))/5)</f>
        <v>0</v>
      </c>
      <c r="EK698" s="29">
        <f t="shared" si="187"/>
        <v>0</v>
      </c>
      <c r="EL698" s="29">
        <f t="shared" si="192"/>
        <v>0</v>
      </c>
      <c r="EM698" s="116">
        <f t="shared" si="186"/>
        <v>0</v>
      </c>
      <c r="EN698" s="46"/>
      <c r="EQ698"/>
    </row>
    <row r="699" spans="1:147" x14ac:dyDescent="0.25">
      <c r="A699" s="59"/>
      <c r="B699" s="4"/>
      <c r="C699" s="5"/>
      <c r="D699" s="5"/>
      <c r="E699" s="6"/>
      <c r="F699" s="6"/>
      <c r="G699" s="5"/>
      <c r="H699" s="99"/>
      <c r="I699" s="107"/>
      <c r="J699" s="7"/>
      <c r="K699" s="74"/>
      <c r="L699" s="7"/>
      <c r="M699" s="74"/>
      <c r="N699" s="74"/>
      <c r="O699" s="7"/>
      <c r="P699" s="74"/>
      <c r="Q699" s="7"/>
      <c r="R699" s="74"/>
      <c r="S699" s="74"/>
      <c r="T699" s="7"/>
      <c r="U699" s="7"/>
      <c r="V699" s="74"/>
      <c r="W699" s="7"/>
      <c r="X699" s="74"/>
      <c r="Y699" s="227"/>
      <c r="Z699" s="228"/>
      <c r="AA699" s="74"/>
      <c r="AB699" s="74"/>
      <c r="AC699" s="74"/>
      <c r="AD699" s="74"/>
      <c r="AE699" s="7"/>
      <c r="AF699" s="74"/>
      <c r="AG699" s="74"/>
      <c r="AH699" s="7"/>
      <c r="AI699" s="7"/>
      <c r="AJ699" s="7"/>
      <c r="AK699" s="7"/>
      <c r="AL699" s="7"/>
      <c r="AM699" s="7"/>
      <c r="AN699" s="7"/>
      <c r="AO699" s="74"/>
      <c r="AP699" s="7"/>
      <c r="AQ699" s="74"/>
      <c r="AR699" s="101"/>
      <c r="AS699" s="7"/>
      <c r="AT699" s="101"/>
      <c r="AU699" s="7"/>
      <c r="AV699" s="101"/>
      <c r="AW699" s="7"/>
      <c r="AX699" s="183"/>
      <c r="AY699" s="107"/>
      <c r="AZ699" s="7"/>
      <c r="BA699" s="74"/>
      <c r="BB699" s="74"/>
      <c r="BC699" s="74"/>
      <c r="BD699" s="74"/>
      <c r="BE699" s="74"/>
      <c r="BF699" s="74"/>
      <c r="BG699" s="74"/>
      <c r="BH699" s="74"/>
      <c r="BI699" s="74"/>
      <c r="BJ699" s="74"/>
      <c r="BK699" s="7"/>
      <c r="BL699" s="74"/>
      <c r="BM699" s="7"/>
      <c r="BN699" s="74"/>
      <c r="BO699" s="74"/>
      <c r="BP699" s="74"/>
      <c r="BQ699" s="74"/>
      <c r="BR699" s="74"/>
      <c r="BS699" s="74"/>
      <c r="BT699" s="74"/>
      <c r="BU699" s="74"/>
      <c r="BV699" s="74"/>
      <c r="BW699" s="74"/>
      <c r="BX699" s="74"/>
      <c r="BY699" s="74"/>
      <c r="BZ699" s="7"/>
      <c r="CA699" s="74"/>
      <c r="CB699" s="74"/>
      <c r="CC699" s="74"/>
      <c r="CD699" s="74"/>
      <c r="CE699" s="7"/>
      <c r="CF699" s="74"/>
      <c r="CG699" s="7"/>
      <c r="CH699" s="7"/>
      <c r="CI699" s="74"/>
      <c r="CJ699" s="74"/>
      <c r="CK699" s="101"/>
      <c r="CL699" s="74"/>
      <c r="CM699" s="74"/>
      <c r="CN699" s="74"/>
      <c r="CO699" s="101"/>
      <c r="CP699" s="74"/>
      <c r="CQ699" s="74"/>
      <c r="CR699" s="74"/>
      <c r="CS699" s="74"/>
      <c r="CT699" s="74"/>
      <c r="CU699" s="74"/>
      <c r="CV699" s="74"/>
      <c r="CW699" s="74"/>
      <c r="CX699" s="74"/>
      <c r="CY699" s="74"/>
      <c r="CZ699" s="74"/>
      <c r="DA699" s="74"/>
      <c r="DB699" s="74"/>
      <c r="DC699" s="74"/>
      <c r="DD699" s="74"/>
      <c r="DE699" s="74"/>
      <c r="DF699" s="74"/>
      <c r="DG699" s="74"/>
      <c r="DH699" s="74"/>
      <c r="DI699" s="74"/>
      <c r="DJ699" s="74"/>
      <c r="DK699" s="74"/>
      <c r="DL699" s="74"/>
      <c r="DM699" s="100"/>
      <c r="DN699" s="74"/>
      <c r="DO699" s="100"/>
      <c r="DP699" s="74"/>
      <c r="DQ699" s="74"/>
      <c r="DR699" s="74"/>
      <c r="DS699" s="74"/>
      <c r="DT699" s="74"/>
      <c r="DU699" s="74"/>
      <c r="DV699" s="74"/>
      <c r="DW699" s="74"/>
      <c r="DX699" s="74"/>
      <c r="DY699" s="100"/>
      <c r="DZ699" s="8">
        <f t="shared" si="178"/>
        <v>0</v>
      </c>
      <c r="EA699" s="3">
        <f t="shared" si="179"/>
        <v>0</v>
      </c>
      <c r="EB699" s="2">
        <f t="shared" si="180"/>
        <v>0</v>
      </c>
      <c r="EC699" s="112">
        <f t="shared" si="189"/>
        <v>0</v>
      </c>
      <c r="ED699" s="29">
        <f t="shared" si="181"/>
        <v>0</v>
      </c>
      <c r="EE699" s="2">
        <f t="shared" si="182"/>
        <v>0</v>
      </c>
      <c r="EF699" s="46">
        <f t="shared" si="183"/>
        <v>0</v>
      </c>
      <c r="EG699" s="46">
        <f t="shared" si="184"/>
        <v>0</v>
      </c>
      <c r="EH699" s="29">
        <f t="shared" si="185"/>
        <v>0</v>
      </c>
      <c r="EI699" s="29">
        <f>IF(COUNT(I699:AD699)&lt;5,DZ699,SUMPRODUCT(LARGE(I699:AD699,{1,2,3,4,5}))/5)</f>
        <v>0</v>
      </c>
      <c r="EJ699" s="29">
        <f>IF(COUNT(I699:BE699)&lt;5,DZ699,SUMPRODUCT(LARGE(I699:BE699,{1,2,3,4,5}))/5)</f>
        <v>0</v>
      </c>
      <c r="EK699" s="29">
        <f t="shared" si="187"/>
        <v>0</v>
      </c>
      <c r="EL699" s="29">
        <f t="shared" si="192"/>
        <v>0</v>
      </c>
      <c r="EM699" s="116">
        <f t="shared" si="186"/>
        <v>0</v>
      </c>
      <c r="EN699" s="46"/>
      <c r="EQ699"/>
    </row>
    <row r="700" spans="1:147" x14ac:dyDescent="0.25">
      <c r="A700" s="59"/>
      <c r="B700" s="32"/>
      <c r="C700" s="5"/>
      <c r="D700" s="6"/>
      <c r="E700" s="6"/>
      <c r="F700" s="6"/>
      <c r="G700" s="5"/>
      <c r="H700" s="37"/>
      <c r="I700" s="36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227"/>
      <c r="Z700" s="228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4"/>
      <c r="AP700" s="7"/>
      <c r="AQ700" s="74"/>
      <c r="AR700" s="70"/>
      <c r="AS700" s="7"/>
      <c r="AT700" s="70"/>
      <c r="AU700" s="7"/>
      <c r="AV700" s="70"/>
      <c r="AW700" s="7"/>
      <c r="AX700" s="183"/>
      <c r="AY700" s="10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101"/>
      <c r="CL700" s="74"/>
      <c r="CM700" s="74"/>
      <c r="CN700" s="74"/>
      <c r="CO700" s="70"/>
      <c r="CP700" s="74"/>
      <c r="CQ700" s="7"/>
      <c r="CR700" s="74"/>
      <c r="CS700" s="74"/>
      <c r="CT700" s="74"/>
      <c r="CU700" s="74"/>
      <c r="CV700" s="74"/>
      <c r="CW700" s="7"/>
      <c r="CX700" s="7"/>
      <c r="CY700" s="7"/>
      <c r="CZ700" s="7"/>
      <c r="DA700" s="7"/>
      <c r="DB700" s="7"/>
      <c r="DC700" s="7"/>
      <c r="DD700" s="7"/>
      <c r="DE700" s="74"/>
      <c r="DF700" s="74"/>
      <c r="DG700" s="74"/>
      <c r="DH700" s="74"/>
      <c r="DI700" s="74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8">
        <f t="shared" si="178"/>
        <v>0</v>
      </c>
      <c r="EA700" s="3">
        <f t="shared" si="179"/>
        <v>0</v>
      </c>
      <c r="EB700" s="2">
        <f t="shared" si="180"/>
        <v>0</v>
      </c>
      <c r="EC700" s="112">
        <f t="shared" si="189"/>
        <v>0</v>
      </c>
      <c r="ED700" s="29">
        <f t="shared" si="181"/>
        <v>0</v>
      </c>
      <c r="EE700" s="2">
        <f t="shared" si="182"/>
        <v>0</v>
      </c>
      <c r="EF700" s="46">
        <f t="shared" si="183"/>
        <v>0</v>
      </c>
      <c r="EG700" s="46">
        <f t="shared" si="184"/>
        <v>0</v>
      </c>
      <c r="EH700" s="2">
        <f t="shared" si="185"/>
        <v>0</v>
      </c>
      <c r="EI700" s="29">
        <f>IF(COUNT(I700:AD700)&lt;5,DZ700,SUMPRODUCT(LARGE(I700:AD700,{1,2,3,4,5}))/5)</f>
        <v>0</v>
      </c>
      <c r="EJ700" s="29">
        <f>IF(COUNT(I700:BE700)&lt;5,DZ700,SUMPRODUCT(LARGE(I700:BE700,{1,2,3,4,5}))/5)</f>
        <v>0</v>
      </c>
      <c r="EK700" s="29">
        <f t="shared" si="187"/>
        <v>0</v>
      </c>
      <c r="EL700" s="29">
        <f t="shared" si="192"/>
        <v>0</v>
      </c>
      <c r="EM700" s="116">
        <f t="shared" si="186"/>
        <v>0</v>
      </c>
      <c r="EN700" s="46"/>
      <c r="EQ700"/>
    </row>
    <row r="701" spans="1:147" x14ac:dyDescent="0.25">
      <c r="A701" s="59"/>
      <c r="B701" s="32"/>
      <c r="C701" s="5"/>
      <c r="D701" s="6"/>
      <c r="E701" s="6"/>
      <c r="F701" s="6"/>
      <c r="G701" s="5"/>
      <c r="H701" s="37"/>
      <c r="I701" s="107"/>
      <c r="J701" s="7"/>
      <c r="K701" s="74"/>
      <c r="L701" s="7"/>
      <c r="M701" s="74"/>
      <c r="N701" s="74"/>
      <c r="O701" s="7"/>
      <c r="P701" s="74"/>
      <c r="Q701" s="7"/>
      <c r="R701" s="74"/>
      <c r="S701" s="74"/>
      <c r="T701" s="7"/>
      <c r="U701" s="7"/>
      <c r="V701" s="74"/>
      <c r="W701" s="74"/>
      <c r="X701" s="74"/>
      <c r="Y701" s="227"/>
      <c r="Z701" s="228"/>
      <c r="AA701" s="74"/>
      <c r="AB701" s="74"/>
      <c r="AC701" s="74"/>
      <c r="AD701" s="74"/>
      <c r="AE701" s="7"/>
      <c r="AF701" s="74"/>
      <c r="AG701" s="74"/>
      <c r="AH701" s="7"/>
      <c r="AI701" s="7"/>
      <c r="AJ701" s="7"/>
      <c r="AK701" s="7"/>
      <c r="AL701" s="7"/>
      <c r="AM701" s="7"/>
      <c r="AN701" s="7"/>
      <c r="AO701" s="74"/>
      <c r="AP701" s="7"/>
      <c r="AQ701" s="74"/>
      <c r="AR701" s="101"/>
      <c r="AS701" s="7"/>
      <c r="AT701" s="101"/>
      <c r="AU701" s="7"/>
      <c r="AV701" s="101"/>
      <c r="AW701" s="7"/>
      <c r="AX701" s="183"/>
      <c r="AY701" s="107"/>
      <c r="AZ701" s="74"/>
      <c r="BA701" s="74"/>
      <c r="BB701" s="74"/>
      <c r="BC701" s="74"/>
      <c r="BD701" s="74"/>
      <c r="BE701" s="74"/>
      <c r="BF701" s="74"/>
      <c r="BG701" s="74"/>
      <c r="BH701" s="74"/>
      <c r="BI701" s="74"/>
      <c r="BJ701" s="74"/>
      <c r="BK701" s="7"/>
      <c r="BL701" s="74"/>
      <c r="BM701" s="7"/>
      <c r="BN701" s="74"/>
      <c r="BO701" s="74"/>
      <c r="BP701" s="74"/>
      <c r="BQ701" s="74"/>
      <c r="BR701" s="74"/>
      <c r="BS701" s="74"/>
      <c r="BT701" s="74"/>
      <c r="BU701" s="74"/>
      <c r="BV701" s="74"/>
      <c r="BW701" s="74"/>
      <c r="BX701" s="74"/>
      <c r="BY701" s="74"/>
      <c r="BZ701" s="74"/>
      <c r="CA701" s="74"/>
      <c r="CB701" s="74"/>
      <c r="CC701" s="74"/>
      <c r="CD701" s="74"/>
      <c r="CE701" s="7"/>
      <c r="CF701" s="74"/>
      <c r="CG701" s="74"/>
      <c r="CH701" s="7"/>
      <c r="CI701" s="74"/>
      <c r="CJ701" s="74"/>
      <c r="CK701" s="101"/>
      <c r="CL701" s="74"/>
      <c r="CM701" s="74"/>
      <c r="CN701" s="74"/>
      <c r="CO701" s="101"/>
      <c r="CP701" s="74"/>
      <c r="CQ701" s="74"/>
      <c r="CR701" s="74"/>
      <c r="CS701" s="74"/>
      <c r="CT701" s="74"/>
      <c r="CU701" s="74"/>
      <c r="CV701" s="74"/>
      <c r="CW701" s="74"/>
      <c r="CX701" s="74"/>
      <c r="CY701" s="74"/>
      <c r="CZ701" s="74"/>
      <c r="DA701" s="74"/>
      <c r="DB701" s="74"/>
      <c r="DC701" s="74"/>
      <c r="DD701" s="74"/>
      <c r="DE701" s="74"/>
      <c r="DF701" s="74"/>
      <c r="DG701" s="74"/>
      <c r="DH701" s="74"/>
      <c r="DI701" s="74"/>
      <c r="DJ701" s="74"/>
      <c r="DK701" s="74"/>
      <c r="DL701" s="74"/>
      <c r="DM701" s="74"/>
      <c r="DN701" s="74"/>
      <c r="DO701" s="74"/>
      <c r="DP701" s="74"/>
      <c r="DQ701" s="74"/>
      <c r="DR701" s="74"/>
      <c r="DS701" s="74"/>
      <c r="DT701" s="74"/>
      <c r="DU701" s="74"/>
      <c r="DV701" s="74"/>
      <c r="DW701" s="74"/>
      <c r="DX701" s="74"/>
      <c r="DY701" s="74"/>
      <c r="DZ701" s="8">
        <f t="shared" si="178"/>
        <v>0</v>
      </c>
      <c r="EA701" s="3">
        <f t="shared" si="179"/>
        <v>0</v>
      </c>
      <c r="EB701" s="2">
        <f t="shared" si="180"/>
        <v>0</v>
      </c>
      <c r="EC701" s="112">
        <f t="shared" si="189"/>
        <v>0</v>
      </c>
      <c r="ED701" s="29">
        <f t="shared" si="181"/>
        <v>0</v>
      </c>
      <c r="EE701" s="2">
        <f t="shared" si="182"/>
        <v>0</v>
      </c>
      <c r="EF701" s="46">
        <f t="shared" si="183"/>
        <v>0</v>
      </c>
      <c r="EG701" s="46">
        <f t="shared" si="184"/>
        <v>0</v>
      </c>
      <c r="EH701" s="29">
        <f t="shared" si="185"/>
        <v>0</v>
      </c>
      <c r="EI701" s="29">
        <f>IF(COUNT(I701:AD701)&lt;5,DZ701,SUMPRODUCT(LARGE(I701:AD701,{1,2,3,4,5}))/5)</f>
        <v>0</v>
      </c>
      <c r="EJ701" s="29">
        <f>IF(COUNT(I701:BE701)&lt;5,DZ701,SUMPRODUCT(LARGE(I701:BE701,{1,2,3,4,5}))/5)</f>
        <v>0</v>
      </c>
      <c r="EK701" s="29">
        <f t="shared" si="187"/>
        <v>0</v>
      </c>
      <c r="EL701" s="29">
        <f t="shared" si="192"/>
        <v>0</v>
      </c>
      <c r="EM701" s="116">
        <f t="shared" si="186"/>
        <v>0</v>
      </c>
      <c r="EN701" s="46"/>
      <c r="EQ701"/>
    </row>
    <row r="702" spans="1:147" x14ac:dyDescent="0.25">
      <c r="A702" s="59"/>
      <c r="B702" s="4"/>
      <c r="C702" s="5"/>
      <c r="D702" s="6"/>
      <c r="E702" s="6"/>
      <c r="F702" s="6"/>
      <c r="G702" s="5"/>
      <c r="H702" s="37"/>
      <c r="I702" s="107"/>
      <c r="J702" s="7"/>
      <c r="K702" s="74"/>
      <c r="L702" s="7"/>
      <c r="M702" s="74"/>
      <c r="N702" s="74"/>
      <c r="O702" s="7"/>
      <c r="P702" s="74"/>
      <c r="Q702" s="7"/>
      <c r="R702" s="74"/>
      <c r="S702" s="74"/>
      <c r="T702" s="7"/>
      <c r="U702" s="7"/>
      <c r="V702" s="74"/>
      <c r="W702" s="74"/>
      <c r="X702" s="74"/>
      <c r="Y702" s="227"/>
      <c r="Z702" s="228"/>
      <c r="AA702" s="74"/>
      <c r="AB702" s="74"/>
      <c r="AC702" s="74"/>
      <c r="AD702" s="74"/>
      <c r="AE702" s="7"/>
      <c r="AF702" s="74"/>
      <c r="AG702" s="74"/>
      <c r="AH702" s="7"/>
      <c r="AI702" s="7"/>
      <c r="AJ702" s="7"/>
      <c r="AK702" s="7"/>
      <c r="AL702" s="7"/>
      <c r="AM702" s="7"/>
      <c r="AN702" s="7"/>
      <c r="AO702" s="74"/>
      <c r="AP702" s="7"/>
      <c r="AQ702" s="74"/>
      <c r="AR702" s="101"/>
      <c r="AS702" s="7"/>
      <c r="AT702" s="101"/>
      <c r="AU702" s="7"/>
      <c r="AV702" s="101"/>
      <c r="AW702" s="7"/>
      <c r="AX702" s="183"/>
      <c r="AY702" s="107"/>
      <c r="AZ702" s="74"/>
      <c r="BA702" s="74"/>
      <c r="BB702" s="74"/>
      <c r="BC702" s="74"/>
      <c r="BD702" s="74"/>
      <c r="BE702" s="74"/>
      <c r="BF702" s="74"/>
      <c r="BG702" s="74"/>
      <c r="BH702" s="74"/>
      <c r="BI702" s="74"/>
      <c r="BJ702" s="74"/>
      <c r="BK702" s="7"/>
      <c r="BL702" s="74"/>
      <c r="BM702" s="7"/>
      <c r="BN702" s="74"/>
      <c r="BO702" s="74"/>
      <c r="BP702" s="74"/>
      <c r="BQ702" s="74"/>
      <c r="BR702" s="74"/>
      <c r="BS702" s="74"/>
      <c r="BT702" s="74"/>
      <c r="BU702" s="74"/>
      <c r="BV702" s="74"/>
      <c r="BW702" s="74"/>
      <c r="BX702" s="74"/>
      <c r="BY702" s="74"/>
      <c r="BZ702" s="74"/>
      <c r="CA702" s="74"/>
      <c r="CB702" s="74"/>
      <c r="CC702" s="74"/>
      <c r="CD702" s="74"/>
      <c r="CE702" s="7"/>
      <c r="CF702" s="74"/>
      <c r="CG702" s="74"/>
      <c r="CH702" s="7"/>
      <c r="CI702" s="74"/>
      <c r="CJ702" s="74"/>
      <c r="CK702" s="101"/>
      <c r="CL702" s="74"/>
      <c r="CM702" s="74"/>
      <c r="CN702" s="74"/>
      <c r="CO702" s="101"/>
      <c r="CP702" s="74"/>
      <c r="CQ702" s="74"/>
      <c r="CR702" s="74"/>
      <c r="CS702" s="74"/>
      <c r="CT702" s="74"/>
      <c r="CU702" s="74"/>
      <c r="CV702" s="74"/>
      <c r="CW702" s="74"/>
      <c r="CX702" s="74"/>
      <c r="CY702" s="74"/>
      <c r="CZ702" s="74"/>
      <c r="DA702" s="74"/>
      <c r="DB702" s="74"/>
      <c r="DC702" s="74"/>
      <c r="DD702" s="74"/>
      <c r="DE702" s="74"/>
      <c r="DF702" s="74"/>
      <c r="DG702" s="74"/>
      <c r="DH702" s="74"/>
      <c r="DI702" s="74"/>
      <c r="DJ702" s="74"/>
      <c r="DK702" s="74"/>
      <c r="DL702" s="74"/>
      <c r="DM702" s="74"/>
      <c r="DN702" s="103"/>
      <c r="DO702" s="74"/>
      <c r="DP702" s="74"/>
      <c r="DQ702" s="74"/>
      <c r="DR702" s="74"/>
      <c r="DS702" s="74"/>
      <c r="DT702" s="74"/>
      <c r="DU702" s="74"/>
      <c r="DV702" s="74"/>
      <c r="DW702" s="74"/>
      <c r="DX702" s="74"/>
      <c r="DY702" s="74"/>
      <c r="DZ702" s="8">
        <f t="shared" si="178"/>
        <v>0</v>
      </c>
      <c r="EA702" s="3">
        <f t="shared" si="179"/>
        <v>0</v>
      </c>
      <c r="EB702" s="2">
        <f t="shared" si="180"/>
        <v>0</v>
      </c>
      <c r="EC702" s="112">
        <f t="shared" si="189"/>
        <v>0</v>
      </c>
      <c r="ED702" s="29">
        <f t="shared" si="181"/>
        <v>0</v>
      </c>
      <c r="EE702" s="2">
        <f t="shared" si="182"/>
        <v>0</v>
      </c>
      <c r="EF702" s="46">
        <f t="shared" si="183"/>
        <v>0</v>
      </c>
      <c r="EG702" s="46">
        <f t="shared" si="184"/>
        <v>0</v>
      </c>
      <c r="EH702" s="2">
        <f t="shared" si="185"/>
        <v>0</v>
      </c>
      <c r="EI702" s="29">
        <f>IF(COUNT(I702:AD702)&lt;5,DZ702,SUMPRODUCT(LARGE(I702:AD702,{1,2,3,4,5}))/5)</f>
        <v>0</v>
      </c>
      <c r="EJ702" s="29">
        <f>IF(COUNT(I702:BE702)&lt;5,DZ702,SUMPRODUCT(LARGE(I702:BE702,{1,2,3,4,5}))/5)</f>
        <v>0</v>
      </c>
      <c r="EK702" s="29">
        <f t="shared" si="187"/>
        <v>0</v>
      </c>
      <c r="EL702" s="29">
        <f t="shared" si="192"/>
        <v>0</v>
      </c>
      <c r="EM702" s="116">
        <f t="shared" si="186"/>
        <v>0</v>
      </c>
      <c r="EN702" s="46"/>
      <c r="EQ702"/>
    </row>
    <row r="703" spans="1:147" x14ac:dyDescent="0.25">
      <c r="A703" s="59"/>
      <c r="B703" s="32"/>
      <c r="C703" s="5"/>
      <c r="D703" s="6"/>
      <c r="E703" s="6"/>
      <c r="F703" s="6"/>
      <c r="G703" s="5"/>
      <c r="H703" s="37"/>
      <c r="I703" s="107"/>
      <c r="J703" s="7"/>
      <c r="K703" s="74"/>
      <c r="L703" s="7"/>
      <c r="M703" s="74"/>
      <c r="N703" s="74"/>
      <c r="O703" s="7"/>
      <c r="P703" s="74"/>
      <c r="Q703" s="74"/>
      <c r="R703" s="74"/>
      <c r="S703" s="74"/>
      <c r="T703" s="7"/>
      <c r="U703" s="7"/>
      <c r="V703" s="74"/>
      <c r="W703" s="7"/>
      <c r="X703" s="74"/>
      <c r="Y703" s="227"/>
      <c r="Z703" s="228"/>
      <c r="AA703" s="74"/>
      <c r="AB703" s="74"/>
      <c r="AC703" s="74"/>
      <c r="AD703" s="74"/>
      <c r="AE703" s="7"/>
      <c r="AF703" s="74"/>
      <c r="AG703" s="74"/>
      <c r="AH703" s="7"/>
      <c r="AI703" s="7"/>
      <c r="AJ703" s="7"/>
      <c r="AK703" s="7"/>
      <c r="AL703" s="7"/>
      <c r="AM703" s="7"/>
      <c r="AN703" s="7"/>
      <c r="AO703" s="74"/>
      <c r="AP703" s="7"/>
      <c r="AQ703" s="74"/>
      <c r="AR703" s="101"/>
      <c r="AS703" s="7"/>
      <c r="AT703" s="101"/>
      <c r="AU703" s="7"/>
      <c r="AV703" s="101"/>
      <c r="AW703" s="7"/>
      <c r="AX703" s="8"/>
      <c r="AY703" s="36"/>
      <c r="AZ703" s="74"/>
      <c r="BA703" s="74"/>
      <c r="BB703" s="7"/>
      <c r="BC703" s="74"/>
      <c r="BD703" s="74"/>
      <c r="BE703" s="74"/>
      <c r="BF703" s="74"/>
      <c r="BG703" s="74"/>
      <c r="BH703" s="74"/>
      <c r="BI703" s="74"/>
      <c r="BJ703" s="74"/>
      <c r="BK703" s="7"/>
      <c r="BL703" s="74"/>
      <c r="BM703" s="7"/>
      <c r="BN703" s="74"/>
      <c r="BO703" s="74"/>
      <c r="BP703" s="74"/>
      <c r="BQ703" s="74"/>
      <c r="BR703" s="74"/>
      <c r="BS703" s="74"/>
      <c r="BT703" s="74"/>
      <c r="BU703" s="74"/>
      <c r="BV703" s="74"/>
      <c r="BW703" s="74"/>
      <c r="BX703" s="74"/>
      <c r="BY703" s="74"/>
      <c r="BZ703" s="74"/>
      <c r="CA703" s="74"/>
      <c r="CB703" s="7"/>
      <c r="CC703" s="74"/>
      <c r="CD703" s="74"/>
      <c r="CE703" s="7"/>
      <c r="CF703" s="74"/>
      <c r="CG703" s="7"/>
      <c r="CH703" s="7"/>
      <c r="CI703" s="74"/>
      <c r="CJ703" s="74"/>
      <c r="CK703" s="101"/>
      <c r="CL703" s="74"/>
      <c r="CM703" s="74"/>
      <c r="CN703" s="74"/>
      <c r="CO703" s="101"/>
      <c r="CP703" s="74"/>
      <c r="CQ703" s="74"/>
      <c r="CR703" s="74"/>
      <c r="CS703" s="74"/>
      <c r="CT703" s="74"/>
      <c r="CU703" s="74"/>
      <c r="CV703" s="74"/>
      <c r="CW703" s="74"/>
      <c r="CX703" s="74"/>
      <c r="CY703" s="74"/>
      <c r="CZ703" s="74"/>
      <c r="DA703" s="74"/>
      <c r="DB703" s="74"/>
      <c r="DC703" s="74"/>
      <c r="DD703" s="74"/>
      <c r="DE703" s="74"/>
      <c r="DF703" s="74"/>
      <c r="DG703" s="74"/>
      <c r="DH703" s="74"/>
      <c r="DI703" s="74"/>
      <c r="DJ703" s="74"/>
      <c r="DK703" s="74"/>
      <c r="DL703" s="74"/>
      <c r="DM703" s="74"/>
      <c r="DN703" s="103"/>
      <c r="DO703" s="74"/>
      <c r="DP703" s="74"/>
      <c r="DQ703" s="74"/>
      <c r="DR703" s="74"/>
      <c r="DS703" s="74"/>
      <c r="DT703" s="74"/>
      <c r="DU703" s="74"/>
      <c r="DV703" s="74"/>
      <c r="DW703" s="74"/>
      <c r="DX703" s="74"/>
      <c r="DY703" s="74"/>
      <c r="DZ703" s="8">
        <f t="shared" si="178"/>
        <v>0</v>
      </c>
      <c r="EA703" s="3">
        <f t="shared" si="179"/>
        <v>0</v>
      </c>
      <c r="EB703" s="2">
        <f t="shared" si="180"/>
        <v>0</v>
      </c>
      <c r="EC703" s="112">
        <f t="shared" si="189"/>
        <v>0</v>
      </c>
      <c r="ED703" s="29">
        <f t="shared" si="181"/>
        <v>0</v>
      </c>
      <c r="EE703" s="2">
        <f t="shared" si="182"/>
        <v>0</v>
      </c>
      <c r="EF703" s="46">
        <f t="shared" si="183"/>
        <v>0</v>
      </c>
      <c r="EG703" s="46">
        <f t="shared" si="184"/>
        <v>0</v>
      </c>
      <c r="EH703" s="29">
        <f t="shared" si="185"/>
        <v>0</v>
      </c>
      <c r="EI703" s="29">
        <f>IF(COUNT(I703:AD703)&lt;5,DZ703,SUMPRODUCT(LARGE(I703:AD703,{1,2,3,4,5}))/5)</f>
        <v>0</v>
      </c>
      <c r="EJ703" s="29">
        <f>IF(COUNT(I703:BE703)&lt;5,DZ703,SUMPRODUCT(LARGE(I703:BE703,{1,2,3,4,5}))/5)</f>
        <v>0</v>
      </c>
      <c r="EK703" s="29">
        <f t="shared" si="187"/>
        <v>0</v>
      </c>
      <c r="EL703" s="29">
        <f>(EK703*100)/101.59</f>
        <v>0</v>
      </c>
      <c r="EM703" s="116">
        <f t="shared" si="186"/>
        <v>0</v>
      </c>
      <c r="EN703" s="46"/>
      <c r="EQ703"/>
    </row>
    <row r="704" spans="1:147" x14ac:dyDescent="0.25">
      <c r="A704" s="59"/>
      <c r="B704" s="32"/>
      <c r="C704" s="5"/>
      <c r="D704" s="6"/>
      <c r="E704" s="6"/>
      <c r="F704" s="6"/>
      <c r="G704" s="5"/>
      <c r="H704" s="37"/>
      <c r="I704" s="107"/>
      <c r="J704" s="7"/>
      <c r="K704" s="74"/>
      <c r="L704" s="7"/>
      <c r="M704" s="74"/>
      <c r="N704" s="74"/>
      <c r="O704" s="7"/>
      <c r="P704" s="74"/>
      <c r="Q704" s="74"/>
      <c r="R704" s="74"/>
      <c r="S704" s="74"/>
      <c r="T704" s="7"/>
      <c r="U704" s="7"/>
      <c r="V704" s="74"/>
      <c r="W704" s="74"/>
      <c r="X704" s="74"/>
      <c r="Y704" s="227"/>
      <c r="Z704" s="228"/>
      <c r="AA704" s="74"/>
      <c r="AB704" s="74"/>
      <c r="AC704" s="74"/>
      <c r="AD704" s="74"/>
      <c r="AE704" s="7"/>
      <c r="AF704" s="74"/>
      <c r="AG704" s="74"/>
      <c r="AH704" s="7"/>
      <c r="AI704" s="7"/>
      <c r="AJ704" s="7"/>
      <c r="AK704" s="7"/>
      <c r="AL704" s="7"/>
      <c r="AM704" s="7"/>
      <c r="AN704" s="7"/>
      <c r="AO704" s="74"/>
      <c r="AP704" s="7"/>
      <c r="AQ704" s="74"/>
      <c r="AR704" s="101"/>
      <c r="AS704" s="7"/>
      <c r="AT704" s="101"/>
      <c r="AU704" s="7"/>
      <c r="AV704" s="101"/>
      <c r="AW704" s="7"/>
      <c r="AX704" s="183"/>
      <c r="AY704" s="107"/>
      <c r="AZ704" s="7"/>
      <c r="BA704" s="74"/>
      <c r="BB704" s="74"/>
      <c r="BC704" s="74"/>
      <c r="BD704" s="74"/>
      <c r="BE704" s="74"/>
      <c r="BF704" s="74"/>
      <c r="BG704" s="74"/>
      <c r="BH704" s="74"/>
      <c r="BI704" s="74"/>
      <c r="BJ704" s="74"/>
      <c r="BK704" s="7"/>
      <c r="BL704" s="74"/>
      <c r="BM704" s="7"/>
      <c r="BN704" s="74"/>
      <c r="BO704" s="74"/>
      <c r="BP704" s="74"/>
      <c r="BQ704" s="74"/>
      <c r="BR704" s="74"/>
      <c r="BS704" s="74"/>
      <c r="BT704" s="74"/>
      <c r="BU704" s="74"/>
      <c r="BV704" s="74"/>
      <c r="BW704" s="74"/>
      <c r="BX704" s="74"/>
      <c r="BY704" s="74"/>
      <c r="BZ704" s="74"/>
      <c r="CA704" s="74"/>
      <c r="CB704" s="74"/>
      <c r="CC704" s="74"/>
      <c r="CD704" s="74"/>
      <c r="CE704" s="7"/>
      <c r="CF704" s="74"/>
      <c r="CG704" s="74"/>
      <c r="CH704" s="7"/>
      <c r="CI704" s="74"/>
      <c r="CJ704" s="74"/>
      <c r="CK704" s="101"/>
      <c r="CL704" s="74"/>
      <c r="CM704" s="74"/>
      <c r="CN704" s="74"/>
      <c r="CO704" s="101"/>
      <c r="CP704" s="74"/>
      <c r="CQ704" s="74"/>
      <c r="CR704" s="74"/>
      <c r="CS704" s="74"/>
      <c r="CT704" s="74"/>
      <c r="CU704" s="74"/>
      <c r="CV704" s="74"/>
      <c r="CW704" s="74"/>
      <c r="CX704" s="74"/>
      <c r="CY704" s="74"/>
      <c r="CZ704" s="74"/>
      <c r="DA704" s="74"/>
      <c r="DB704" s="74"/>
      <c r="DC704" s="74"/>
      <c r="DD704" s="74"/>
      <c r="DE704" s="74"/>
      <c r="DF704" s="74"/>
      <c r="DG704" s="74"/>
      <c r="DH704" s="74"/>
      <c r="DI704" s="74"/>
      <c r="DJ704" s="74"/>
      <c r="DK704" s="74"/>
      <c r="DL704" s="74"/>
      <c r="DM704" s="74"/>
      <c r="DN704" s="74"/>
      <c r="DO704" s="74"/>
      <c r="DP704" s="74"/>
      <c r="DQ704" s="74"/>
      <c r="DR704" s="74"/>
      <c r="DS704" s="74"/>
      <c r="DT704" s="74"/>
      <c r="DU704" s="74"/>
      <c r="DV704" s="74"/>
      <c r="DW704" s="74"/>
      <c r="DX704" s="74"/>
      <c r="DY704" s="74"/>
      <c r="DZ704" s="8">
        <f t="shared" si="178"/>
        <v>0</v>
      </c>
      <c r="EA704" s="3">
        <f t="shared" si="179"/>
        <v>0</v>
      </c>
      <c r="EB704" s="2">
        <f t="shared" si="180"/>
        <v>0</v>
      </c>
      <c r="EC704" s="112">
        <f t="shared" si="189"/>
        <v>0</v>
      </c>
      <c r="ED704" s="29">
        <f t="shared" si="181"/>
        <v>0</v>
      </c>
      <c r="EE704" s="2">
        <f t="shared" si="182"/>
        <v>0</v>
      </c>
      <c r="EF704" s="46">
        <f t="shared" si="183"/>
        <v>0</v>
      </c>
      <c r="EG704" s="46">
        <f t="shared" si="184"/>
        <v>0</v>
      </c>
      <c r="EH704" s="2">
        <f t="shared" si="185"/>
        <v>0</v>
      </c>
      <c r="EI704" s="29">
        <f>IF(COUNT(I704:AD704)&lt;5,DZ704,SUMPRODUCT(LARGE(I704:AD704,{1,2,3,4,5}))/5)</f>
        <v>0</v>
      </c>
      <c r="EJ704" s="29">
        <f>IF(COUNT(I704:BE704)&lt;5,DZ704,SUMPRODUCT(LARGE(I704:BE704,{1,2,3,4,5}))/5)</f>
        <v>0</v>
      </c>
      <c r="EK704" s="29">
        <f t="shared" si="187"/>
        <v>0</v>
      </c>
      <c r="EL704" s="29">
        <f t="shared" ref="EL704:EL710" si="193">(EK704*100)/101.28</f>
        <v>0</v>
      </c>
      <c r="EM704" s="116">
        <f t="shared" si="186"/>
        <v>0</v>
      </c>
      <c r="EN704" s="46"/>
      <c r="EQ704"/>
    </row>
    <row r="705" spans="1:147" x14ac:dyDescent="0.25">
      <c r="A705" s="59"/>
      <c r="B705" s="32"/>
      <c r="C705" s="5"/>
      <c r="D705" s="6"/>
      <c r="E705" s="6"/>
      <c r="F705" s="6"/>
      <c r="G705" s="5"/>
      <c r="H705" s="99"/>
      <c r="I705" s="36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227"/>
      <c r="Z705" s="228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4"/>
      <c r="AP705" s="7"/>
      <c r="AQ705" s="74"/>
      <c r="AR705" s="70"/>
      <c r="AS705" s="7"/>
      <c r="AT705" s="70"/>
      <c r="AU705" s="7"/>
      <c r="AV705" s="70"/>
      <c r="AW705" s="7"/>
      <c r="AX705" s="183"/>
      <c r="AY705" s="10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4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101"/>
      <c r="CL705" s="74"/>
      <c r="CM705" s="7"/>
      <c r="CN705" s="74"/>
      <c r="CO705" s="70"/>
      <c r="CP705" s="74"/>
      <c r="CQ705" s="7"/>
      <c r="CR705" s="74"/>
      <c r="CS705" s="74"/>
      <c r="CT705" s="74"/>
      <c r="CU705" s="74"/>
      <c r="CV705" s="7"/>
      <c r="CW705" s="7"/>
      <c r="CX705" s="7"/>
      <c r="CY705" s="7"/>
      <c r="CZ705" s="7"/>
      <c r="DA705" s="7"/>
      <c r="DB705" s="7"/>
      <c r="DC705" s="7"/>
      <c r="DD705" s="7"/>
      <c r="DE705" s="74"/>
      <c r="DF705" s="74"/>
      <c r="DG705" s="74"/>
      <c r="DH705" s="7"/>
      <c r="DI705" s="74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8">
        <f t="shared" si="178"/>
        <v>0</v>
      </c>
      <c r="EA705" s="3">
        <f t="shared" si="179"/>
        <v>0</v>
      </c>
      <c r="EB705" s="2">
        <f t="shared" si="180"/>
        <v>0</v>
      </c>
      <c r="EC705" s="112">
        <f t="shared" si="189"/>
        <v>0</v>
      </c>
      <c r="ED705" s="29">
        <f t="shared" si="181"/>
        <v>0</v>
      </c>
      <c r="EE705" s="2">
        <f t="shared" si="182"/>
        <v>0</v>
      </c>
      <c r="EF705" s="46">
        <f t="shared" si="183"/>
        <v>0</v>
      </c>
      <c r="EG705" s="46">
        <f t="shared" si="184"/>
        <v>0</v>
      </c>
      <c r="EH705" s="2">
        <f t="shared" si="185"/>
        <v>0</v>
      </c>
      <c r="EI705" s="29">
        <f>IF(COUNT(I705:AD705)&lt;5,DZ705,SUMPRODUCT(LARGE(I705:AD705,{1,2,3,4,5}))/5)</f>
        <v>0</v>
      </c>
      <c r="EJ705" s="29">
        <f>IF(COUNT(I705:BE705)&lt;5,DZ705,SUMPRODUCT(LARGE(I705:BE705,{1,2,3,4,5}))/5)</f>
        <v>0</v>
      </c>
      <c r="EK705" s="29">
        <f t="shared" si="187"/>
        <v>0</v>
      </c>
      <c r="EL705" s="29">
        <f t="shared" si="193"/>
        <v>0</v>
      </c>
      <c r="EM705" s="116">
        <f t="shared" si="186"/>
        <v>0</v>
      </c>
      <c r="EN705" s="46"/>
      <c r="EQ705"/>
    </row>
    <row r="706" spans="1:147" x14ac:dyDescent="0.25">
      <c r="A706" s="59"/>
      <c r="B706" s="32"/>
      <c r="C706" s="5"/>
      <c r="D706" s="6"/>
      <c r="E706" s="6"/>
      <c r="F706" s="6"/>
      <c r="G706" s="5"/>
      <c r="H706" s="37"/>
      <c r="I706" s="36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227"/>
      <c r="Z706" s="228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4"/>
      <c r="AP706" s="7"/>
      <c r="AQ706" s="74"/>
      <c r="AR706" s="70"/>
      <c r="AS706" s="7"/>
      <c r="AT706" s="70"/>
      <c r="AU706" s="7"/>
      <c r="AV706" s="70"/>
      <c r="AW706" s="7"/>
      <c r="AX706" s="183"/>
      <c r="AY706" s="10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4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101"/>
      <c r="CL706" s="74"/>
      <c r="CM706" s="74"/>
      <c r="CN706" s="74"/>
      <c r="CO706" s="70"/>
      <c r="CP706" s="74"/>
      <c r="CQ706" s="7"/>
      <c r="CR706" s="74"/>
      <c r="CS706" s="74"/>
      <c r="CT706" s="74"/>
      <c r="CU706" s="74"/>
      <c r="CV706" s="7"/>
      <c r="CW706" s="7"/>
      <c r="CX706" s="7"/>
      <c r="CY706" s="7"/>
      <c r="CZ706" s="7"/>
      <c r="DA706" s="7"/>
      <c r="DB706" s="7"/>
      <c r="DC706" s="7"/>
      <c r="DD706" s="7"/>
      <c r="DE706" s="74"/>
      <c r="DF706" s="74"/>
      <c r="DG706" s="74"/>
      <c r="DH706" s="7"/>
      <c r="DI706" s="74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8">
        <f t="shared" si="178"/>
        <v>0</v>
      </c>
      <c r="EA706" s="3">
        <f t="shared" si="179"/>
        <v>0</v>
      </c>
      <c r="EB706" s="2">
        <f t="shared" si="180"/>
        <v>0</v>
      </c>
      <c r="EC706" s="112">
        <f t="shared" si="189"/>
        <v>0</v>
      </c>
      <c r="ED706" s="29">
        <f t="shared" si="181"/>
        <v>0</v>
      </c>
      <c r="EE706" s="2">
        <f t="shared" si="182"/>
        <v>0</v>
      </c>
      <c r="EF706" s="46">
        <f t="shared" si="183"/>
        <v>0</v>
      </c>
      <c r="EG706" s="46">
        <f t="shared" si="184"/>
        <v>0</v>
      </c>
      <c r="EH706" s="2">
        <f t="shared" si="185"/>
        <v>0</v>
      </c>
      <c r="EI706" s="29">
        <f>IF(COUNT(I706:AD706)&lt;5,DZ706,SUMPRODUCT(LARGE(I706:AD706,{1,2,3,4,5}))/5)</f>
        <v>0</v>
      </c>
      <c r="EJ706" s="29">
        <f>IF(COUNT(I706:BE706)&lt;5,DZ706,SUMPRODUCT(LARGE(I706:BE706,{1,2,3,4,5}))/5)</f>
        <v>0</v>
      </c>
      <c r="EK706" s="29">
        <f t="shared" si="187"/>
        <v>0</v>
      </c>
      <c r="EL706" s="29">
        <f t="shared" si="193"/>
        <v>0</v>
      </c>
      <c r="EM706" s="116">
        <f t="shared" si="186"/>
        <v>0</v>
      </c>
      <c r="EN706" s="46"/>
      <c r="EQ706"/>
    </row>
    <row r="707" spans="1:147" x14ac:dyDescent="0.25">
      <c r="A707" s="59"/>
      <c r="B707" s="32"/>
      <c r="C707" s="5"/>
      <c r="D707" s="6"/>
      <c r="E707" s="6"/>
      <c r="F707" s="6"/>
      <c r="G707" s="5"/>
      <c r="H707" s="37"/>
      <c r="I707" s="107"/>
      <c r="J707" s="7"/>
      <c r="K707" s="74"/>
      <c r="L707" s="7"/>
      <c r="M707" s="74"/>
      <c r="N707" s="74"/>
      <c r="O707" s="7"/>
      <c r="P707" s="74"/>
      <c r="Q707" s="7"/>
      <c r="R707" s="74"/>
      <c r="S707" s="74"/>
      <c r="T707" s="7"/>
      <c r="U707" s="7"/>
      <c r="V707" s="74"/>
      <c r="W707" s="74"/>
      <c r="X707" s="74"/>
      <c r="Y707" s="227"/>
      <c r="Z707" s="228"/>
      <c r="AA707" s="74"/>
      <c r="AB707" s="74"/>
      <c r="AC707" s="74"/>
      <c r="AD707" s="74"/>
      <c r="AE707" s="7"/>
      <c r="AF707" s="74"/>
      <c r="AG707" s="74"/>
      <c r="AH707" s="7"/>
      <c r="AI707" s="7"/>
      <c r="AJ707" s="7"/>
      <c r="AK707" s="7"/>
      <c r="AL707" s="7"/>
      <c r="AM707" s="7"/>
      <c r="AN707" s="7"/>
      <c r="AO707" s="74"/>
      <c r="AP707" s="7"/>
      <c r="AQ707" s="74"/>
      <c r="AR707" s="101"/>
      <c r="AS707" s="7"/>
      <c r="AT707" s="101"/>
      <c r="AU707" s="7"/>
      <c r="AV707" s="101"/>
      <c r="AW707" s="7"/>
      <c r="AX707" s="183"/>
      <c r="AY707" s="107"/>
      <c r="AZ707" s="74"/>
      <c r="BA707" s="74"/>
      <c r="BB707" s="74"/>
      <c r="BC707" s="74"/>
      <c r="BD707" s="74"/>
      <c r="BE707" s="74"/>
      <c r="BF707" s="74"/>
      <c r="BG707" s="74"/>
      <c r="BH707" s="74"/>
      <c r="BI707" s="74"/>
      <c r="BJ707" s="74"/>
      <c r="BK707" s="7"/>
      <c r="BL707" s="74"/>
      <c r="BM707" s="7"/>
      <c r="BN707" s="74"/>
      <c r="BO707" s="74"/>
      <c r="BP707" s="74"/>
      <c r="BQ707" s="74"/>
      <c r="BR707" s="74"/>
      <c r="BS707" s="74"/>
      <c r="BT707" s="74"/>
      <c r="BU707" s="74"/>
      <c r="BV707" s="74"/>
      <c r="BW707" s="74"/>
      <c r="BX707" s="74"/>
      <c r="BY707" s="74"/>
      <c r="BZ707" s="74"/>
      <c r="CA707" s="74"/>
      <c r="CB707" s="74"/>
      <c r="CC707" s="74"/>
      <c r="CD707" s="74"/>
      <c r="CE707" s="7"/>
      <c r="CF707" s="74"/>
      <c r="CG707" s="74"/>
      <c r="CH707" s="7"/>
      <c r="CI707" s="74"/>
      <c r="CJ707" s="74"/>
      <c r="CK707" s="101"/>
      <c r="CL707" s="74"/>
      <c r="CM707" s="74"/>
      <c r="CN707" s="74"/>
      <c r="CO707" s="101"/>
      <c r="CP707" s="74"/>
      <c r="CQ707" s="74"/>
      <c r="CR707" s="74"/>
      <c r="CS707" s="74"/>
      <c r="CT707" s="74"/>
      <c r="CU707" s="74"/>
      <c r="CV707" s="74"/>
      <c r="CW707" s="74"/>
      <c r="CX707" s="74"/>
      <c r="CY707" s="74"/>
      <c r="CZ707" s="74"/>
      <c r="DA707" s="74"/>
      <c r="DB707" s="74"/>
      <c r="DC707" s="74"/>
      <c r="DD707" s="74"/>
      <c r="DE707" s="74"/>
      <c r="DF707" s="74"/>
      <c r="DG707" s="74"/>
      <c r="DH707" s="74"/>
      <c r="DI707" s="74"/>
      <c r="DJ707" s="74"/>
      <c r="DK707" s="74"/>
      <c r="DL707" s="74"/>
      <c r="DM707" s="74"/>
      <c r="DN707" s="74"/>
      <c r="DO707" s="74"/>
      <c r="DP707" s="74"/>
      <c r="DQ707" s="74"/>
      <c r="DR707" s="74"/>
      <c r="DS707" s="74"/>
      <c r="DT707" s="74"/>
      <c r="DU707" s="74"/>
      <c r="DV707" s="74"/>
      <c r="DW707" s="74"/>
      <c r="DX707" s="74"/>
      <c r="DY707" s="74"/>
      <c r="DZ707" s="8">
        <f t="shared" si="178"/>
        <v>0</v>
      </c>
      <c r="EA707" s="3">
        <f t="shared" si="179"/>
        <v>0</v>
      </c>
      <c r="EB707" s="2">
        <f t="shared" si="180"/>
        <v>0</v>
      </c>
      <c r="EC707" s="112">
        <f t="shared" si="189"/>
        <v>0</v>
      </c>
      <c r="ED707" s="29">
        <f t="shared" si="181"/>
        <v>0</v>
      </c>
      <c r="EE707" s="2">
        <f t="shared" si="182"/>
        <v>0</v>
      </c>
      <c r="EF707" s="46">
        <f t="shared" si="183"/>
        <v>0</v>
      </c>
      <c r="EG707" s="46">
        <f t="shared" si="184"/>
        <v>0</v>
      </c>
      <c r="EH707" s="2">
        <f t="shared" si="185"/>
        <v>0</v>
      </c>
      <c r="EI707" s="29">
        <f>IF(COUNT(I707:AD707)&lt;5,DZ707,SUMPRODUCT(LARGE(I707:AD707,{1,2,3,4,5}))/5)</f>
        <v>0</v>
      </c>
      <c r="EJ707" s="29">
        <f>IF(COUNT(I707:BE707)&lt;5,DZ707,SUMPRODUCT(LARGE(I707:BE707,{1,2,3,4,5}))/5)</f>
        <v>0</v>
      </c>
      <c r="EK707" s="29">
        <f t="shared" si="187"/>
        <v>0</v>
      </c>
      <c r="EL707" s="29">
        <f t="shared" si="193"/>
        <v>0</v>
      </c>
      <c r="EM707" s="116">
        <f t="shared" si="186"/>
        <v>0</v>
      </c>
      <c r="EN707" s="46"/>
      <c r="EQ707"/>
    </row>
    <row r="708" spans="1:147" x14ac:dyDescent="0.25">
      <c r="A708" s="59"/>
      <c r="B708" s="32"/>
      <c r="C708" s="5"/>
      <c r="D708" s="6"/>
      <c r="E708" s="6"/>
      <c r="F708" s="6"/>
      <c r="G708" s="5"/>
      <c r="H708" s="99"/>
      <c r="I708" s="36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227"/>
      <c r="Z708" s="228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4"/>
      <c r="AP708" s="7"/>
      <c r="AQ708" s="74"/>
      <c r="AR708" s="70"/>
      <c r="AS708" s="7"/>
      <c r="AT708" s="70"/>
      <c r="AU708" s="7"/>
      <c r="AV708" s="70"/>
      <c r="AW708" s="7"/>
      <c r="AX708" s="8"/>
      <c r="AY708" s="36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4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101"/>
      <c r="CL708" s="74"/>
      <c r="CM708" s="74"/>
      <c r="CN708" s="74"/>
      <c r="CO708" s="70"/>
      <c r="CP708" s="74"/>
      <c r="CQ708" s="7"/>
      <c r="CR708" s="74"/>
      <c r="CS708" s="74"/>
      <c r="CT708" s="74"/>
      <c r="CU708" s="74"/>
      <c r="CV708" s="7"/>
      <c r="CW708" s="7"/>
      <c r="CX708" s="7"/>
      <c r="CY708" s="7"/>
      <c r="CZ708" s="7"/>
      <c r="DA708" s="7"/>
      <c r="DB708" s="7"/>
      <c r="DC708" s="7"/>
      <c r="DD708" s="7"/>
      <c r="DE708" s="74"/>
      <c r="DF708" s="74"/>
      <c r="DG708" s="74"/>
      <c r="DH708" s="74"/>
      <c r="DI708" s="74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8">
        <f t="shared" si="178"/>
        <v>0</v>
      </c>
      <c r="EA708" s="3">
        <f t="shared" si="179"/>
        <v>0</v>
      </c>
      <c r="EB708" s="2">
        <f t="shared" si="180"/>
        <v>0</v>
      </c>
      <c r="EC708" s="112">
        <f t="shared" si="189"/>
        <v>0</v>
      </c>
      <c r="ED708" s="29">
        <f t="shared" si="181"/>
        <v>0</v>
      </c>
      <c r="EE708" s="2">
        <f t="shared" si="182"/>
        <v>0</v>
      </c>
      <c r="EF708" s="46">
        <f t="shared" si="183"/>
        <v>0</v>
      </c>
      <c r="EG708" s="46">
        <f t="shared" si="184"/>
        <v>0</v>
      </c>
      <c r="EH708" s="29">
        <f t="shared" si="185"/>
        <v>0</v>
      </c>
      <c r="EI708" s="29">
        <f>IF(COUNT(I708:AD708)&lt;5,DZ708,SUMPRODUCT(LARGE(I708:AD708,{1,2,3,4,5}))/5)</f>
        <v>0</v>
      </c>
      <c r="EJ708" s="29">
        <f>IF(COUNT(I708:BE708)&lt;5,DZ708,SUMPRODUCT(LARGE(I708:BE708,{1,2,3,4,5}))/5)</f>
        <v>0</v>
      </c>
      <c r="EK708" s="29">
        <f t="shared" si="187"/>
        <v>0</v>
      </c>
      <c r="EL708" s="29">
        <f t="shared" si="193"/>
        <v>0</v>
      </c>
      <c r="EM708" s="116">
        <f t="shared" si="186"/>
        <v>0</v>
      </c>
      <c r="EN708" s="46"/>
      <c r="EQ708"/>
    </row>
    <row r="709" spans="1:147" x14ac:dyDescent="0.25">
      <c r="A709" s="59"/>
      <c r="B709" s="32"/>
      <c r="C709" s="5"/>
      <c r="D709" s="6"/>
      <c r="E709" s="6"/>
      <c r="F709" s="6"/>
      <c r="G709" s="5"/>
      <c r="H709" s="37"/>
      <c r="I709" s="107"/>
      <c r="J709" s="7"/>
      <c r="K709" s="74"/>
      <c r="L709" s="7"/>
      <c r="M709" s="74"/>
      <c r="N709" s="74"/>
      <c r="O709" s="7"/>
      <c r="P709" s="74"/>
      <c r="Q709" s="7"/>
      <c r="R709" s="74"/>
      <c r="S709" s="74"/>
      <c r="T709" s="7"/>
      <c r="U709" s="7"/>
      <c r="V709" s="74"/>
      <c r="W709" s="74"/>
      <c r="X709" s="74"/>
      <c r="Y709" s="227"/>
      <c r="Z709" s="228"/>
      <c r="AA709" s="74"/>
      <c r="AB709" s="74"/>
      <c r="AC709" s="74"/>
      <c r="AD709" s="74"/>
      <c r="AE709" s="7"/>
      <c r="AF709" s="74"/>
      <c r="AG709" s="74"/>
      <c r="AH709" s="7"/>
      <c r="AI709" s="7"/>
      <c r="AJ709" s="7"/>
      <c r="AK709" s="7"/>
      <c r="AL709" s="7"/>
      <c r="AM709" s="7"/>
      <c r="AN709" s="7"/>
      <c r="AO709" s="74"/>
      <c r="AP709" s="7"/>
      <c r="AQ709" s="74"/>
      <c r="AR709" s="101"/>
      <c r="AS709" s="7"/>
      <c r="AT709" s="101"/>
      <c r="AU709" s="7"/>
      <c r="AV709" s="101"/>
      <c r="AW709" s="7"/>
      <c r="AX709" s="8"/>
      <c r="AY709" s="36"/>
      <c r="AZ709" s="74"/>
      <c r="BA709" s="74"/>
      <c r="BB709" s="74"/>
      <c r="BC709" s="74"/>
      <c r="BD709" s="74"/>
      <c r="BE709" s="74"/>
      <c r="BF709" s="74"/>
      <c r="BG709" s="74"/>
      <c r="BH709" s="74"/>
      <c r="BI709" s="74"/>
      <c r="BJ709" s="74"/>
      <c r="BK709" s="7"/>
      <c r="BL709" s="74"/>
      <c r="BM709" s="7"/>
      <c r="BN709" s="74"/>
      <c r="BO709" s="74"/>
      <c r="BP709" s="74"/>
      <c r="BQ709" s="74"/>
      <c r="BR709" s="74"/>
      <c r="BS709" s="74"/>
      <c r="BT709" s="74"/>
      <c r="BU709" s="74"/>
      <c r="BV709" s="74"/>
      <c r="BW709" s="74"/>
      <c r="BX709" s="74"/>
      <c r="BY709" s="74"/>
      <c r="BZ709" s="74"/>
      <c r="CA709" s="74"/>
      <c r="CB709" s="74"/>
      <c r="CC709" s="74"/>
      <c r="CD709" s="74"/>
      <c r="CE709" s="7"/>
      <c r="CF709" s="74"/>
      <c r="CG709" s="74"/>
      <c r="CH709" s="7"/>
      <c r="CI709" s="74"/>
      <c r="CJ709" s="74"/>
      <c r="CK709" s="101"/>
      <c r="CL709" s="74"/>
      <c r="CM709" s="74"/>
      <c r="CN709" s="74"/>
      <c r="CO709" s="101"/>
      <c r="CP709" s="74"/>
      <c r="CQ709" s="74"/>
      <c r="CR709" s="74"/>
      <c r="CS709" s="74"/>
      <c r="CT709" s="74"/>
      <c r="CU709" s="74"/>
      <c r="CV709" s="74"/>
      <c r="CW709" s="74"/>
      <c r="CX709" s="74"/>
      <c r="CY709" s="74"/>
      <c r="CZ709" s="74"/>
      <c r="DA709" s="74"/>
      <c r="DB709" s="74"/>
      <c r="DC709" s="74"/>
      <c r="DD709" s="74"/>
      <c r="DE709" s="74"/>
      <c r="DF709" s="74"/>
      <c r="DG709" s="74"/>
      <c r="DH709" s="74"/>
      <c r="DI709" s="74"/>
      <c r="DJ709" s="74"/>
      <c r="DK709" s="74"/>
      <c r="DL709" s="74"/>
      <c r="DM709" s="74"/>
      <c r="DN709" s="74"/>
      <c r="DO709" s="74"/>
      <c r="DP709" s="74"/>
      <c r="DQ709" s="74"/>
      <c r="DR709" s="74"/>
      <c r="DS709" s="74"/>
      <c r="DT709" s="74"/>
      <c r="DU709" s="74"/>
      <c r="DV709" s="74"/>
      <c r="DW709" s="74"/>
      <c r="DX709" s="74"/>
      <c r="DY709" s="74"/>
      <c r="DZ709" s="8">
        <f t="shared" ref="DZ709:DZ772" si="194">IF(EB709&gt;0,AVERAGE(I709:DY709),H709)</f>
        <v>0</v>
      </c>
      <c r="EA709" s="3">
        <f t="shared" ref="EA709:EA772" si="195">B709</f>
        <v>0</v>
      </c>
      <c r="EB709" s="2">
        <f t="shared" ref="EB709:EB772" si="196">IF(G709&gt;0,1,0)</f>
        <v>0</v>
      </c>
      <c r="EC709" s="112">
        <f t="shared" si="189"/>
        <v>0</v>
      </c>
      <c r="ED709" s="29">
        <f t="shared" ref="ED709:ED772" si="197">EL709</f>
        <v>0</v>
      </c>
      <c r="EE709" s="2">
        <f t="shared" ref="EE709:EE772" si="198">COUNT(I709:AH709)</f>
        <v>0</v>
      </c>
      <c r="EF709" s="46">
        <f t="shared" ref="EF709:EF772" si="199">COUNT(I709:BQ709)</f>
        <v>0</v>
      </c>
      <c r="EG709" s="46">
        <f t="shared" ref="EG709:EG772" si="200">COUNT(I709:DY709)</f>
        <v>0</v>
      </c>
      <c r="EH709" s="2">
        <f t="shared" ref="EH709:EH772" si="201">D709</f>
        <v>0</v>
      </c>
      <c r="EI709" s="29">
        <f>IF(COUNT(I709:AD709)&lt;5,DZ709,SUMPRODUCT(LARGE(I709:AD709,{1,2,3,4,5}))/5)</f>
        <v>0</v>
      </c>
      <c r="EJ709" s="29">
        <f>IF(COUNT(I709:BE709)&lt;5,DZ709,SUMPRODUCT(LARGE(I709:BE709,{1,2,3,4,5}))/5)</f>
        <v>0</v>
      </c>
      <c r="EK709" s="29">
        <f t="shared" si="187"/>
        <v>0</v>
      </c>
      <c r="EL709" s="29">
        <f t="shared" si="193"/>
        <v>0</v>
      </c>
      <c r="EM709" s="116">
        <f t="shared" ref="EM709:EM772" si="202">B709</f>
        <v>0</v>
      </c>
      <c r="EN709" s="46"/>
      <c r="EQ709"/>
    </row>
    <row r="710" spans="1:147" x14ac:dyDescent="0.25">
      <c r="A710" s="59"/>
      <c r="B710" s="32"/>
      <c r="C710" s="5"/>
      <c r="D710" s="6"/>
      <c r="E710" s="6"/>
      <c r="F710" s="6"/>
      <c r="G710" s="5"/>
      <c r="H710" s="37"/>
      <c r="I710" s="107"/>
      <c r="J710" s="7"/>
      <c r="K710" s="74"/>
      <c r="L710" s="7"/>
      <c r="M710" s="74"/>
      <c r="N710" s="74"/>
      <c r="O710" s="7"/>
      <c r="P710" s="74"/>
      <c r="Q710" s="7"/>
      <c r="R710" s="74"/>
      <c r="S710" s="74"/>
      <c r="T710" s="7"/>
      <c r="U710" s="7"/>
      <c r="V710" s="74"/>
      <c r="W710" s="74"/>
      <c r="X710" s="74"/>
      <c r="Y710" s="227"/>
      <c r="Z710" s="228"/>
      <c r="AA710" s="74"/>
      <c r="AB710" s="74"/>
      <c r="AC710" s="74"/>
      <c r="AD710" s="74"/>
      <c r="AE710" s="7"/>
      <c r="AF710" s="74"/>
      <c r="AG710" s="74"/>
      <c r="AH710" s="7"/>
      <c r="AI710" s="7"/>
      <c r="AJ710" s="7"/>
      <c r="AK710" s="7"/>
      <c r="AL710" s="7"/>
      <c r="AM710" s="7"/>
      <c r="AN710" s="7"/>
      <c r="AO710" s="74"/>
      <c r="AP710" s="7"/>
      <c r="AQ710" s="74"/>
      <c r="AR710" s="101"/>
      <c r="AS710" s="7"/>
      <c r="AT710" s="101"/>
      <c r="AU710" s="7"/>
      <c r="AV710" s="101"/>
      <c r="AW710" s="7"/>
      <c r="AX710" s="183"/>
      <c r="AY710" s="107"/>
      <c r="AZ710" s="74"/>
      <c r="BA710" s="74"/>
      <c r="BB710" s="74"/>
      <c r="BC710" s="74"/>
      <c r="BD710" s="74"/>
      <c r="BE710" s="74"/>
      <c r="BF710" s="74"/>
      <c r="BG710" s="74"/>
      <c r="BH710" s="74"/>
      <c r="BI710" s="74"/>
      <c r="BJ710" s="74"/>
      <c r="BK710" s="7"/>
      <c r="BL710" s="74"/>
      <c r="BM710" s="7"/>
      <c r="BN710" s="74"/>
      <c r="BO710" s="74"/>
      <c r="BP710" s="74"/>
      <c r="BQ710" s="74"/>
      <c r="BR710" s="74"/>
      <c r="BS710" s="74"/>
      <c r="BT710" s="74"/>
      <c r="BU710" s="74"/>
      <c r="BV710" s="74"/>
      <c r="BW710" s="74"/>
      <c r="BX710" s="74"/>
      <c r="BY710" s="74"/>
      <c r="BZ710" s="74"/>
      <c r="CA710" s="74"/>
      <c r="CB710" s="74"/>
      <c r="CC710" s="74"/>
      <c r="CD710" s="74"/>
      <c r="CE710" s="7"/>
      <c r="CF710" s="74"/>
      <c r="CG710" s="74"/>
      <c r="CH710" s="7"/>
      <c r="CI710" s="74"/>
      <c r="CJ710" s="74"/>
      <c r="CK710" s="101"/>
      <c r="CL710" s="74"/>
      <c r="CM710" s="74"/>
      <c r="CN710" s="74"/>
      <c r="CO710" s="101"/>
      <c r="CP710" s="74"/>
      <c r="CQ710" s="74"/>
      <c r="CR710" s="74"/>
      <c r="CS710" s="74"/>
      <c r="CT710" s="74"/>
      <c r="CU710" s="74"/>
      <c r="CV710" s="74"/>
      <c r="CW710" s="74"/>
      <c r="CX710" s="74"/>
      <c r="CY710" s="74"/>
      <c r="CZ710" s="74"/>
      <c r="DA710" s="74"/>
      <c r="DB710" s="74"/>
      <c r="DC710" s="74"/>
      <c r="DD710" s="74"/>
      <c r="DE710" s="74"/>
      <c r="DF710" s="74"/>
      <c r="DG710" s="74"/>
      <c r="DH710" s="74"/>
      <c r="DI710" s="74"/>
      <c r="DJ710" s="74"/>
      <c r="DK710" s="74"/>
      <c r="DL710" s="74"/>
      <c r="DM710" s="74"/>
      <c r="DN710" s="74"/>
      <c r="DO710" s="74"/>
      <c r="DP710" s="74"/>
      <c r="DQ710" s="74"/>
      <c r="DR710" s="74"/>
      <c r="DS710" s="74"/>
      <c r="DT710" s="74"/>
      <c r="DU710" s="74"/>
      <c r="DV710" s="74"/>
      <c r="DW710" s="74"/>
      <c r="DX710" s="74"/>
      <c r="DY710" s="74"/>
      <c r="DZ710" s="8">
        <f t="shared" si="194"/>
        <v>0</v>
      </c>
      <c r="EA710" s="3">
        <f t="shared" si="195"/>
        <v>0</v>
      </c>
      <c r="EB710" s="2">
        <f t="shared" si="196"/>
        <v>0</v>
      </c>
      <c r="EC710" s="112">
        <f t="shared" si="189"/>
        <v>0</v>
      </c>
      <c r="ED710" s="29">
        <f t="shared" si="197"/>
        <v>0</v>
      </c>
      <c r="EE710" s="2">
        <f t="shared" si="198"/>
        <v>0</v>
      </c>
      <c r="EF710" s="46">
        <f t="shared" si="199"/>
        <v>0</v>
      </c>
      <c r="EG710" s="46">
        <f t="shared" si="200"/>
        <v>0</v>
      </c>
      <c r="EH710" s="29">
        <f t="shared" si="201"/>
        <v>0</v>
      </c>
      <c r="EI710" s="29">
        <f>IF(COUNT(I710:AD710)&lt;5,DZ710,SUMPRODUCT(LARGE(I710:AD710,{1,2,3,4,5}))/5)</f>
        <v>0</v>
      </c>
      <c r="EJ710" s="29">
        <f>IF(COUNT(I710:BE710)&lt;5,DZ710,SUMPRODUCT(LARGE(I710:BE710,{1,2,3,4,5}))/5)</f>
        <v>0</v>
      </c>
      <c r="EK710" s="29">
        <f t="shared" ref="EK710:EK773" si="203">IF(EG710&lt;0,AVERAGE(I710:DY710),0)</f>
        <v>0</v>
      </c>
      <c r="EL710" s="29">
        <f t="shared" si="193"/>
        <v>0</v>
      </c>
      <c r="EM710" s="116">
        <f t="shared" si="202"/>
        <v>0</v>
      </c>
      <c r="EN710" s="46"/>
      <c r="EQ710"/>
    </row>
    <row r="711" spans="1:147" x14ac:dyDescent="0.25">
      <c r="A711" s="59"/>
      <c r="B711" s="32"/>
      <c r="C711" s="5"/>
      <c r="D711" s="6"/>
      <c r="E711" s="6"/>
      <c r="F711" s="6"/>
      <c r="G711" s="5"/>
      <c r="H711" s="37"/>
      <c r="I711" s="36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227"/>
      <c r="Z711" s="228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4"/>
      <c r="AP711" s="7"/>
      <c r="AQ711" s="74"/>
      <c r="AR711" s="70"/>
      <c r="AS711" s="7"/>
      <c r="AT711" s="70"/>
      <c r="AU711" s="7"/>
      <c r="AV711" s="70"/>
      <c r="AW711" s="7"/>
      <c r="AX711" s="8"/>
      <c r="AY711" s="36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4"/>
      <c r="BO711" s="7"/>
      <c r="BP711" s="7"/>
      <c r="BQ711" s="7"/>
      <c r="BR711" s="74"/>
      <c r="BS711" s="7"/>
      <c r="BT711" s="74"/>
      <c r="BU711" s="7"/>
      <c r="BV711" s="7"/>
      <c r="BW711" s="74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101"/>
      <c r="CL711" s="74"/>
      <c r="CM711" s="74"/>
      <c r="CN711" s="74"/>
      <c r="CO711" s="101"/>
      <c r="CP711" s="74"/>
      <c r="CQ711" s="7"/>
      <c r="CR711" s="74"/>
      <c r="CS711" s="74"/>
      <c r="CT711" s="74"/>
      <c r="CU711" s="74"/>
      <c r="CV711" s="7"/>
      <c r="CW711" s="7"/>
      <c r="CX711" s="7"/>
      <c r="CY711" s="7"/>
      <c r="CZ711" s="7"/>
      <c r="DA711" s="7"/>
      <c r="DB711" s="7"/>
      <c r="DC711" s="7"/>
      <c r="DD711" s="7"/>
      <c r="DE711" s="74"/>
      <c r="DF711" s="74"/>
      <c r="DG711" s="74"/>
      <c r="DH711" s="7"/>
      <c r="DI711" s="74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8">
        <f t="shared" si="194"/>
        <v>0</v>
      </c>
      <c r="EA711" s="3">
        <f t="shared" si="195"/>
        <v>0</v>
      </c>
      <c r="EB711" s="2">
        <f t="shared" si="196"/>
        <v>0</v>
      </c>
      <c r="EC711" s="112">
        <f t="shared" si="189"/>
        <v>0</v>
      </c>
      <c r="ED711" s="29">
        <f t="shared" si="197"/>
        <v>0</v>
      </c>
      <c r="EE711" s="2">
        <f t="shared" si="198"/>
        <v>0</v>
      </c>
      <c r="EF711" s="46">
        <f t="shared" si="199"/>
        <v>0</v>
      </c>
      <c r="EG711" s="46">
        <f t="shared" si="200"/>
        <v>0</v>
      </c>
      <c r="EH711" s="2">
        <f t="shared" si="201"/>
        <v>0</v>
      </c>
      <c r="EI711" s="29">
        <f>IF(COUNT(I711:AD711)&lt;5,DZ711,SUMPRODUCT(LARGE(I711:AD711,{1,2,3,4,5}))/5)</f>
        <v>0</v>
      </c>
      <c r="EJ711" s="29">
        <f>IF(COUNT(I711:BE711)&lt;5,DZ711,SUMPRODUCT(LARGE(I711:BE711,{1,2,3,4,5}))/5)</f>
        <v>0</v>
      </c>
      <c r="EK711" s="29">
        <f t="shared" si="203"/>
        <v>0</v>
      </c>
      <c r="EL711" s="29">
        <f>(EK711*100)/101.59</f>
        <v>0</v>
      </c>
      <c r="EM711" s="116">
        <f t="shared" si="202"/>
        <v>0</v>
      </c>
      <c r="EN711" s="46"/>
      <c r="EQ711"/>
    </row>
    <row r="712" spans="1:147" x14ac:dyDescent="0.25">
      <c r="A712" s="59"/>
      <c r="B712" s="33"/>
      <c r="C712" s="5"/>
      <c r="D712" s="6"/>
      <c r="E712" s="6"/>
      <c r="F712" s="6"/>
      <c r="G712" s="5"/>
      <c r="H712" s="37"/>
      <c r="I712" s="107"/>
      <c r="J712" s="7"/>
      <c r="K712" s="74"/>
      <c r="L712" s="7"/>
      <c r="M712" s="74"/>
      <c r="N712" s="74"/>
      <c r="O712" s="7"/>
      <c r="P712" s="74"/>
      <c r="Q712" s="7"/>
      <c r="R712" s="74"/>
      <c r="S712" s="74"/>
      <c r="T712" s="7"/>
      <c r="U712" s="7"/>
      <c r="V712" s="74"/>
      <c r="W712" s="7"/>
      <c r="X712" s="74"/>
      <c r="Y712" s="227"/>
      <c r="Z712" s="228"/>
      <c r="AA712" s="74"/>
      <c r="AB712" s="74"/>
      <c r="AC712" s="74"/>
      <c r="AD712" s="74"/>
      <c r="AE712" s="7"/>
      <c r="AF712" s="74"/>
      <c r="AG712" s="74"/>
      <c r="AH712" s="7"/>
      <c r="AI712" s="7"/>
      <c r="AJ712" s="7"/>
      <c r="AK712" s="7"/>
      <c r="AL712" s="7"/>
      <c r="AM712" s="7"/>
      <c r="AN712" s="7"/>
      <c r="AO712" s="74"/>
      <c r="AP712" s="7"/>
      <c r="AQ712" s="74"/>
      <c r="AR712" s="101"/>
      <c r="AS712" s="7"/>
      <c r="AT712" s="101"/>
      <c r="AU712" s="7"/>
      <c r="AV712" s="101"/>
      <c r="AW712" s="7"/>
      <c r="AX712" s="183"/>
      <c r="AY712" s="107"/>
      <c r="AZ712" s="74"/>
      <c r="BA712" s="74"/>
      <c r="BB712" s="74"/>
      <c r="BC712" s="74"/>
      <c r="BD712" s="74"/>
      <c r="BE712" s="74"/>
      <c r="BF712" s="74"/>
      <c r="BG712" s="74"/>
      <c r="BH712" s="74"/>
      <c r="BI712" s="74"/>
      <c r="BJ712" s="74"/>
      <c r="BK712" s="7"/>
      <c r="BL712" s="74"/>
      <c r="BM712" s="7"/>
      <c r="BN712" s="74"/>
      <c r="BO712" s="74"/>
      <c r="BP712" s="74"/>
      <c r="BQ712" s="74"/>
      <c r="BR712" s="74"/>
      <c r="BS712" s="74"/>
      <c r="BT712" s="74"/>
      <c r="BU712" s="74"/>
      <c r="BV712" s="74"/>
      <c r="BW712" s="74"/>
      <c r="BX712" s="74"/>
      <c r="BY712" s="74"/>
      <c r="BZ712" s="74"/>
      <c r="CA712" s="74"/>
      <c r="CB712" s="74"/>
      <c r="CC712" s="74"/>
      <c r="CD712" s="74"/>
      <c r="CE712" s="7"/>
      <c r="CF712" s="74"/>
      <c r="CG712" s="74"/>
      <c r="CH712" s="7"/>
      <c r="CI712" s="74"/>
      <c r="CJ712" s="74"/>
      <c r="CK712" s="101"/>
      <c r="CL712" s="74"/>
      <c r="CM712" s="74"/>
      <c r="CN712" s="74"/>
      <c r="CO712" s="101"/>
      <c r="CP712" s="74"/>
      <c r="CQ712" s="74"/>
      <c r="CR712" s="74"/>
      <c r="CS712" s="74"/>
      <c r="CT712" s="74"/>
      <c r="CU712" s="74"/>
      <c r="CV712" s="74"/>
      <c r="CW712" s="74"/>
      <c r="CX712" s="74"/>
      <c r="CY712" s="74"/>
      <c r="CZ712" s="74"/>
      <c r="DA712" s="74"/>
      <c r="DB712" s="74"/>
      <c r="DC712" s="74"/>
      <c r="DD712" s="74"/>
      <c r="DE712" s="74"/>
      <c r="DF712" s="74"/>
      <c r="DG712" s="74"/>
      <c r="DH712" s="74"/>
      <c r="DI712" s="74"/>
      <c r="DJ712" s="7"/>
      <c r="DK712" s="74"/>
      <c r="DL712" s="7"/>
      <c r="DM712" s="74"/>
      <c r="DN712" s="74"/>
      <c r="DO712" s="74"/>
      <c r="DP712" s="74"/>
      <c r="DQ712" s="74"/>
      <c r="DR712" s="74"/>
      <c r="DS712" s="74"/>
      <c r="DT712" s="74"/>
      <c r="DU712" s="74"/>
      <c r="DV712" s="74"/>
      <c r="DW712" s="74"/>
      <c r="DX712" s="74"/>
      <c r="DY712" s="74"/>
      <c r="DZ712" s="8">
        <f t="shared" si="194"/>
        <v>0</v>
      </c>
      <c r="EA712" s="3">
        <f t="shared" si="195"/>
        <v>0</v>
      </c>
      <c r="EB712" s="2">
        <f t="shared" si="196"/>
        <v>0</v>
      </c>
      <c r="EC712" s="112">
        <f t="shared" si="189"/>
        <v>0</v>
      </c>
      <c r="ED712" s="29">
        <f t="shared" si="197"/>
        <v>0</v>
      </c>
      <c r="EE712" s="2">
        <f t="shared" si="198"/>
        <v>0</v>
      </c>
      <c r="EF712" s="46">
        <f t="shared" si="199"/>
        <v>0</v>
      </c>
      <c r="EG712" s="46">
        <f t="shared" si="200"/>
        <v>0</v>
      </c>
      <c r="EH712" s="29">
        <f t="shared" si="201"/>
        <v>0</v>
      </c>
      <c r="EI712" s="29">
        <f>IF(COUNT(I712:AD712)&lt;5,DZ712,SUMPRODUCT(LARGE(I712:AD712,{1,2,3,4,5}))/5)</f>
        <v>0</v>
      </c>
      <c r="EJ712" s="29">
        <f>IF(COUNT(I712:BE712)&lt;5,DZ712,SUMPRODUCT(LARGE(I712:BE712,{1,2,3,4,5}))/5)</f>
        <v>0</v>
      </c>
      <c r="EK712" s="29">
        <f t="shared" si="203"/>
        <v>0</v>
      </c>
      <c r="EL712" s="29">
        <f>(EK712*100)/101.28</f>
        <v>0</v>
      </c>
      <c r="EM712" s="116">
        <f t="shared" si="202"/>
        <v>0</v>
      </c>
      <c r="EN712" s="46"/>
      <c r="EQ712"/>
    </row>
    <row r="713" spans="1:147" x14ac:dyDescent="0.25">
      <c r="A713" s="59"/>
      <c r="B713" s="32"/>
      <c r="C713" s="5"/>
      <c r="D713" s="6"/>
      <c r="E713" s="6"/>
      <c r="F713" s="6"/>
      <c r="G713" s="5"/>
      <c r="H713" s="37"/>
      <c r="I713" s="36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227"/>
      <c r="Z713" s="228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4"/>
      <c r="AP713" s="7"/>
      <c r="AQ713" s="74"/>
      <c r="AR713" s="70"/>
      <c r="AS713" s="7"/>
      <c r="AT713" s="70"/>
      <c r="AU713" s="7"/>
      <c r="AV713" s="70"/>
      <c r="AW713" s="7"/>
      <c r="AX713" s="183"/>
      <c r="AY713" s="107"/>
      <c r="AZ713" s="7"/>
      <c r="BA713" s="7"/>
      <c r="BB713" s="7"/>
      <c r="BC713" s="74"/>
      <c r="BD713" s="7"/>
      <c r="BE713" s="74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101"/>
      <c r="CL713" s="74"/>
      <c r="CM713" s="74"/>
      <c r="CN713" s="74"/>
      <c r="CO713" s="70"/>
      <c r="CP713" s="74"/>
      <c r="CQ713" s="7"/>
      <c r="CR713" s="74"/>
      <c r="CS713" s="74"/>
      <c r="CT713" s="74"/>
      <c r="CU713" s="74"/>
      <c r="CV713" s="74"/>
      <c r="CW713" s="7"/>
      <c r="CX713" s="7"/>
      <c r="CY713" s="7"/>
      <c r="CZ713" s="7"/>
      <c r="DA713" s="7"/>
      <c r="DB713" s="7"/>
      <c r="DC713" s="7"/>
      <c r="DD713" s="7"/>
      <c r="DE713" s="74"/>
      <c r="DF713" s="74"/>
      <c r="DG713" s="74"/>
      <c r="DH713" s="74"/>
      <c r="DI713" s="74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4"/>
      <c r="DV713" s="7"/>
      <c r="DW713" s="7"/>
      <c r="DX713" s="7"/>
      <c r="DY713" s="7"/>
      <c r="DZ713" s="8">
        <f t="shared" si="194"/>
        <v>0</v>
      </c>
      <c r="EA713" s="3">
        <f t="shared" si="195"/>
        <v>0</v>
      </c>
      <c r="EB713" s="2">
        <f t="shared" si="196"/>
        <v>0</v>
      </c>
      <c r="EC713" s="112">
        <f t="shared" si="189"/>
        <v>0</v>
      </c>
      <c r="ED713" s="29">
        <f t="shared" si="197"/>
        <v>0</v>
      </c>
      <c r="EE713" s="2">
        <f t="shared" si="198"/>
        <v>0</v>
      </c>
      <c r="EF713" s="46">
        <f t="shared" si="199"/>
        <v>0</v>
      </c>
      <c r="EG713" s="46">
        <f t="shared" si="200"/>
        <v>0</v>
      </c>
      <c r="EH713" s="2">
        <f t="shared" si="201"/>
        <v>0</v>
      </c>
      <c r="EI713" s="29">
        <f>IF(COUNT(I713:AD713)&lt;5,DZ713,SUMPRODUCT(LARGE(I713:AD713,{1,2,3,4,5}))/5)</f>
        <v>0</v>
      </c>
      <c r="EJ713" s="29">
        <f>IF(COUNT(I713:BE713)&lt;5,DZ713,SUMPRODUCT(LARGE(I713:BE713,{1,2,3,4,5}))/5)</f>
        <v>0</v>
      </c>
      <c r="EK713" s="29">
        <f t="shared" si="203"/>
        <v>0</v>
      </c>
      <c r="EL713" s="29">
        <f>(EK713*100)/101.59</f>
        <v>0</v>
      </c>
      <c r="EM713" s="116">
        <f t="shared" si="202"/>
        <v>0</v>
      </c>
      <c r="EN713" s="46"/>
      <c r="EQ713"/>
    </row>
    <row r="714" spans="1:147" x14ac:dyDescent="0.25">
      <c r="A714" s="59"/>
      <c r="B714" s="32"/>
      <c r="C714" s="5"/>
      <c r="D714" s="6"/>
      <c r="E714" s="6"/>
      <c r="F714" s="6"/>
      <c r="G714" s="5"/>
      <c r="H714" s="37"/>
      <c r="I714" s="107"/>
      <c r="J714" s="7"/>
      <c r="K714" s="74"/>
      <c r="L714" s="7"/>
      <c r="M714" s="74"/>
      <c r="N714" s="74"/>
      <c r="O714" s="7"/>
      <c r="P714" s="74"/>
      <c r="Q714" s="7"/>
      <c r="R714" s="74"/>
      <c r="S714" s="74"/>
      <c r="T714" s="7"/>
      <c r="U714" s="7"/>
      <c r="V714" s="74"/>
      <c r="W714" s="74"/>
      <c r="X714" s="74"/>
      <c r="Y714" s="227"/>
      <c r="Z714" s="228"/>
      <c r="AA714" s="74"/>
      <c r="AB714" s="74"/>
      <c r="AC714" s="74"/>
      <c r="AD714" s="74"/>
      <c r="AE714" s="7"/>
      <c r="AF714" s="74"/>
      <c r="AG714" s="74"/>
      <c r="AH714" s="7"/>
      <c r="AI714" s="7"/>
      <c r="AJ714" s="7"/>
      <c r="AK714" s="7"/>
      <c r="AL714" s="7"/>
      <c r="AM714" s="7"/>
      <c r="AN714" s="7"/>
      <c r="AO714" s="74"/>
      <c r="AP714" s="7"/>
      <c r="AQ714" s="74"/>
      <c r="AR714" s="101"/>
      <c r="AS714" s="7"/>
      <c r="AT714" s="101"/>
      <c r="AU714" s="7"/>
      <c r="AV714" s="101"/>
      <c r="AW714" s="7"/>
      <c r="AX714" s="8"/>
      <c r="AY714" s="36"/>
      <c r="AZ714" s="74"/>
      <c r="BA714" s="74"/>
      <c r="BB714" s="74"/>
      <c r="BC714" s="74"/>
      <c r="BD714" s="74"/>
      <c r="BE714" s="74"/>
      <c r="BF714" s="74"/>
      <c r="BG714" s="74"/>
      <c r="BH714" s="74"/>
      <c r="BI714" s="74"/>
      <c r="BJ714" s="74"/>
      <c r="BK714" s="7"/>
      <c r="BL714" s="74"/>
      <c r="BM714" s="7"/>
      <c r="BN714" s="74"/>
      <c r="BO714" s="74"/>
      <c r="BP714" s="74"/>
      <c r="BQ714" s="74"/>
      <c r="BR714" s="74"/>
      <c r="BS714" s="74"/>
      <c r="BT714" s="74"/>
      <c r="BU714" s="74"/>
      <c r="BV714" s="74"/>
      <c r="BW714" s="74"/>
      <c r="BX714" s="74"/>
      <c r="BY714" s="74"/>
      <c r="BZ714" s="74"/>
      <c r="CA714" s="74"/>
      <c r="CB714" s="74"/>
      <c r="CC714" s="74"/>
      <c r="CD714" s="74"/>
      <c r="CE714" s="7"/>
      <c r="CF714" s="74"/>
      <c r="CG714" s="74"/>
      <c r="CH714" s="7"/>
      <c r="CI714" s="74"/>
      <c r="CJ714" s="74"/>
      <c r="CK714" s="101"/>
      <c r="CL714" s="74"/>
      <c r="CM714" s="74"/>
      <c r="CN714" s="74"/>
      <c r="CO714" s="101"/>
      <c r="CP714" s="74"/>
      <c r="CQ714" s="74"/>
      <c r="CR714" s="74"/>
      <c r="CS714" s="74"/>
      <c r="CT714" s="74"/>
      <c r="CU714" s="74"/>
      <c r="CV714" s="74"/>
      <c r="CW714" s="74"/>
      <c r="CX714" s="74"/>
      <c r="CY714" s="74"/>
      <c r="CZ714" s="74"/>
      <c r="DA714" s="74"/>
      <c r="DB714" s="74"/>
      <c r="DC714" s="74"/>
      <c r="DD714" s="74"/>
      <c r="DE714" s="74"/>
      <c r="DF714" s="74"/>
      <c r="DG714" s="74"/>
      <c r="DH714" s="74"/>
      <c r="DI714" s="74"/>
      <c r="DJ714" s="74"/>
      <c r="DK714" s="74"/>
      <c r="DL714" s="74"/>
      <c r="DM714" s="74"/>
      <c r="DN714" s="103"/>
      <c r="DO714" s="74"/>
      <c r="DP714" s="74"/>
      <c r="DQ714" s="74"/>
      <c r="DR714" s="74"/>
      <c r="DS714" s="74"/>
      <c r="DT714" s="74"/>
      <c r="DU714" s="74"/>
      <c r="DV714" s="74"/>
      <c r="DW714" s="74"/>
      <c r="DX714" s="74"/>
      <c r="DY714" s="74"/>
      <c r="DZ714" s="8">
        <f t="shared" si="194"/>
        <v>0</v>
      </c>
      <c r="EA714" s="3">
        <f t="shared" si="195"/>
        <v>0</v>
      </c>
      <c r="EB714" s="2">
        <f t="shared" si="196"/>
        <v>0</v>
      </c>
      <c r="EC714" s="112">
        <f t="shared" si="189"/>
        <v>0</v>
      </c>
      <c r="ED714" s="29">
        <f t="shared" si="197"/>
        <v>0</v>
      </c>
      <c r="EE714" s="2">
        <f t="shared" si="198"/>
        <v>0</v>
      </c>
      <c r="EF714" s="46">
        <f t="shared" si="199"/>
        <v>0</v>
      </c>
      <c r="EG714" s="46">
        <f t="shared" si="200"/>
        <v>0</v>
      </c>
      <c r="EH714" s="29">
        <f t="shared" si="201"/>
        <v>0</v>
      </c>
      <c r="EI714" s="29">
        <f>IF(COUNT(I714:AD714)&lt;5,DZ714,SUMPRODUCT(LARGE(I714:AD714,{1,2,3,4,5}))/5)</f>
        <v>0</v>
      </c>
      <c r="EJ714" s="29">
        <f>IF(COUNT(I714:BE714)&lt;5,DZ714,SUMPRODUCT(LARGE(I714:BE714,{1,2,3,4,5}))/5)</f>
        <v>0</v>
      </c>
      <c r="EK714" s="29">
        <f t="shared" si="203"/>
        <v>0</v>
      </c>
      <c r="EL714" s="29">
        <f>(EK714*100)/101.28</f>
        <v>0</v>
      </c>
      <c r="EM714" s="116">
        <f t="shared" si="202"/>
        <v>0</v>
      </c>
      <c r="EN714" s="46"/>
      <c r="EQ714"/>
    </row>
    <row r="715" spans="1:147" x14ac:dyDescent="0.25">
      <c r="A715" s="59"/>
      <c r="B715" s="32"/>
      <c r="C715" s="5"/>
      <c r="D715" s="6"/>
      <c r="E715" s="6"/>
      <c r="F715" s="6"/>
      <c r="G715" s="5"/>
      <c r="H715" s="37"/>
      <c r="I715" s="36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227"/>
      <c r="Z715" s="228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4"/>
      <c r="AP715" s="7"/>
      <c r="AQ715" s="74"/>
      <c r="AR715" s="70"/>
      <c r="AS715" s="7"/>
      <c r="AT715" s="70"/>
      <c r="AU715" s="7"/>
      <c r="AV715" s="70"/>
      <c r="AW715" s="7"/>
      <c r="AX715" s="183"/>
      <c r="AY715" s="10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4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4"/>
      <c r="CG715" s="7"/>
      <c r="CH715" s="7"/>
      <c r="CI715" s="7"/>
      <c r="CJ715" s="7"/>
      <c r="CK715" s="101"/>
      <c r="CL715" s="74"/>
      <c r="CM715" s="74"/>
      <c r="CN715" s="74"/>
      <c r="CO715" s="70"/>
      <c r="CP715" s="74"/>
      <c r="CQ715" s="7"/>
      <c r="CR715" s="74"/>
      <c r="CS715" s="74"/>
      <c r="CT715" s="74"/>
      <c r="CU715" s="74"/>
      <c r="CV715" s="7"/>
      <c r="CW715" s="7"/>
      <c r="CX715" s="7"/>
      <c r="CY715" s="7"/>
      <c r="CZ715" s="7"/>
      <c r="DA715" s="7"/>
      <c r="DB715" s="7"/>
      <c r="DC715" s="7"/>
      <c r="DD715" s="7"/>
      <c r="DE715" s="74"/>
      <c r="DF715" s="74"/>
      <c r="DG715" s="74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8">
        <f t="shared" si="194"/>
        <v>0</v>
      </c>
      <c r="EA715" s="3">
        <f t="shared" si="195"/>
        <v>0</v>
      </c>
      <c r="EB715" s="2">
        <f t="shared" si="196"/>
        <v>0</v>
      </c>
      <c r="EC715" s="112">
        <f t="shared" si="189"/>
        <v>0</v>
      </c>
      <c r="ED715" s="29">
        <f t="shared" si="197"/>
        <v>0</v>
      </c>
      <c r="EE715" s="2">
        <f t="shared" si="198"/>
        <v>0</v>
      </c>
      <c r="EF715" s="46">
        <f t="shared" si="199"/>
        <v>0</v>
      </c>
      <c r="EG715" s="46">
        <f t="shared" si="200"/>
        <v>0</v>
      </c>
      <c r="EH715" s="2">
        <f t="shared" si="201"/>
        <v>0</v>
      </c>
      <c r="EI715" s="29">
        <f>IF(COUNT(I715:AD715)&lt;5,DZ715,SUMPRODUCT(LARGE(I715:AD715,{1,2,3,4,5}))/5)</f>
        <v>0</v>
      </c>
      <c r="EJ715" s="29">
        <f>IF(COUNT(I715:BE715)&lt;5,DZ715,SUMPRODUCT(LARGE(I715:BE715,{1,2,3,4,5}))/5)</f>
        <v>0</v>
      </c>
      <c r="EK715" s="29">
        <f t="shared" si="203"/>
        <v>0</v>
      </c>
      <c r="EL715" s="29">
        <f>(EK715*100)/101.59</f>
        <v>0</v>
      </c>
      <c r="EM715" s="116">
        <f t="shared" si="202"/>
        <v>0</v>
      </c>
      <c r="EN715" s="46"/>
      <c r="EQ715"/>
    </row>
    <row r="716" spans="1:147" x14ac:dyDescent="0.25">
      <c r="A716" s="59"/>
      <c r="B716" s="4"/>
      <c r="C716" s="5"/>
      <c r="D716" s="5"/>
      <c r="E716" s="6"/>
      <c r="F716" s="6"/>
      <c r="G716" s="5"/>
      <c r="H716" s="99"/>
      <c r="I716" s="107"/>
      <c r="J716" s="7"/>
      <c r="K716" s="74"/>
      <c r="L716" s="7"/>
      <c r="M716" s="74"/>
      <c r="N716" s="74"/>
      <c r="O716" s="7"/>
      <c r="P716" s="74"/>
      <c r="Q716" s="7"/>
      <c r="R716" s="74"/>
      <c r="S716" s="74"/>
      <c r="T716" s="7"/>
      <c r="U716" s="7"/>
      <c r="V716" s="74"/>
      <c r="W716" s="74"/>
      <c r="X716" s="74"/>
      <c r="Y716" s="227"/>
      <c r="Z716" s="228"/>
      <c r="AA716" s="74"/>
      <c r="AB716" s="74"/>
      <c r="AC716" s="74"/>
      <c r="AD716" s="74"/>
      <c r="AE716" s="7"/>
      <c r="AF716" s="74"/>
      <c r="AG716" s="74"/>
      <c r="AH716" s="7"/>
      <c r="AI716" s="7"/>
      <c r="AJ716" s="7"/>
      <c r="AK716" s="7"/>
      <c r="AL716" s="7"/>
      <c r="AM716" s="7"/>
      <c r="AN716" s="7"/>
      <c r="AO716" s="74"/>
      <c r="AP716" s="7"/>
      <c r="AQ716" s="74"/>
      <c r="AR716" s="101"/>
      <c r="AS716" s="7"/>
      <c r="AT716" s="101"/>
      <c r="AU716" s="7"/>
      <c r="AV716" s="101"/>
      <c r="AW716" s="7"/>
      <c r="AX716" s="8"/>
      <c r="AY716" s="36"/>
      <c r="AZ716" s="74"/>
      <c r="BA716" s="74"/>
      <c r="BB716" s="74"/>
      <c r="BC716" s="74"/>
      <c r="BD716" s="74"/>
      <c r="BE716" s="74"/>
      <c r="BF716" s="74"/>
      <c r="BG716" s="74"/>
      <c r="BH716" s="74"/>
      <c r="BI716" s="74"/>
      <c r="BJ716" s="74"/>
      <c r="BK716" s="7"/>
      <c r="BL716" s="74"/>
      <c r="BM716" s="7"/>
      <c r="BN716" s="74"/>
      <c r="BO716" s="74"/>
      <c r="BP716" s="74"/>
      <c r="BQ716" s="74"/>
      <c r="BR716" s="74"/>
      <c r="BS716" s="74"/>
      <c r="BT716" s="74"/>
      <c r="BU716" s="74"/>
      <c r="BV716" s="74"/>
      <c r="BW716" s="74"/>
      <c r="BX716" s="74"/>
      <c r="BY716" s="74"/>
      <c r="BZ716" s="74"/>
      <c r="CA716" s="74"/>
      <c r="CB716" s="74"/>
      <c r="CC716" s="74"/>
      <c r="CD716" s="74"/>
      <c r="CE716" s="7"/>
      <c r="CF716" s="74"/>
      <c r="CG716" s="74"/>
      <c r="CH716" s="7"/>
      <c r="CI716" s="74"/>
      <c r="CJ716" s="74"/>
      <c r="CK716" s="101"/>
      <c r="CL716" s="74"/>
      <c r="CM716" s="74"/>
      <c r="CN716" s="74"/>
      <c r="CO716" s="101"/>
      <c r="CP716" s="74"/>
      <c r="CQ716" s="74"/>
      <c r="CR716" s="74"/>
      <c r="CS716" s="74"/>
      <c r="CT716" s="74"/>
      <c r="CU716" s="74"/>
      <c r="CV716" s="74"/>
      <c r="CW716" s="74"/>
      <c r="CX716" s="74"/>
      <c r="CY716" s="74"/>
      <c r="CZ716" s="74"/>
      <c r="DA716" s="74"/>
      <c r="DB716" s="74"/>
      <c r="DC716" s="74"/>
      <c r="DD716" s="74"/>
      <c r="DE716" s="74"/>
      <c r="DF716" s="74"/>
      <c r="DG716" s="74"/>
      <c r="DH716" s="74"/>
      <c r="DI716" s="74"/>
      <c r="DJ716" s="74"/>
      <c r="DK716" s="74"/>
      <c r="DL716" s="74"/>
      <c r="DM716" s="74"/>
      <c r="DN716" s="74"/>
      <c r="DO716" s="74"/>
      <c r="DP716" s="74"/>
      <c r="DQ716" s="74"/>
      <c r="DR716" s="74"/>
      <c r="DS716" s="74"/>
      <c r="DT716" s="74"/>
      <c r="DU716" s="74"/>
      <c r="DV716" s="74"/>
      <c r="DW716" s="74"/>
      <c r="DX716" s="74"/>
      <c r="DY716" s="74"/>
      <c r="DZ716" s="8">
        <f t="shared" si="194"/>
        <v>0</v>
      </c>
      <c r="EA716" s="3">
        <f t="shared" si="195"/>
        <v>0</v>
      </c>
      <c r="EB716" s="2">
        <f t="shared" si="196"/>
        <v>0</v>
      </c>
      <c r="EC716" s="112">
        <f t="shared" si="189"/>
        <v>0</v>
      </c>
      <c r="ED716" s="29">
        <f t="shared" si="197"/>
        <v>0</v>
      </c>
      <c r="EE716" s="2">
        <f t="shared" si="198"/>
        <v>0</v>
      </c>
      <c r="EF716" s="46">
        <f t="shared" si="199"/>
        <v>0</v>
      </c>
      <c r="EG716" s="46">
        <f t="shared" si="200"/>
        <v>0</v>
      </c>
      <c r="EH716" s="2">
        <f t="shared" si="201"/>
        <v>0</v>
      </c>
      <c r="EI716" s="29">
        <f>IF(COUNT(I716:AD716)&lt;5,DZ716,SUMPRODUCT(LARGE(I716:AD716,{1,2,3,4,5}))/5)</f>
        <v>0</v>
      </c>
      <c r="EJ716" s="29">
        <f>IF(COUNT(I716:BE716)&lt;5,DZ716,SUMPRODUCT(LARGE(I716:BE716,{1,2,3,4,5}))/5)</f>
        <v>0</v>
      </c>
      <c r="EK716" s="29">
        <f t="shared" si="203"/>
        <v>0</v>
      </c>
      <c r="EL716" s="29">
        <f>(EK716*100)/101.28</f>
        <v>0</v>
      </c>
      <c r="EM716" s="116">
        <f t="shared" si="202"/>
        <v>0</v>
      </c>
      <c r="EN716" s="46"/>
      <c r="EQ716"/>
    </row>
    <row r="717" spans="1:147" x14ac:dyDescent="0.25">
      <c r="A717" s="59"/>
      <c r="B717" s="32"/>
      <c r="C717" s="5"/>
      <c r="D717" s="6"/>
      <c r="E717" s="6"/>
      <c r="F717" s="6"/>
      <c r="G717" s="5"/>
      <c r="H717" s="37"/>
      <c r="I717" s="36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227"/>
      <c r="Z717" s="228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4"/>
      <c r="AP717" s="7"/>
      <c r="AQ717" s="74"/>
      <c r="AR717" s="70"/>
      <c r="AS717" s="7"/>
      <c r="AT717" s="70"/>
      <c r="AU717" s="7"/>
      <c r="AV717" s="70"/>
      <c r="AW717" s="7"/>
      <c r="AX717" s="183"/>
      <c r="AY717" s="10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4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101"/>
      <c r="CL717" s="74"/>
      <c r="CM717" s="74"/>
      <c r="CN717" s="74"/>
      <c r="CO717" s="70"/>
      <c r="CP717" s="74"/>
      <c r="CQ717" s="7"/>
      <c r="CR717" s="74"/>
      <c r="CS717" s="74"/>
      <c r="CT717" s="74"/>
      <c r="CU717" s="74"/>
      <c r="CV717" s="7"/>
      <c r="CW717" s="7"/>
      <c r="CX717" s="7"/>
      <c r="CY717" s="7"/>
      <c r="CZ717" s="7"/>
      <c r="DA717" s="7"/>
      <c r="DB717" s="7"/>
      <c r="DC717" s="7"/>
      <c r="DD717" s="7"/>
      <c r="DE717" s="74"/>
      <c r="DF717" s="74"/>
      <c r="DG717" s="74"/>
      <c r="DH717" s="7"/>
      <c r="DI717" s="74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8">
        <f t="shared" si="194"/>
        <v>0</v>
      </c>
      <c r="EA717" s="3">
        <f t="shared" si="195"/>
        <v>0</v>
      </c>
      <c r="EB717" s="2">
        <f t="shared" si="196"/>
        <v>0</v>
      </c>
      <c r="EC717" s="112">
        <f t="shared" si="189"/>
        <v>0</v>
      </c>
      <c r="ED717" s="29">
        <f t="shared" si="197"/>
        <v>0</v>
      </c>
      <c r="EE717" s="2">
        <f t="shared" si="198"/>
        <v>0</v>
      </c>
      <c r="EF717" s="46">
        <f t="shared" si="199"/>
        <v>0</v>
      </c>
      <c r="EG717" s="46">
        <f t="shared" si="200"/>
        <v>0</v>
      </c>
      <c r="EH717" s="2">
        <f t="shared" si="201"/>
        <v>0</v>
      </c>
      <c r="EI717" s="29">
        <f>IF(COUNT(I717:AD717)&lt;5,DZ717,SUMPRODUCT(LARGE(I717:AD717,{1,2,3,4,5}))/5)</f>
        <v>0</v>
      </c>
      <c r="EJ717" s="29">
        <f>IF(COUNT(I717:BE717)&lt;5,DZ717,SUMPRODUCT(LARGE(I717:BE717,{1,2,3,4,5}))/5)</f>
        <v>0</v>
      </c>
      <c r="EK717" s="29">
        <f t="shared" si="203"/>
        <v>0</v>
      </c>
      <c r="EL717" s="29">
        <f>(EK717*100)/101.28</f>
        <v>0</v>
      </c>
      <c r="EM717" s="116">
        <f t="shared" si="202"/>
        <v>0</v>
      </c>
      <c r="EN717" s="46"/>
      <c r="EQ717"/>
    </row>
    <row r="718" spans="1:147" x14ac:dyDescent="0.25">
      <c r="A718" s="59"/>
      <c r="B718" s="32"/>
      <c r="C718" s="5"/>
      <c r="D718" s="6"/>
      <c r="E718" s="6"/>
      <c r="F718" s="6"/>
      <c r="G718" s="5"/>
      <c r="H718" s="37"/>
      <c r="I718" s="36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227"/>
      <c r="Z718" s="228"/>
      <c r="AA718" s="7"/>
      <c r="AB718" s="7"/>
      <c r="AC718" s="7"/>
      <c r="AD718" s="74"/>
      <c r="AE718" s="74"/>
      <c r="AF718" s="7"/>
      <c r="AG718" s="7"/>
      <c r="AH718" s="7"/>
      <c r="AI718" s="7"/>
      <c r="AJ718" s="7"/>
      <c r="AK718" s="7"/>
      <c r="AL718" s="7"/>
      <c r="AM718" s="7"/>
      <c r="AN718" s="7"/>
      <c r="AO718" s="74"/>
      <c r="AP718" s="7"/>
      <c r="AQ718" s="74"/>
      <c r="AR718" s="70"/>
      <c r="AS718" s="7"/>
      <c r="AT718" s="70"/>
      <c r="AU718" s="7"/>
      <c r="AV718" s="70"/>
      <c r="AW718" s="7"/>
      <c r="AX718" s="8"/>
      <c r="AY718" s="36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4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4"/>
      <c r="CI718" s="7"/>
      <c r="CJ718" s="7"/>
      <c r="CK718" s="101"/>
      <c r="CL718" s="74"/>
      <c r="CM718" s="74"/>
      <c r="CN718" s="74"/>
      <c r="CO718" s="70"/>
      <c r="CP718" s="74"/>
      <c r="CQ718" s="74"/>
      <c r="CR718" s="74"/>
      <c r="CS718" s="74"/>
      <c r="CT718" s="74"/>
      <c r="CU718" s="74"/>
      <c r="CV718" s="7"/>
      <c r="CW718" s="7"/>
      <c r="CX718" s="7"/>
      <c r="CY718" s="7"/>
      <c r="CZ718" s="7"/>
      <c r="DA718" s="7"/>
      <c r="DB718" s="7"/>
      <c r="DC718" s="7"/>
      <c r="DD718" s="7"/>
      <c r="DE718" s="74"/>
      <c r="DF718" s="74"/>
      <c r="DG718" s="74"/>
      <c r="DH718" s="7"/>
      <c r="DI718" s="74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8">
        <f t="shared" si="194"/>
        <v>0</v>
      </c>
      <c r="EA718" s="3">
        <f t="shared" si="195"/>
        <v>0</v>
      </c>
      <c r="EB718" s="2">
        <f t="shared" si="196"/>
        <v>0</v>
      </c>
      <c r="EC718" s="112">
        <f t="shared" ref="EC718:EC781" si="204">H718</f>
        <v>0</v>
      </c>
      <c r="ED718" s="29">
        <f t="shared" si="197"/>
        <v>0</v>
      </c>
      <c r="EE718" s="2">
        <f t="shared" si="198"/>
        <v>0</v>
      </c>
      <c r="EF718" s="46">
        <f t="shared" si="199"/>
        <v>0</v>
      </c>
      <c r="EG718" s="46">
        <f t="shared" si="200"/>
        <v>0</v>
      </c>
      <c r="EH718" s="2">
        <f t="shared" si="201"/>
        <v>0</v>
      </c>
      <c r="EI718" s="29">
        <f>IF(COUNT(I718:AD718)&lt;5,DZ718,SUMPRODUCT(LARGE(I718:AD718,{1,2,3,4,5}))/5)</f>
        <v>0</v>
      </c>
      <c r="EJ718" s="29">
        <f>IF(COUNT(I718:BE718)&lt;5,DZ718,SUMPRODUCT(LARGE(I718:BE718,{1,2,3,4,5}))/5)</f>
        <v>0</v>
      </c>
      <c r="EK718" s="29">
        <f t="shared" si="203"/>
        <v>0</v>
      </c>
      <c r="EL718" s="29">
        <f>(EK718*100)/101.59</f>
        <v>0</v>
      </c>
      <c r="EM718" s="116">
        <f t="shared" si="202"/>
        <v>0</v>
      </c>
      <c r="EN718" s="46"/>
      <c r="EQ718"/>
    </row>
    <row r="719" spans="1:147" x14ac:dyDescent="0.25">
      <c r="A719" s="59"/>
      <c r="B719" s="32"/>
      <c r="C719" s="5"/>
      <c r="D719" s="6"/>
      <c r="E719" s="6"/>
      <c r="F719" s="6"/>
      <c r="G719" s="5"/>
      <c r="H719" s="99"/>
      <c r="I719" s="36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227"/>
      <c r="Z719" s="228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4"/>
      <c r="AP719" s="7"/>
      <c r="AQ719" s="74"/>
      <c r="AR719" s="70"/>
      <c r="AS719" s="7"/>
      <c r="AT719" s="70"/>
      <c r="AU719" s="7"/>
      <c r="AV719" s="70"/>
      <c r="AW719" s="7"/>
      <c r="AX719" s="183"/>
      <c r="AY719" s="10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4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101"/>
      <c r="CL719" s="74"/>
      <c r="CM719" s="74"/>
      <c r="CN719" s="74"/>
      <c r="CO719" s="70"/>
      <c r="CP719" s="74"/>
      <c r="CQ719" s="7"/>
      <c r="CR719" s="74"/>
      <c r="CS719" s="74"/>
      <c r="CT719" s="74"/>
      <c r="CU719" s="74"/>
      <c r="CV719" s="7"/>
      <c r="CW719" s="7"/>
      <c r="CX719" s="7"/>
      <c r="CY719" s="7"/>
      <c r="CZ719" s="7"/>
      <c r="DA719" s="7"/>
      <c r="DB719" s="7"/>
      <c r="DC719" s="7"/>
      <c r="DD719" s="7"/>
      <c r="DE719" s="74"/>
      <c r="DF719" s="74"/>
      <c r="DG719" s="74"/>
      <c r="DH719" s="7"/>
      <c r="DI719" s="74"/>
      <c r="DJ719" s="7"/>
      <c r="DK719" s="7"/>
      <c r="DL719" s="7"/>
      <c r="DM719" s="7"/>
      <c r="DN719" s="7"/>
      <c r="DO719" s="7"/>
      <c r="DP719" s="7"/>
      <c r="DQ719" s="7"/>
      <c r="DR719" s="74"/>
      <c r="DS719" s="7"/>
      <c r="DT719" s="7"/>
      <c r="DU719" s="74"/>
      <c r="DV719" s="7"/>
      <c r="DW719" s="7"/>
      <c r="DX719" s="7"/>
      <c r="DY719" s="7"/>
      <c r="DZ719" s="8">
        <f t="shared" si="194"/>
        <v>0</v>
      </c>
      <c r="EA719" s="3">
        <f t="shared" si="195"/>
        <v>0</v>
      </c>
      <c r="EB719" s="2">
        <f t="shared" si="196"/>
        <v>0</v>
      </c>
      <c r="EC719" s="112">
        <f t="shared" si="204"/>
        <v>0</v>
      </c>
      <c r="ED719" s="29">
        <f t="shared" si="197"/>
        <v>0</v>
      </c>
      <c r="EE719" s="2">
        <f t="shared" si="198"/>
        <v>0</v>
      </c>
      <c r="EF719" s="46">
        <f t="shared" si="199"/>
        <v>0</v>
      </c>
      <c r="EG719" s="46">
        <f t="shared" si="200"/>
        <v>0</v>
      </c>
      <c r="EH719" s="2">
        <f t="shared" si="201"/>
        <v>0</v>
      </c>
      <c r="EI719" s="29">
        <f>IF(COUNT(I719:AD719)&lt;5,DZ719,SUMPRODUCT(LARGE(I719:AD719,{1,2,3,4,5}))/5)</f>
        <v>0</v>
      </c>
      <c r="EJ719" s="29">
        <f>IF(COUNT(I719:BE719)&lt;5,DZ719,SUMPRODUCT(LARGE(I719:BE719,{1,2,3,4,5}))/5)</f>
        <v>0</v>
      </c>
      <c r="EK719" s="29">
        <f t="shared" si="203"/>
        <v>0</v>
      </c>
      <c r="EL719" s="29">
        <f>(EK719*100)/101.59</f>
        <v>0</v>
      </c>
      <c r="EM719" s="116">
        <f t="shared" si="202"/>
        <v>0</v>
      </c>
      <c r="EN719" s="46"/>
      <c r="EQ719"/>
    </row>
    <row r="720" spans="1:147" x14ac:dyDescent="0.25">
      <c r="A720" s="59"/>
      <c r="B720" s="4"/>
      <c r="C720" s="5"/>
      <c r="D720" s="5"/>
      <c r="E720" s="6"/>
      <c r="F720" s="6"/>
      <c r="G720" s="5"/>
      <c r="H720" s="99"/>
      <c r="I720" s="107"/>
      <c r="J720" s="7"/>
      <c r="K720" s="74"/>
      <c r="L720" s="7"/>
      <c r="M720" s="74"/>
      <c r="N720" s="74"/>
      <c r="O720" s="7"/>
      <c r="P720" s="74"/>
      <c r="Q720" s="7"/>
      <c r="R720" s="74"/>
      <c r="S720" s="74"/>
      <c r="T720" s="7"/>
      <c r="U720" s="7"/>
      <c r="V720" s="74"/>
      <c r="W720" s="74"/>
      <c r="X720" s="74"/>
      <c r="Y720" s="227"/>
      <c r="Z720" s="228"/>
      <c r="AA720" s="74"/>
      <c r="AB720" s="74"/>
      <c r="AC720" s="74"/>
      <c r="AD720" s="74"/>
      <c r="AE720" s="7"/>
      <c r="AF720" s="74"/>
      <c r="AG720" s="74"/>
      <c r="AH720" s="7"/>
      <c r="AI720" s="7"/>
      <c r="AJ720" s="7"/>
      <c r="AK720" s="7"/>
      <c r="AL720" s="7"/>
      <c r="AM720" s="7"/>
      <c r="AN720" s="7"/>
      <c r="AO720" s="74"/>
      <c r="AP720" s="7"/>
      <c r="AQ720" s="74"/>
      <c r="AR720" s="101"/>
      <c r="AS720" s="7"/>
      <c r="AT720" s="101"/>
      <c r="AU720" s="7"/>
      <c r="AV720" s="101"/>
      <c r="AW720" s="7"/>
      <c r="AX720" s="8"/>
      <c r="AY720" s="36"/>
      <c r="AZ720" s="74"/>
      <c r="BA720" s="74"/>
      <c r="BB720" s="74"/>
      <c r="BC720" s="74"/>
      <c r="BD720" s="74"/>
      <c r="BE720" s="74"/>
      <c r="BF720" s="74"/>
      <c r="BG720" s="74"/>
      <c r="BH720" s="74"/>
      <c r="BI720" s="74"/>
      <c r="BJ720" s="74"/>
      <c r="BK720" s="7"/>
      <c r="BL720" s="74"/>
      <c r="BM720" s="7"/>
      <c r="BN720" s="74"/>
      <c r="BO720" s="74"/>
      <c r="BP720" s="74"/>
      <c r="BQ720" s="74"/>
      <c r="BR720" s="74"/>
      <c r="BS720" s="74"/>
      <c r="BT720" s="74"/>
      <c r="BU720" s="74"/>
      <c r="BV720" s="74"/>
      <c r="BW720" s="74"/>
      <c r="BX720" s="74"/>
      <c r="BY720" s="74"/>
      <c r="BZ720" s="74"/>
      <c r="CA720" s="74"/>
      <c r="CB720" s="74"/>
      <c r="CC720" s="74"/>
      <c r="CD720" s="74"/>
      <c r="CE720" s="7"/>
      <c r="CF720" s="74"/>
      <c r="CG720" s="74"/>
      <c r="CH720" s="7"/>
      <c r="CI720" s="74"/>
      <c r="CJ720" s="74"/>
      <c r="CK720" s="101"/>
      <c r="CL720" s="74"/>
      <c r="CM720" s="7"/>
      <c r="CN720" s="74"/>
      <c r="CO720" s="101"/>
      <c r="CP720" s="74"/>
      <c r="CQ720" s="74"/>
      <c r="CR720" s="74"/>
      <c r="CS720" s="74"/>
      <c r="CT720" s="74"/>
      <c r="CU720" s="74"/>
      <c r="CV720" s="74"/>
      <c r="CW720" s="74"/>
      <c r="CX720" s="74"/>
      <c r="CY720" s="74"/>
      <c r="CZ720" s="74"/>
      <c r="DA720" s="74"/>
      <c r="DB720" s="74"/>
      <c r="DC720" s="74"/>
      <c r="DD720" s="74"/>
      <c r="DE720" s="74"/>
      <c r="DF720" s="74"/>
      <c r="DG720" s="74"/>
      <c r="DH720" s="74"/>
      <c r="DI720" s="74"/>
      <c r="DJ720" s="74"/>
      <c r="DK720" s="74"/>
      <c r="DL720" s="74"/>
      <c r="DM720" s="74"/>
      <c r="DN720" s="74"/>
      <c r="DO720" s="74"/>
      <c r="DP720" s="74"/>
      <c r="DQ720" s="74"/>
      <c r="DR720" s="74"/>
      <c r="DS720" s="74"/>
      <c r="DT720" s="74"/>
      <c r="DU720" s="74"/>
      <c r="DV720" s="74"/>
      <c r="DW720" s="74"/>
      <c r="DX720" s="74"/>
      <c r="DY720" s="74"/>
      <c r="DZ720" s="8">
        <f t="shared" si="194"/>
        <v>0</v>
      </c>
      <c r="EA720" s="3">
        <f t="shared" si="195"/>
        <v>0</v>
      </c>
      <c r="EB720" s="2">
        <f t="shared" si="196"/>
        <v>0</v>
      </c>
      <c r="EC720" s="112">
        <f t="shared" si="204"/>
        <v>0</v>
      </c>
      <c r="ED720" s="29">
        <f t="shared" si="197"/>
        <v>0</v>
      </c>
      <c r="EE720" s="2">
        <f t="shared" si="198"/>
        <v>0</v>
      </c>
      <c r="EF720" s="46">
        <f t="shared" si="199"/>
        <v>0</v>
      </c>
      <c r="EG720" s="46">
        <f t="shared" si="200"/>
        <v>0</v>
      </c>
      <c r="EH720" s="29">
        <f t="shared" si="201"/>
        <v>0</v>
      </c>
      <c r="EI720" s="29">
        <f>IF(COUNT(I720:AD720)&lt;5,DZ720,SUMPRODUCT(LARGE(I720:AD720,{1,2,3,4,5}))/5)</f>
        <v>0</v>
      </c>
      <c r="EJ720" s="29">
        <f>IF(COUNT(I720:BE720)&lt;5,DZ720,SUMPRODUCT(LARGE(I720:BE720,{1,2,3,4,5}))/5)</f>
        <v>0</v>
      </c>
      <c r="EK720" s="29">
        <f t="shared" si="203"/>
        <v>0</v>
      </c>
      <c r="EL720" s="29">
        <f>(EK720*100)/101.28</f>
        <v>0</v>
      </c>
      <c r="EM720" s="116">
        <f t="shared" si="202"/>
        <v>0</v>
      </c>
      <c r="EN720" s="46"/>
      <c r="EQ720"/>
    </row>
    <row r="721" spans="1:147" x14ac:dyDescent="0.25">
      <c r="A721" s="59"/>
      <c r="B721" s="33"/>
      <c r="C721" s="5"/>
      <c r="D721" s="5"/>
      <c r="E721" s="6"/>
      <c r="F721" s="6"/>
      <c r="G721" s="5"/>
      <c r="H721" s="37"/>
      <c r="I721" s="107"/>
      <c r="J721" s="7"/>
      <c r="K721" s="74"/>
      <c r="L721" s="7"/>
      <c r="M721" s="74"/>
      <c r="N721" s="74"/>
      <c r="O721" s="7"/>
      <c r="P721" s="74"/>
      <c r="Q721" s="7"/>
      <c r="R721" s="74"/>
      <c r="S721" s="74"/>
      <c r="T721" s="7"/>
      <c r="U721" s="7"/>
      <c r="V721" s="74"/>
      <c r="W721" s="74"/>
      <c r="X721" s="74"/>
      <c r="Y721" s="227"/>
      <c r="Z721" s="228"/>
      <c r="AA721" s="74"/>
      <c r="AB721" s="74"/>
      <c r="AC721" s="74"/>
      <c r="AD721" s="74"/>
      <c r="AE721" s="7"/>
      <c r="AF721" s="74"/>
      <c r="AG721" s="74"/>
      <c r="AH721" s="7"/>
      <c r="AI721" s="7"/>
      <c r="AJ721" s="7"/>
      <c r="AK721" s="7"/>
      <c r="AL721" s="7"/>
      <c r="AM721" s="7"/>
      <c r="AN721" s="7"/>
      <c r="AO721" s="74"/>
      <c r="AP721" s="7"/>
      <c r="AQ721" s="74"/>
      <c r="AR721" s="101"/>
      <c r="AS721" s="7"/>
      <c r="AT721" s="101"/>
      <c r="AU721" s="7"/>
      <c r="AV721" s="101"/>
      <c r="AW721" s="7"/>
      <c r="AX721" s="8"/>
      <c r="AY721" s="36"/>
      <c r="AZ721" s="74"/>
      <c r="BA721" s="74"/>
      <c r="BB721" s="74"/>
      <c r="BC721" s="74"/>
      <c r="BD721" s="74"/>
      <c r="BE721" s="74"/>
      <c r="BF721" s="74"/>
      <c r="BG721" s="74"/>
      <c r="BH721" s="74"/>
      <c r="BI721" s="74"/>
      <c r="BJ721" s="74"/>
      <c r="BK721" s="7"/>
      <c r="BL721" s="74"/>
      <c r="BM721" s="7"/>
      <c r="BN721" s="74"/>
      <c r="BO721" s="74"/>
      <c r="BP721" s="74"/>
      <c r="BQ721" s="74"/>
      <c r="BR721" s="74"/>
      <c r="BS721" s="74"/>
      <c r="BT721" s="74"/>
      <c r="BU721" s="74"/>
      <c r="BV721" s="74"/>
      <c r="BW721" s="74"/>
      <c r="BX721" s="74"/>
      <c r="BY721" s="74"/>
      <c r="BZ721" s="74"/>
      <c r="CA721" s="74"/>
      <c r="CB721" s="74"/>
      <c r="CC721" s="74"/>
      <c r="CD721" s="74"/>
      <c r="CE721" s="7"/>
      <c r="CF721" s="74"/>
      <c r="CG721" s="74"/>
      <c r="CH721" s="7"/>
      <c r="CI721" s="74"/>
      <c r="CJ721" s="74"/>
      <c r="CK721" s="101"/>
      <c r="CL721" s="74"/>
      <c r="CM721" s="74"/>
      <c r="CN721" s="74"/>
      <c r="CO721" s="101"/>
      <c r="CP721" s="74"/>
      <c r="CQ721" s="74"/>
      <c r="CR721" s="74"/>
      <c r="CS721" s="74"/>
      <c r="CT721" s="74"/>
      <c r="CU721" s="74"/>
      <c r="CV721" s="74"/>
      <c r="CW721" s="74"/>
      <c r="CX721" s="74"/>
      <c r="CY721" s="74"/>
      <c r="CZ721" s="74"/>
      <c r="DA721" s="74"/>
      <c r="DB721" s="74"/>
      <c r="DC721" s="74"/>
      <c r="DD721" s="74"/>
      <c r="DE721" s="74"/>
      <c r="DF721" s="74"/>
      <c r="DG721" s="74"/>
      <c r="DH721" s="74"/>
      <c r="DI721" s="74"/>
      <c r="DJ721" s="74"/>
      <c r="DK721" s="74"/>
      <c r="DL721" s="74"/>
      <c r="DM721" s="74"/>
      <c r="DN721" s="74"/>
      <c r="DO721" s="74"/>
      <c r="DP721" s="74"/>
      <c r="DQ721" s="74"/>
      <c r="DR721" s="74"/>
      <c r="DS721" s="74"/>
      <c r="DT721" s="74"/>
      <c r="DU721" s="74"/>
      <c r="DV721" s="74"/>
      <c r="DW721" s="74"/>
      <c r="DX721" s="74"/>
      <c r="DY721" s="74"/>
      <c r="DZ721" s="8">
        <f t="shared" si="194"/>
        <v>0</v>
      </c>
      <c r="EA721" s="3">
        <f t="shared" si="195"/>
        <v>0</v>
      </c>
      <c r="EB721" s="2">
        <f t="shared" si="196"/>
        <v>0</v>
      </c>
      <c r="EC721" s="112">
        <f t="shared" si="204"/>
        <v>0</v>
      </c>
      <c r="ED721" s="29">
        <f t="shared" si="197"/>
        <v>0</v>
      </c>
      <c r="EE721" s="2">
        <f t="shared" si="198"/>
        <v>0</v>
      </c>
      <c r="EF721" s="46">
        <f t="shared" si="199"/>
        <v>0</v>
      </c>
      <c r="EG721" s="46">
        <f t="shared" si="200"/>
        <v>0</v>
      </c>
      <c r="EH721" s="29">
        <f t="shared" si="201"/>
        <v>0</v>
      </c>
      <c r="EI721" s="29">
        <f>IF(COUNT(I721:AD721)&lt;5,DZ721,SUMPRODUCT(LARGE(I721:AD721,{1,2,3,4,5}))/5)</f>
        <v>0</v>
      </c>
      <c r="EJ721" s="29">
        <f>IF(COUNT(I721:BE721)&lt;5,DZ721,SUMPRODUCT(LARGE(I721:BE721,{1,2,3,4,5}))/5)</f>
        <v>0</v>
      </c>
      <c r="EK721" s="29">
        <f t="shared" si="203"/>
        <v>0</v>
      </c>
      <c r="EL721" s="29">
        <f>(EK721*100)/101.28</f>
        <v>0</v>
      </c>
      <c r="EM721" s="116">
        <f t="shared" si="202"/>
        <v>0</v>
      </c>
      <c r="EN721" s="46"/>
      <c r="EQ721"/>
    </row>
    <row r="722" spans="1:147" x14ac:dyDescent="0.25">
      <c r="A722" s="59"/>
      <c r="B722" s="32"/>
      <c r="C722" s="5"/>
      <c r="D722" s="6"/>
      <c r="E722" s="6"/>
      <c r="F722" s="6"/>
      <c r="G722" s="5"/>
      <c r="H722" s="37"/>
      <c r="I722" s="36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227"/>
      <c r="Z722" s="228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4"/>
      <c r="AP722" s="7"/>
      <c r="AQ722" s="74"/>
      <c r="AR722" s="70"/>
      <c r="AS722" s="7"/>
      <c r="AT722" s="70"/>
      <c r="AU722" s="7"/>
      <c r="AV722" s="70"/>
      <c r="AW722" s="7"/>
      <c r="AX722" s="8"/>
      <c r="AY722" s="36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4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0"/>
      <c r="CJ722" s="7"/>
      <c r="CK722" s="101"/>
      <c r="CL722" s="74"/>
      <c r="CM722" s="74"/>
      <c r="CN722" s="74"/>
      <c r="CO722" s="70"/>
      <c r="CP722" s="74"/>
      <c r="CQ722" s="7"/>
      <c r="CR722" s="74"/>
      <c r="CS722" s="74"/>
      <c r="CT722" s="74"/>
      <c r="CU722" s="74"/>
      <c r="CV722" s="7"/>
      <c r="CW722" s="7"/>
      <c r="CX722" s="7"/>
      <c r="CY722" s="7"/>
      <c r="CZ722" s="7"/>
      <c r="DA722" s="7"/>
      <c r="DB722" s="7"/>
      <c r="DC722" s="7"/>
      <c r="DD722" s="7"/>
      <c r="DE722" s="74"/>
      <c r="DF722" s="74"/>
      <c r="DG722" s="74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8">
        <f t="shared" si="194"/>
        <v>0</v>
      </c>
      <c r="EA722" s="3">
        <f t="shared" si="195"/>
        <v>0</v>
      </c>
      <c r="EB722" s="2">
        <f t="shared" si="196"/>
        <v>0</v>
      </c>
      <c r="EC722" s="112">
        <f t="shared" si="204"/>
        <v>0</v>
      </c>
      <c r="ED722" s="29">
        <f t="shared" si="197"/>
        <v>0</v>
      </c>
      <c r="EE722" s="2">
        <f t="shared" si="198"/>
        <v>0</v>
      </c>
      <c r="EF722" s="46">
        <f t="shared" si="199"/>
        <v>0</v>
      </c>
      <c r="EG722" s="46">
        <f t="shared" si="200"/>
        <v>0</v>
      </c>
      <c r="EH722" s="2">
        <f t="shared" si="201"/>
        <v>0</v>
      </c>
      <c r="EI722" s="29">
        <f>IF(COUNT(I722:AD722)&lt;5,DZ722,SUMPRODUCT(LARGE(I722:AD722,{1,2,3,4,5}))/5)</f>
        <v>0</v>
      </c>
      <c r="EJ722" s="29">
        <f>IF(COUNT(I722:BE722)&lt;5,DZ722,SUMPRODUCT(LARGE(I722:BE722,{1,2,3,4,5}))/5)</f>
        <v>0</v>
      </c>
      <c r="EK722" s="29">
        <f t="shared" si="203"/>
        <v>0</v>
      </c>
      <c r="EL722" s="29">
        <f>(EK722*100)/101.59</f>
        <v>0</v>
      </c>
      <c r="EM722" s="116">
        <f t="shared" si="202"/>
        <v>0</v>
      </c>
      <c r="EN722" s="46"/>
      <c r="EQ722"/>
    </row>
    <row r="723" spans="1:147" x14ac:dyDescent="0.25">
      <c r="A723" s="59"/>
      <c r="B723" s="32"/>
      <c r="C723" s="5"/>
      <c r="D723" s="6"/>
      <c r="E723" s="6"/>
      <c r="F723" s="6"/>
      <c r="G723" s="5"/>
      <c r="H723" s="37"/>
      <c r="I723" s="36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227"/>
      <c r="Z723" s="228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4"/>
      <c r="AP723" s="7"/>
      <c r="AQ723" s="74"/>
      <c r="AR723" s="70"/>
      <c r="AS723" s="7"/>
      <c r="AT723" s="70"/>
      <c r="AU723" s="7"/>
      <c r="AV723" s="70"/>
      <c r="AW723" s="7"/>
      <c r="AX723" s="183"/>
      <c r="AY723" s="10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101"/>
      <c r="CL723" s="74"/>
      <c r="CM723" s="74"/>
      <c r="CN723" s="74"/>
      <c r="CO723" s="70"/>
      <c r="CP723" s="74"/>
      <c r="CQ723" s="7"/>
      <c r="CR723" s="74"/>
      <c r="CS723" s="74"/>
      <c r="CT723" s="74"/>
      <c r="CU723" s="74"/>
      <c r="CV723" s="74"/>
      <c r="CW723" s="7"/>
      <c r="CX723" s="7"/>
      <c r="CY723" s="7"/>
      <c r="CZ723" s="74"/>
      <c r="DA723" s="7"/>
      <c r="DB723" s="7"/>
      <c r="DC723" s="7"/>
      <c r="DD723" s="7"/>
      <c r="DE723" s="74"/>
      <c r="DF723" s="74"/>
      <c r="DG723" s="74"/>
      <c r="DH723" s="74"/>
      <c r="DI723" s="74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8">
        <f t="shared" si="194"/>
        <v>0</v>
      </c>
      <c r="EA723" s="3">
        <f t="shared" si="195"/>
        <v>0</v>
      </c>
      <c r="EB723" s="2">
        <f t="shared" si="196"/>
        <v>0</v>
      </c>
      <c r="EC723" s="112">
        <f t="shared" si="204"/>
        <v>0</v>
      </c>
      <c r="ED723" s="29">
        <f t="shared" si="197"/>
        <v>0</v>
      </c>
      <c r="EE723" s="2">
        <f t="shared" si="198"/>
        <v>0</v>
      </c>
      <c r="EF723" s="46">
        <f t="shared" si="199"/>
        <v>0</v>
      </c>
      <c r="EG723" s="46">
        <f t="shared" si="200"/>
        <v>0</v>
      </c>
      <c r="EH723" s="2">
        <f t="shared" si="201"/>
        <v>0</v>
      </c>
      <c r="EI723" s="29">
        <f>IF(COUNT(I723:AD723)&lt;5,DZ723,SUMPRODUCT(LARGE(I723:AD723,{1,2,3,4,5}))/5)</f>
        <v>0</v>
      </c>
      <c r="EJ723" s="29">
        <f>IF(COUNT(I723:BE723)&lt;5,DZ723,SUMPRODUCT(LARGE(I723:BE723,{1,2,3,4,5}))/5)</f>
        <v>0</v>
      </c>
      <c r="EK723" s="29">
        <f t="shared" si="203"/>
        <v>0</v>
      </c>
      <c r="EL723" s="29">
        <f t="shared" ref="EL723:EL730" si="205">(EK723*100)/101.28</f>
        <v>0</v>
      </c>
      <c r="EM723" s="116">
        <f t="shared" si="202"/>
        <v>0</v>
      </c>
      <c r="EN723" s="46"/>
      <c r="EQ723"/>
    </row>
    <row r="724" spans="1:147" x14ac:dyDescent="0.25">
      <c r="A724" s="59"/>
      <c r="B724" s="32"/>
      <c r="C724" s="5"/>
      <c r="D724" s="6"/>
      <c r="E724" s="6"/>
      <c r="F724" s="6"/>
      <c r="G724" s="5"/>
      <c r="H724" s="99"/>
      <c r="I724" s="107"/>
      <c r="J724" s="7"/>
      <c r="K724" s="74"/>
      <c r="L724" s="7"/>
      <c r="M724" s="74"/>
      <c r="N724" s="74"/>
      <c r="O724" s="7"/>
      <c r="P724" s="74"/>
      <c r="Q724" s="7"/>
      <c r="R724" s="74"/>
      <c r="S724" s="74"/>
      <c r="T724" s="7"/>
      <c r="U724" s="7"/>
      <c r="V724" s="74"/>
      <c r="W724" s="74"/>
      <c r="X724" s="74"/>
      <c r="Y724" s="227"/>
      <c r="Z724" s="228"/>
      <c r="AA724" s="74"/>
      <c r="AB724" s="74"/>
      <c r="AC724" s="74"/>
      <c r="AD724" s="74"/>
      <c r="AE724" s="7"/>
      <c r="AF724" s="74"/>
      <c r="AG724" s="74"/>
      <c r="AH724" s="7"/>
      <c r="AI724" s="7"/>
      <c r="AJ724" s="7"/>
      <c r="AK724" s="7"/>
      <c r="AL724" s="7"/>
      <c r="AM724" s="7"/>
      <c r="AN724" s="7"/>
      <c r="AO724" s="74"/>
      <c r="AP724" s="7"/>
      <c r="AQ724" s="74"/>
      <c r="AR724" s="101"/>
      <c r="AS724" s="7"/>
      <c r="AT724" s="101"/>
      <c r="AU724" s="7"/>
      <c r="AV724" s="101"/>
      <c r="AW724" s="7"/>
      <c r="AX724" s="183"/>
      <c r="AY724" s="107"/>
      <c r="AZ724" s="74"/>
      <c r="BA724" s="74"/>
      <c r="BB724" s="74"/>
      <c r="BC724" s="74"/>
      <c r="BD724" s="74"/>
      <c r="BE724" s="74"/>
      <c r="BF724" s="74"/>
      <c r="BG724" s="74"/>
      <c r="BH724" s="74"/>
      <c r="BI724" s="74"/>
      <c r="BJ724" s="74"/>
      <c r="BK724" s="7"/>
      <c r="BL724" s="74"/>
      <c r="BM724" s="7"/>
      <c r="BN724" s="74"/>
      <c r="BO724" s="74"/>
      <c r="BP724" s="74"/>
      <c r="BQ724" s="74"/>
      <c r="BR724" s="74"/>
      <c r="BS724" s="74"/>
      <c r="BT724" s="74"/>
      <c r="BU724" s="74"/>
      <c r="BV724" s="74"/>
      <c r="BW724" s="74"/>
      <c r="BX724" s="74"/>
      <c r="BY724" s="74"/>
      <c r="BZ724" s="74"/>
      <c r="CA724" s="74"/>
      <c r="CB724" s="74"/>
      <c r="CC724" s="74"/>
      <c r="CD724" s="74"/>
      <c r="CE724" s="7"/>
      <c r="CF724" s="74"/>
      <c r="CG724" s="74"/>
      <c r="CH724" s="7"/>
      <c r="CI724" s="74"/>
      <c r="CJ724" s="74"/>
      <c r="CK724" s="101"/>
      <c r="CL724" s="74"/>
      <c r="CM724" s="74"/>
      <c r="CN724" s="74"/>
      <c r="CO724" s="101"/>
      <c r="CP724" s="74"/>
      <c r="CQ724" s="74"/>
      <c r="CR724" s="74"/>
      <c r="CS724" s="74"/>
      <c r="CT724" s="74"/>
      <c r="CU724" s="74"/>
      <c r="CV724" s="74"/>
      <c r="CW724" s="74"/>
      <c r="CX724" s="74"/>
      <c r="CY724" s="74"/>
      <c r="CZ724" s="74"/>
      <c r="DA724" s="74"/>
      <c r="DB724" s="74"/>
      <c r="DC724" s="74"/>
      <c r="DD724" s="74"/>
      <c r="DE724" s="74"/>
      <c r="DF724" s="74"/>
      <c r="DG724" s="74"/>
      <c r="DH724" s="74"/>
      <c r="DI724" s="74"/>
      <c r="DJ724" s="74"/>
      <c r="DK724" s="74"/>
      <c r="DL724" s="74"/>
      <c r="DM724" s="74"/>
      <c r="DN724" s="74"/>
      <c r="DO724" s="74"/>
      <c r="DP724" s="74"/>
      <c r="DQ724" s="74"/>
      <c r="DR724" s="74"/>
      <c r="DS724" s="74"/>
      <c r="DT724" s="74"/>
      <c r="DU724" s="74"/>
      <c r="DV724" s="74"/>
      <c r="DW724" s="74"/>
      <c r="DX724" s="74"/>
      <c r="DY724" s="74"/>
      <c r="DZ724" s="8">
        <f t="shared" si="194"/>
        <v>0</v>
      </c>
      <c r="EA724" s="3">
        <f t="shared" si="195"/>
        <v>0</v>
      </c>
      <c r="EB724" s="2">
        <f t="shared" si="196"/>
        <v>0</v>
      </c>
      <c r="EC724" s="112">
        <f t="shared" si="204"/>
        <v>0</v>
      </c>
      <c r="ED724" s="29">
        <f t="shared" si="197"/>
        <v>0</v>
      </c>
      <c r="EE724" s="2">
        <f t="shared" si="198"/>
        <v>0</v>
      </c>
      <c r="EF724" s="46">
        <f t="shared" si="199"/>
        <v>0</v>
      </c>
      <c r="EG724" s="46">
        <f t="shared" si="200"/>
        <v>0</v>
      </c>
      <c r="EH724" s="2">
        <f t="shared" si="201"/>
        <v>0</v>
      </c>
      <c r="EI724" s="29">
        <f>IF(COUNT(I724:AD724)&lt;5,DZ724,SUMPRODUCT(LARGE(I724:AD724,{1,2,3,4,5}))/5)</f>
        <v>0</v>
      </c>
      <c r="EJ724" s="29">
        <f>IF(COUNT(I724:BE724)&lt;5,DZ724,SUMPRODUCT(LARGE(I724:BE724,{1,2,3,4,5}))/5)</f>
        <v>0</v>
      </c>
      <c r="EK724" s="29">
        <f t="shared" si="203"/>
        <v>0</v>
      </c>
      <c r="EL724" s="29">
        <f t="shared" si="205"/>
        <v>0</v>
      </c>
      <c r="EM724" s="116">
        <f t="shared" si="202"/>
        <v>0</v>
      </c>
      <c r="EN724" s="46"/>
      <c r="EQ724"/>
    </row>
    <row r="725" spans="1:147" x14ac:dyDescent="0.25">
      <c r="A725" s="59"/>
      <c r="B725" s="4"/>
      <c r="C725" s="5"/>
      <c r="D725" s="6"/>
      <c r="E725" s="6"/>
      <c r="F725" s="6"/>
      <c r="G725" s="5"/>
      <c r="H725" s="37"/>
      <c r="I725" s="107"/>
      <c r="J725" s="7"/>
      <c r="K725" s="74"/>
      <c r="L725" s="7"/>
      <c r="M725" s="74"/>
      <c r="N725" s="74"/>
      <c r="O725" s="7"/>
      <c r="P725" s="74"/>
      <c r="Q725" s="7"/>
      <c r="R725" s="74"/>
      <c r="S725" s="74"/>
      <c r="T725" s="7"/>
      <c r="U725" s="7"/>
      <c r="V725" s="74"/>
      <c r="W725" s="74"/>
      <c r="X725" s="74"/>
      <c r="Y725" s="227"/>
      <c r="Z725" s="228"/>
      <c r="AA725" s="74"/>
      <c r="AB725" s="74"/>
      <c r="AC725" s="74"/>
      <c r="AD725" s="74"/>
      <c r="AE725" s="7"/>
      <c r="AF725" s="74"/>
      <c r="AG725" s="74"/>
      <c r="AH725" s="7"/>
      <c r="AI725" s="7"/>
      <c r="AJ725" s="7"/>
      <c r="AK725" s="7"/>
      <c r="AL725" s="7"/>
      <c r="AM725" s="7"/>
      <c r="AN725" s="7"/>
      <c r="AO725" s="74"/>
      <c r="AP725" s="7"/>
      <c r="AQ725" s="74"/>
      <c r="AR725" s="101"/>
      <c r="AS725" s="7"/>
      <c r="AT725" s="101"/>
      <c r="AU725" s="7"/>
      <c r="AV725" s="101"/>
      <c r="AW725" s="7"/>
      <c r="AX725" s="8"/>
      <c r="AY725" s="36"/>
      <c r="AZ725" s="74"/>
      <c r="BA725" s="74"/>
      <c r="BB725" s="74"/>
      <c r="BC725" s="74"/>
      <c r="BD725" s="74"/>
      <c r="BE725" s="74"/>
      <c r="BF725" s="74"/>
      <c r="BG725" s="74"/>
      <c r="BH725" s="74"/>
      <c r="BI725" s="74"/>
      <c r="BJ725" s="74"/>
      <c r="BK725" s="7"/>
      <c r="BL725" s="74"/>
      <c r="BM725" s="7"/>
      <c r="BN725" s="74"/>
      <c r="BO725" s="74"/>
      <c r="BP725" s="74"/>
      <c r="BQ725" s="74"/>
      <c r="BR725" s="74"/>
      <c r="BS725" s="74"/>
      <c r="BT725" s="74"/>
      <c r="BU725" s="74"/>
      <c r="BV725" s="74"/>
      <c r="BW725" s="74"/>
      <c r="BX725" s="74"/>
      <c r="BY725" s="74"/>
      <c r="BZ725" s="74"/>
      <c r="CA725" s="74"/>
      <c r="CB725" s="74"/>
      <c r="CC725" s="74"/>
      <c r="CD725" s="74"/>
      <c r="CE725" s="7"/>
      <c r="CF725" s="74"/>
      <c r="CG725" s="74"/>
      <c r="CH725" s="7"/>
      <c r="CI725" s="74"/>
      <c r="CJ725" s="74"/>
      <c r="CK725" s="101"/>
      <c r="CL725" s="74"/>
      <c r="CM725" s="74"/>
      <c r="CN725" s="74"/>
      <c r="CO725" s="101"/>
      <c r="CP725" s="74"/>
      <c r="CQ725" s="74"/>
      <c r="CR725" s="74"/>
      <c r="CS725" s="74"/>
      <c r="CT725" s="74"/>
      <c r="CU725" s="74"/>
      <c r="CV725" s="74"/>
      <c r="CW725" s="74"/>
      <c r="CX725" s="74"/>
      <c r="CY725" s="74"/>
      <c r="CZ725" s="74"/>
      <c r="DA725" s="74"/>
      <c r="DB725" s="74"/>
      <c r="DC725" s="74"/>
      <c r="DD725" s="74"/>
      <c r="DE725" s="74"/>
      <c r="DF725" s="74"/>
      <c r="DG725" s="74"/>
      <c r="DH725" s="74"/>
      <c r="DI725" s="74"/>
      <c r="DJ725" s="74"/>
      <c r="DK725" s="74"/>
      <c r="DL725" s="74"/>
      <c r="DM725" s="74"/>
      <c r="DN725" s="74"/>
      <c r="DO725" s="74"/>
      <c r="DP725" s="74"/>
      <c r="DQ725" s="74"/>
      <c r="DR725" s="74"/>
      <c r="DS725" s="74"/>
      <c r="DT725" s="74"/>
      <c r="DU725" s="74"/>
      <c r="DV725" s="74"/>
      <c r="DW725" s="74"/>
      <c r="DX725" s="74"/>
      <c r="DY725" s="74"/>
      <c r="DZ725" s="8">
        <f t="shared" si="194"/>
        <v>0</v>
      </c>
      <c r="EA725" s="3">
        <f t="shared" si="195"/>
        <v>0</v>
      </c>
      <c r="EB725" s="2">
        <f t="shared" si="196"/>
        <v>0</v>
      </c>
      <c r="EC725" s="112">
        <f t="shared" si="204"/>
        <v>0</v>
      </c>
      <c r="ED725" s="29">
        <f t="shared" si="197"/>
        <v>0</v>
      </c>
      <c r="EE725" s="2">
        <f t="shared" si="198"/>
        <v>0</v>
      </c>
      <c r="EF725" s="46">
        <f t="shared" si="199"/>
        <v>0</v>
      </c>
      <c r="EG725" s="46">
        <f t="shared" si="200"/>
        <v>0</v>
      </c>
      <c r="EH725" s="29">
        <f t="shared" si="201"/>
        <v>0</v>
      </c>
      <c r="EI725" s="29">
        <f>IF(COUNT(I725:AD725)&lt;5,DZ725,SUMPRODUCT(LARGE(I725:AD725,{1,2,3,4,5}))/5)</f>
        <v>0</v>
      </c>
      <c r="EJ725" s="29">
        <f>IF(COUNT(I725:BE725)&lt;5,DZ725,SUMPRODUCT(LARGE(I725:BE725,{1,2,3,4,5}))/5)</f>
        <v>0</v>
      </c>
      <c r="EK725" s="29">
        <f t="shared" si="203"/>
        <v>0</v>
      </c>
      <c r="EL725" s="29">
        <f t="shared" si="205"/>
        <v>0</v>
      </c>
      <c r="EM725" s="116">
        <f t="shared" si="202"/>
        <v>0</v>
      </c>
      <c r="EN725" s="46"/>
      <c r="EQ725"/>
    </row>
    <row r="726" spans="1:147" x14ac:dyDescent="0.25">
      <c r="A726" s="59"/>
      <c r="B726" s="32"/>
      <c r="C726" s="5"/>
      <c r="D726" s="6"/>
      <c r="E726" s="6"/>
      <c r="F726" s="6"/>
      <c r="G726" s="5"/>
      <c r="H726" s="37"/>
      <c r="I726" s="107"/>
      <c r="J726" s="7"/>
      <c r="K726" s="74"/>
      <c r="L726" s="7"/>
      <c r="M726" s="74"/>
      <c r="N726" s="74"/>
      <c r="O726" s="7"/>
      <c r="P726" s="74"/>
      <c r="Q726" s="7"/>
      <c r="R726" s="74"/>
      <c r="S726" s="74"/>
      <c r="T726" s="7"/>
      <c r="U726" s="7"/>
      <c r="V726" s="74"/>
      <c r="W726" s="74"/>
      <c r="X726" s="74"/>
      <c r="Y726" s="227"/>
      <c r="Z726" s="228"/>
      <c r="AA726" s="74"/>
      <c r="AB726" s="74"/>
      <c r="AC726" s="74"/>
      <c r="AD726" s="74"/>
      <c r="AE726" s="7"/>
      <c r="AF726" s="74"/>
      <c r="AG726" s="74"/>
      <c r="AH726" s="7"/>
      <c r="AI726" s="7"/>
      <c r="AJ726" s="7"/>
      <c r="AK726" s="7"/>
      <c r="AL726" s="7"/>
      <c r="AM726" s="7"/>
      <c r="AN726" s="7"/>
      <c r="AO726" s="74"/>
      <c r="AP726" s="7"/>
      <c r="AQ726" s="74"/>
      <c r="AR726" s="101"/>
      <c r="AS726" s="7"/>
      <c r="AT726" s="101"/>
      <c r="AU726" s="7"/>
      <c r="AV726" s="101"/>
      <c r="AW726" s="7"/>
      <c r="AX726" s="8"/>
      <c r="AY726" s="36"/>
      <c r="AZ726" s="74"/>
      <c r="BA726" s="74"/>
      <c r="BB726" s="74"/>
      <c r="BC726" s="74"/>
      <c r="BD726" s="74"/>
      <c r="BE726" s="74"/>
      <c r="BF726" s="74"/>
      <c r="BG726" s="74"/>
      <c r="BH726" s="74"/>
      <c r="BI726" s="74"/>
      <c r="BJ726" s="74"/>
      <c r="BK726" s="7"/>
      <c r="BL726" s="74"/>
      <c r="BM726" s="7"/>
      <c r="BN726" s="74"/>
      <c r="BO726" s="74"/>
      <c r="BP726" s="74"/>
      <c r="BQ726" s="74"/>
      <c r="BR726" s="74"/>
      <c r="BS726" s="74"/>
      <c r="BT726" s="74"/>
      <c r="BU726" s="74"/>
      <c r="BV726" s="74"/>
      <c r="BW726" s="74"/>
      <c r="BX726" s="74"/>
      <c r="BY726" s="74"/>
      <c r="BZ726" s="74"/>
      <c r="CA726" s="74"/>
      <c r="CB726" s="74"/>
      <c r="CC726" s="74"/>
      <c r="CD726" s="74"/>
      <c r="CE726" s="7"/>
      <c r="CF726" s="74"/>
      <c r="CG726" s="74"/>
      <c r="CH726" s="7"/>
      <c r="CI726" s="74"/>
      <c r="CJ726" s="74"/>
      <c r="CK726" s="101"/>
      <c r="CL726" s="74"/>
      <c r="CM726" s="74"/>
      <c r="CN726" s="74"/>
      <c r="CO726" s="101"/>
      <c r="CP726" s="74"/>
      <c r="CQ726" s="74"/>
      <c r="CR726" s="74"/>
      <c r="CS726" s="74"/>
      <c r="CT726" s="74"/>
      <c r="CU726" s="74"/>
      <c r="CV726" s="74"/>
      <c r="CW726" s="74"/>
      <c r="CX726" s="74"/>
      <c r="CY726" s="74"/>
      <c r="CZ726" s="74"/>
      <c r="DA726" s="74"/>
      <c r="DB726" s="74"/>
      <c r="DC726" s="74"/>
      <c r="DD726" s="74"/>
      <c r="DE726" s="74"/>
      <c r="DF726" s="74"/>
      <c r="DG726" s="74"/>
      <c r="DH726" s="74"/>
      <c r="DI726" s="74"/>
      <c r="DJ726" s="74"/>
      <c r="DK726" s="74"/>
      <c r="DL726" s="74"/>
      <c r="DM726" s="74"/>
      <c r="DN726" s="74"/>
      <c r="DO726" s="74"/>
      <c r="DP726" s="74"/>
      <c r="DQ726" s="74"/>
      <c r="DR726" s="74"/>
      <c r="DS726" s="74"/>
      <c r="DT726" s="74"/>
      <c r="DU726" s="74"/>
      <c r="DV726" s="74"/>
      <c r="DW726" s="74"/>
      <c r="DX726" s="74"/>
      <c r="DY726" s="74"/>
      <c r="DZ726" s="8">
        <f t="shared" si="194"/>
        <v>0</v>
      </c>
      <c r="EA726" s="3">
        <f t="shared" si="195"/>
        <v>0</v>
      </c>
      <c r="EB726" s="2">
        <f t="shared" si="196"/>
        <v>0</v>
      </c>
      <c r="EC726" s="112">
        <f t="shared" si="204"/>
        <v>0</v>
      </c>
      <c r="ED726" s="29">
        <f t="shared" si="197"/>
        <v>0</v>
      </c>
      <c r="EE726" s="2">
        <f t="shared" si="198"/>
        <v>0</v>
      </c>
      <c r="EF726" s="46">
        <f t="shared" si="199"/>
        <v>0</v>
      </c>
      <c r="EG726" s="46">
        <f t="shared" si="200"/>
        <v>0</v>
      </c>
      <c r="EH726" s="29">
        <f t="shared" si="201"/>
        <v>0</v>
      </c>
      <c r="EI726" s="29">
        <f>IF(COUNT(I726:AD726)&lt;5,DZ726,SUMPRODUCT(LARGE(I726:AD726,{1,2,3,4,5}))/5)</f>
        <v>0</v>
      </c>
      <c r="EJ726" s="29">
        <f>IF(COUNT(I726:BE726)&lt;5,DZ726,SUMPRODUCT(LARGE(I726:BE726,{1,2,3,4,5}))/5)</f>
        <v>0</v>
      </c>
      <c r="EK726" s="29">
        <f t="shared" si="203"/>
        <v>0</v>
      </c>
      <c r="EL726" s="29">
        <f t="shared" si="205"/>
        <v>0</v>
      </c>
      <c r="EM726" s="116">
        <f t="shared" si="202"/>
        <v>0</v>
      </c>
      <c r="EN726" s="46"/>
      <c r="EQ726"/>
    </row>
    <row r="727" spans="1:147" x14ac:dyDescent="0.25">
      <c r="A727" s="59"/>
      <c r="B727" s="32"/>
      <c r="C727" s="5"/>
      <c r="D727" s="6"/>
      <c r="E727" s="6"/>
      <c r="F727" s="6"/>
      <c r="G727" s="5"/>
      <c r="H727" s="37"/>
      <c r="I727" s="107"/>
      <c r="J727" s="7"/>
      <c r="K727" s="74"/>
      <c r="L727" s="7"/>
      <c r="M727" s="74"/>
      <c r="N727" s="74"/>
      <c r="O727" s="7"/>
      <c r="P727" s="74"/>
      <c r="Q727" s="7"/>
      <c r="R727" s="74"/>
      <c r="S727" s="74"/>
      <c r="T727" s="7"/>
      <c r="U727" s="7"/>
      <c r="V727" s="74"/>
      <c r="W727" s="74"/>
      <c r="X727" s="74"/>
      <c r="Y727" s="227"/>
      <c r="Z727" s="228"/>
      <c r="AA727" s="74"/>
      <c r="AB727" s="74"/>
      <c r="AC727" s="74"/>
      <c r="AD727" s="74"/>
      <c r="AE727" s="7"/>
      <c r="AF727" s="74"/>
      <c r="AG727" s="74"/>
      <c r="AH727" s="7"/>
      <c r="AI727" s="7"/>
      <c r="AJ727" s="7"/>
      <c r="AK727" s="7"/>
      <c r="AL727" s="7"/>
      <c r="AM727" s="7"/>
      <c r="AN727" s="7"/>
      <c r="AO727" s="74"/>
      <c r="AP727" s="7"/>
      <c r="AQ727" s="74"/>
      <c r="AR727" s="101"/>
      <c r="AS727" s="7"/>
      <c r="AT727" s="101"/>
      <c r="AU727" s="7"/>
      <c r="AV727" s="101"/>
      <c r="AW727" s="7"/>
      <c r="AX727" s="183"/>
      <c r="AY727" s="107"/>
      <c r="AZ727" s="74"/>
      <c r="BA727" s="74"/>
      <c r="BB727" s="74"/>
      <c r="BC727" s="74"/>
      <c r="BD727" s="74"/>
      <c r="BE727" s="74"/>
      <c r="BF727" s="74"/>
      <c r="BG727" s="74"/>
      <c r="BH727" s="74"/>
      <c r="BI727" s="74"/>
      <c r="BJ727" s="74"/>
      <c r="BK727" s="7"/>
      <c r="BL727" s="74"/>
      <c r="BM727" s="7"/>
      <c r="BN727" s="74"/>
      <c r="BO727" s="74"/>
      <c r="BP727" s="74"/>
      <c r="BQ727" s="74"/>
      <c r="BR727" s="74"/>
      <c r="BS727" s="74"/>
      <c r="BT727" s="74"/>
      <c r="BU727" s="74"/>
      <c r="BV727" s="74"/>
      <c r="BW727" s="74"/>
      <c r="BX727" s="74"/>
      <c r="BY727" s="74"/>
      <c r="BZ727" s="74"/>
      <c r="CA727" s="74"/>
      <c r="CB727" s="74"/>
      <c r="CC727" s="74"/>
      <c r="CD727" s="74"/>
      <c r="CE727" s="7"/>
      <c r="CF727" s="74"/>
      <c r="CG727" s="74"/>
      <c r="CH727" s="7"/>
      <c r="CI727" s="74"/>
      <c r="CJ727" s="74"/>
      <c r="CK727" s="101"/>
      <c r="CL727" s="74"/>
      <c r="CM727" s="74"/>
      <c r="CN727" s="74"/>
      <c r="CO727" s="101"/>
      <c r="CP727" s="7"/>
      <c r="CQ727" s="74"/>
      <c r="CR727" s="74"/>
      <c r="CS727" s="7"/>
      <c r="CT727" s="7"/>
      <c r="CU727" s="74"/>
      <c r="CV727" s="7"/>
      <c r="CW727" s="74"/>
      <c r="CX727" s="74"/>
      <c r="CY727" s="74"/>
      <c r="CZ727" s="74"/>
      <c r="DA727" s="74"/>
      <c r="DB727" s="74"/>
      <c r="DC727" s="74"/>
      <c r="DD727" s="74"/>
      <c r="DE727" s="74"/>
      <c r="DF727" s="74"/>
      <c r="DG727" s="74"/>
      <c r="DH727" s="74"/>
      <c r="DI727" s="74"/>
      <c r="DJ727" s="74"/>
      <c r="DK727" s="74"/>
      <c r="DL727" s="74"/>
      <c r="DM727" s="74"/>
      <c r="DN727" s="74"/>
      <c r="DO727" s="74"/>
      <c r="DP727" s="74"/>
      <c r="DQ727" s="74"/>
      <c r="DR727" s="74"/>
      <c r="DS727" s="74"/>
      <c r="DT727" s="74"/>
      <c r="DU727" s="74"/>
      <c r="DV727" s="74"/>
      <c r="DW727" s="74"/>
      <c r="DX727" s="74"/>
      <c r="DY727" s="74"/>
      <c r="DZ727" s="8">
        <f t="shared" si="194"/>
        <v>0</v>
      </c>
      <c r="EA727" s="3">
        <f t="shared" si="195"/>
        <v>0</v>
      </c>
      <c r="EB727" s="2">
        <f t="shared" si="196"/>
        <v>0</v>
      </c>
      <c r="EC727" s="112">
        <f t="shared" si="204"/>
        <v>0</v>
      </c>
      <c r="ED727" s="29">
        <f t="shared" si="197"/>
        <v>0</v>
      </c>
      <c r="EE727" s="2">
        <f t="shared" si="198"/>
        <v>0</v>
      </c>
      <c r="EF727" s="46">
        <f t="shared" si="199"/>
        <v>0</v>
      </c>
      <c r="EG727" s="46">
        <f t="shared" si="200"/>
        <v>0</v>
      </c>
      <c r="EH727" s="2">
        <f t="shared" si="201"/>
        <v>0</v>
      </c>
      <c r="EI727" s="29">
        <f>IF(COUNT(I727:AD727)&lt;5,DZ727,SUMPRODUCT(LARGE(I727:AD727,{1,2,3,4,5}))/5)</f>
        <v>0</v>
      </c>
      <c r="EJ727" s="29">
        <f>IF(COUNT(I727:BE727)&lt;5,DZ727,SUMPRODUCT(LARGE(I727:BE727,{1,2,3,4,5}))/5)</f>
        <v>0</v>
      </c>
      <c r="EK727" s="29">
        <f t="shared" si="203"/>
        <v>0</v>
      </c>
      <c r="EL727" s="29">
        <f t="shared" si="205"/>
        <v>0</v>
      </c>
      <c r="EM727" s="116">
        <f t="shared" si="202"/>
        <v>0</v>
      </c>
      <c r="EN727" s="46"/>
      <c r="EQ727"/>
    </row>
    <row r="728" spans="1:147" x14ac:dyDescent="0.25">
      <c r="A728" s="59"/>
      <c r="B728" s="32"/>
      <c r="C728" s="5"/>
      <c r="D728" s="6"/>
      <c r="E728" s="6"/>
      <c r="F728" s="6"/>
      <c r="G728" s="5"/>
      <c r="H728" s="99"/>
      <c r="I728" s="36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227"/>
      <c r="Z728" s="228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4"/>
      <c r="AP728" s="7"/>
      <c r="AQ728" s="74"/>
      <c r="AR728" s="70"/>
      <c r="AS728" s="7"/>
      <c r="AT728" s="70"/>
      <c r="AU728" s="7"/>
      <c r="AV728" s="70"/>
      <c r="AW728" s="7"/>
      <c r="AX728" s="183"/>
      <c r="AY728" s="107"/>
      <c r="AZ728" s="7"/>
      <c r="BA728" s="7"/>
      <c r="BB728" s="7"/>
      <c r="BC728" s="74"/>
      <c r="BD728" s="7"/>
      <c r="BE728" s="74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101"/>
      <c r="CL728" s="74"/>
      <c r="CM728" s="74"/>
      <c r="CN728" s="74"/>
      <c r="CO728" s="70"/>
      <c r="CP728" s="74"/>
      <c r="CQ728" s="7"/>
      <c r="CR728" s="74"/>
      <c r="CS728" s="74"/>
      <c r="CT728" s="74"/>
      <c r="CU728" s="74"/>
      <c r="CV728" s="74"/>
      <c r="CW728" s="7"/>
      <c r="CX728" s="7"/>
      <c r="CY728" s="7"/>
      <c r="CZ728" s="7"/>
      <c r="DA728" s="7"/>
      <c r="DB728" s="7"/>
      <c r="DC728" s="7"/>
      <c r="DD728" s="7"/>
      <c r="DE728" s="74"/>
      <c r="DF728" s="74"/>
      <c r="DG728" s="74"/>
      <c r="DH728" s="74"/>
      <c r="DI728" s="74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8">
        <f t="shared" si="194"/>
        <v>0</v>
      </c>
      <c r="EA728" s="3">
        <f t="shared" si="195"/>
        <v>0</v>
      </c>
      <c r="EB728" s="2">
        <f t="shared" si="196"/>
        <v>0</v>
      </c>
      <c r="EC728" s="112">
        <f t="shared" si="204"/>
        <v>0</v>
      </c>
      <c r="ED728" s="29">
        <f t="shared" si="197"/>
        <v>0</v>
      </c>
      <c r="EE728" s="2">
        <f t="shared" si="198"/>
        <v>0</v>
      </c>
      <c r="EF728" s="46">
        <f t="shared" si="199"/>
        <v>0</v>
      </c>
      <c r="EG728" s="46">
        <f t="shared" si="200"/>
        <v>0</v>
      </c>
      <c r="EH728" s="2">
        <f t="shared" si="201"/>
        <v>0</v>
      </c>
      <c r="EI728" s="29">
        <f>IF(COUNT(I728:AD728)&lt;5,DZ728,SUMPRODUCT(LARGE(I728:AD728,{1,2,3,4,5}))/5)</f>
        <v>0</v>
      </c>
      <c r="EJ728" s="29">
        <f>IF(COUNT(I728:BE728)&lt;5,DZ728,SUMPRODUCT(LARGE(I728:BE728,{1,2,3,4,5}))/5)</f>
        <v>0</v>
      </c>
      <c r="EK728" s="29">
        <f t="shared" si="203"/>
        <v>0</v>
      </c>
      <c r="EL728" s="29">
        <f t="shared" si="205"/>
        <v>0</v>
      </c>
      <c r="EM728" s="116">
        <f t="shared" si="202"/>
        <v>0</v>
      </c>
      <c r="EN728" s="46"/>
      <c r="EQ728"/>
    </row>
    <row r="729" spans="1:147" x14ac:dyDescent="0.25">
      <c r="A729" s="59"/>
      <c r="B729" s="32"/>
      <c r="C729" s="5"/>
      <c r="D729" s="6"/>
      <c r="E729" s="6"/>
      <c r="F729" s="6"/>
      <c r="G729" s="5"/>
      <c r="H729" s="37"/>
      <c r="I729" s="36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227"/>
      <c r="Z729" s="228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4"/>
      <c r="AP729" s="7"/>
      <c r="AQ729" s="74"/>
      <c r="AR729" s="70"/>
      <c r="AS729" s="7"/>
      <c r="AT729" s="70"/>
      <c r="AU729" s="7"/>
      <c r="AV729" s="70"/>
      <c r="AW729" s="7"/>
      <c r="AX729" s="183"/>
      <c r="AY729" s="10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101"/>
      <c r="CL729" s="74"/>
      <c r="CM729" s="74"/>
      <c r="CN729" s="74"/>
      <c r="CO729" s="70"/>
      <c r="CP729" s="74"/>
      <c r="CQ729" s="7"/>
      <c r="CR729" s="74"/>
      <c r="CS729" s="74"/>
      <c r="CT729" s="74"/>
      <c r="CU729" s="74"/>
      <c r="CV729" s="74"/>
      <c r="CW729" s="7"/>
      <c r="CX729" s="7"/>
      <c r="CY729" s="7"/>
      <c r="CZ729" s="74"/>
      <c r="DA729" s="7"/>
      <c r="DB729" s="7"/>
      <c r="DC729" s="7"/>
      <c r="DD729" s="7"/>
      <c r="DE729" s="74"/>
      <c r="DF729" s="74"/>
      <c r="DG729" s="74"/>
      <c r="DH729" s="74"/>
      <c r="DI729" s="74"/>
      <c r="DJ729" s="74"/>
      <c r="DK729" s="7"/>
      <c r="DL729" s="74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8">
        <f t="shared" si="194"/>
        <v>0</v>
      </c>
      <c r="EA729" s="3">
        <f t="shared" si="195"/>
        <v>0</v>
      </c>
      <c r="EB729" s="2">
        <f t="shared" si="196"/>
        <v>0</v>
      </c>
      <c r="EC729" s="112">
        <f t="shared" si="204"/>
        <v>0</v>
      </c>
      <c r="ED729" s="29">
        <f t="shared" si="197"/>
        <v>0</v>
      </c>
      <c r="EE729" s="2">
        <f t="shared" si="198"/>
        <v>0</v>
      </c>
      <c r="EF729" s="46">
        <f t="shared" si="199"/>
        <v>0</v>
      </c>
      <c r="EG729" s="46">
        <f t="shared" si="200"/>
        <v>0</v>
      </c>
      <c r="EH729" s="2">
        <f t="shared" si="201"/>
        <v>0</v>
      </c>
      <c r="EI729" s="29">
        <f>IF(COUNT(I729:AD729)&lt;5,DZ729,SUMPRODUCT(LARGE(I729:AD729,{1,2,3,4,5}))/5)</f>
        <v>0</v>
      </c>
      <c r="EJ729" s="29">
        <f>IF(COUNT(I729:BE729)&lt;5,DZ729,SUMPRODUCT(LARGE(I729:BE729,{1,2,3,4,5}))/5)</f>
        <v>0</v>
      </c>
      <c r="EK729" s="29">
        <f t="shared" si="203"/>
        <v>0</v>
      </c>
      <c r="EL729" s="29">
        <f t="shared" si="205"/>
        <v>0</v>
      </c>
      <c r="EM729" s="116">
        <f t="shared" si="202"/>
        <v>0</v>
      </c>
      <c r="EN729" s="46"/>
      <c r="EQ729"/>
    </row>
    <row r="730" spans="1:147" x14ac:dyDescent="0.25">
      <c r="A730" s="59"/>
      <c r="B730" s="32"/>
      <c r="C730" s="5"/>
      <c r="D730" s="6"/>
      <c r="E730" s="6"/>
      <c r="F730" s="6"/>
      <c r="G730" s="5"/>
      <c r="H730" s="37"/>
      <c r="I730" s="107"/>
      <c r="J730" s="7"/>
      <c r="K730" s="74"/>
      <c r="L730" s="7"/>
      <c r="M730" s="74"/>
      <c r="N730" s="74"/>
      <c r="O730" s="7"/>
      <c r="P730" s="74"/>
      <c r="Q730" s="7"/>
      <c r="R730" s="74"/>
      <c r="S730" s="74"/>
      <c r="T730" s="7"/>
      <c r="U730" s="7"/>
      <c r="V730" s="74"/>
      <c r="W730" s="74"/>
      <c r="X730" s="74"/>
      <c r="Y730" s="227"/>
      <c r="Z730" s="228"/>
      <c r="AA730" s="74"/>
      <c r="AB730" s="74"/>
      <c r="AC730" s="74"/>
      <c r="AD730" s="74"/>
      <c r="AE730" s="7"/>
      <c r="AF730" s="74"/>
      <c r="AG730" s="74"/>
      <c r="AH730" s="7"/>
      <c r="AI730" s="7"/>
      <c r="AJ730" s="7"/>
      <c r="AK730" s="7"/>
      <c r="AL730" s="7"/>
      <c r="AM730" s="7"/>
      <c r="AN730" s="7"/>
      <c r="AO730" s="74"/>
      <c r="AP730" s="7"/>
      <c r="AQ730" s="74"/>
      <c r="AR730" s="101"/>
      <c r="AS730" s="7"/>
      <c r="AT730" s="101"/>
      <c r="AU730" s="7"/>
      <c r="AV730" s="101"/>
      <c r="AW730" s="7"/>
      <c r="AX730" s="183"/>
      <c r="AY730" s="107"/>
      <c r="AZ730" s="74"/>
      <c r="BA730" s="74"/>
      <c r="BB730" s="74"/>
      <c r="BC730" s="74"/>
      <c r="BD730" s="74"/>
      <c r="BE730" s="74"/>
      <c r="BF730" s="74"/>
      <c r="BG730" s="74"/>
      <c r="BH730" s="74"/>
      <c r="BI730" s="74"/>
      <c r="BJ730" s="74"/>
      <c r="BK730" s="7"/>
      <c r="BL730" s="74"/>
      <c r="BM730" s="7"/>
      <c r="BN730" s="74"/>
      <c r="BO730" s="74"/>
      <c r="BP730" s="74"/>
      <c r="BQ730" s="74"/>
      <c r="BR730" s="74"/>
      <c r="BS730" s="74"/>
      <c r="BT730" s="74"/>
      <c r="BU730" s="74"/>
      <c r="BV730" s="74"/>
      <c r="BW730" s="74"/>
      <c r="BX730" s="74"/>
      <c r="BY730" s="74"/>
      <c r="BZ730" s="74"/>
      <c r="CA730" s="74"/>
      <c r="CB730" s="74"/>
      <c r="CC730" s="74"/>
      <c r="CD730" s="74"/>
      <c r="CE730" s="7"/>
      <c r="CF730" s="74"/>
      <c r="CG730" s="74"/>
      <c r="CH730" s="7"/>
      <c r="CI730" s="74"/>
      <c r="CJ730" s="74"/>
      <c r="CK730" s="101"/>
      <c r="CL730" s="74"/>
      <c r="CM730" s="74"/>
      <c r="CN730" s="74"/>
      <c r="CO730" s="101"/>
      <c r="CP730" s="74"/>
      <c r="CQ730" s="74"/>
      <c r="CR730" s="74"/>
      <c r="CS730" s="74"/>
      <c r="CT730" s="74"/>
      <c r="CU730" s="74"/>
      <c r="CV730" s="74"/>
      <c r="CW730" s="74"/>
      <c r="CX730" s="74"/>
      <c r="CY730" s="74"/>
      <c r="CZ730" s="74"/>
      <c r="DA730" s="74"/>
      <c r="DB730" s="74"/>
      <c r="DC730" s="74"/>
      <c r="DD730" s="74"/>
      <c r="DE730" s="74"/>
      <c r="DF730" s="74"/>
      <c r="DG730" s="74"/>
      <c r="DH730" s="74"/>
      <c r="DI730" s="74"/>
      <c r="DJ730" s="74"/>
      <c r="DK730" s="74"/>
      <c r="DL730" s="74"/>
      <c r="DM730" s="74"/>
      <c r="DN730" s="74"/>
      <c r="DO730" s="74"/>
      <c r="DP730" s="74"/>
      <c r="DQ730" s="74"/>
      <c r="DR730" s="74"/>
      <c r="DS730" s="74"/>
      <c r="DT730" s="74"/>
      <c r="DU730" s="74"/>
      <c r="DV730" s="74"/>
      <c r="DW730" s="74"/>
      <c r="DX730" s="74"/>
      <c r="DY730" s="74"/>
      <c r="DZ730" s="8">
        <f t="shared" si="194"/>
        <v>0</v>
      </c>
      <c r="EA730" s="3">
        <f t="shared" si="195"/>
        <v>0</v>
      </c>
      <c r="EB730" s="2">
        <f t="shared" si="196"/>
        <v>0</v>
      </c>
      <c r="EC730" s="112">
        <f t="shared" si="204"/>
        <v>0</v>
      </c>
      <c r="ED730" s="29">
        <f t="shared" si="197"/>
        <v>0</v>
      </c>
      <c r="EE730" s="2">
        <f t="shared" si="198"/>
        <v>0</v>
      </c>
      <c r="EF730" s="46">
        <f t="shared" si="199"/>
        <v>0</v>
      </c>
      <c r="EG730" s="46">
        <f t="shared" si="200"/>
        <v>0</v>
      </c>
      <c r="EH730" s="2">
        <f t="shared" si="201"/>
        <v>0</v>
      </c>
      <c r="EI730" s="29">
        <f>IF(COUNT(I730:AD730)&lt;5,DZ730,SUMPRODUCT(LARGE(I730:AD730,{1,2,3,4,5}))/5)</f>
        <v>0</v>
      </c>
      <c r="EJ730" s="29">
        <f>IF(COUNT(I730:BE730)&lt;5,DZ730,SUMPRODUCT(LARGE(I730:BE730,{1,2,3,4,5}))/5)</f>
        <v>0</v>
      </c>
      <c r="EK730" s="29">
        <f t="shared" si="203"/>
        <v>0</v>
      </c>
      <c r="EL730" s="29">
        <f t="shared" si="205"/>
        <v>0</v>
      </c>
      <c r="EM730" s="116">
        <f t="shared" si="202"/>
        <v>0</v>
      </c>
      <c r="EN730" s="46"/>
      <c r="EQ730"/>
    </row>
    <row r="731" spans="1:147" x14ac:dyDescent="0.25">
      <c r="A731" s="59"/>
      <c r="B731" s="32"/>
      <c r="C731" s="5"/>
      <c r="D731" s="6"/>
      <c r="E731" s="6"/>
      <c r="F731" s="6"/>
      <c r="G731" s="5"/>
      <c r="H731" s="37"/>
      <c r="I731" s="10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227"/>
      <c r="Z731" s="228"/>
      <c r="AA731" s="7"/>
      <c r="AB731" s="7"/>
      <c r="AC731" s="7"/>
      <c r="AD731" s="74"/>
      <c r="AE731" s="74"/>
      <c r="AF731" s="7"/>
      <c r="AG731" s="7"/>
      <c r="AH731" s="7"/>
      <c r="AI731" s="7"/>
      <c r="AJ731" s="7"/>
      <c r="AK731" s="7"/>
      <c r="AL731" s="7"/>
      <c r="AM731" s="7"/>
      <c r="AN731" s="7"/>
      <c r="AO731" s="74"/>
      <c r="AP731" s="7"/>
      <c r="AQ731" s="74"/>
      <c r="AR731" s="70"/>
      <c r="AS731" s="7"/>
      <c r="AT731" s="70"/>
      <c r="AU731" s="7"/>
      <c r="AV731" s="70"/>
      <c r="AW731" s="7"/>
      <c r="AX731" s="8"/>
      <c r="AY731" s="36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4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4"/>
      <c r="CG731" s="7"/>
      <c r="CH731" s="7"/>
      <c r="CI731" s="7"/>
      <c r="CJ731" s="7"/>
      <c r="CK731" s="101"/>
      <c r="CL731" s="74"/>
      <c r="CM731" s="74"/>
      <c r="CN731" s="74"/>
      <c r="CO731" s="70"/>
      <c r="CP731" s="74"/>
      <c r="CQ731" s="7"/>
      <c r="CR731" s="74"/>
      <c r="CS731" s="74"/>
      <c r="CT731" s="74"/>
      <c r="CU731" s="74"/>
      <c r="CV731" s="7"/>
      <c r="CW731" s="7"/>
      <c r="CX731" s="7"/>
      <c r="CY731" s="7"/>
      <c r="CZ731" s="7"/>
      <c r="DA731" s="7"/>
      <c r="DB731" s="7"/>
      <c r="DC731" s="7"/>
      <c r="DD731" s="7"/>
      <c r="DE731" s="74"/>
      <c r="DF731" s="74"/>
      <c r="DG731" s="74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8">
        <f t="shared" si="194"/>
        <v>0</v>
      </c>
      <c r="EA731" s="3">
        <f t="shared" si="195"/>
        <v>0</v>
      </c>
      <c r="EB731" s="2">
        <f t="shared" si="196"/>
        <v>0</v>
      </c>
      <c r="EC731" s="112">
        <f t="shared" si="204"/>
        <v>0</v>
      </c>
      <c r="ED731" s="29">
        <f t="shared" si="197"/>
        <v>0</v>
      </c>
      <c r="EE731" s="2">
        <f t="shared" si="198"/>
        <v>0</v>
      </c>
      <c r="EF731" s="46">
        <f t="shared" si="199"/>
        <v>0</v>
      </c>
      <c r="EG731" s="46">
        <f t="shared" si="200"/>
        <v>0</v>
      </c>
      <c r="EH731" s="2">
        <f t="shared" si="201"/>
        <v>0</v>
      </c>
      <c r="EI731" s="29">
        <f>IF(COUNT(I731:AD731)&lt;5,DZ731,SUMPRODUCT(LARGE(I731:AD731,{1,2,3,4,5}))/5)</f>
        <v>0</v>
      </c>
      <c r="EJ731" s="29">
        <f>IF(COUNT(I731:BE731)&lt;5,DZ731,SUMPRODUCT(LARGE(I731:BE731,{1,2,3,4,5}))/5)</f>
        <v>0</v>
      </c>
      <c r="EK731" s="29">
        <f t="shared" si="203"/>
        <v>0</v>
      </c>
      <c r="EL731" s="29">
        <f>(EK731*100)/101.59</f>
        <v>0</v>
      </c>
      <c r="EM731" s="116">
        <f t="shared" si="202"/>
        <v>0</v>
      </c>
      <c r="EN731" s="46"/>
      <c r="EQ731"/>
    </row>
    <row r="732" spans="1:147" x14ac:dyDescent="0.25">
      <c r="A732" s="59"/>
      <c r="B732" s="32"/>
      <c r="C732" s="5"/>
      <c r="D732" s="6"/>
      <c r="E732" s="6"/>
      <c r="F732" s="6"/>
      <c r="G732" s="5"/>
      <c r="H732" s="99"/>
      <c r="I732" s="36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227"/>
      <c r="Z732" s="228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4"/>
      <c r="AP732" s="7"/>
      <c r="AQ732" s="74"/>
      <c r="AR732" s="70"/>
      <c r="AS732" s="7"/>
      <c r="AT732" s="70"/>
      <c r="AU732" s="7"/>
      <c r="AV732" s="70"/>
      <c r="AW732" s="7"/>
      <c r="AX732" s="8"/>
      <c r="AY732" s="36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4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101"/>
      <c r="CL732" s="74"/>
      <c r="CM732" s="74"/>
      <c r="CN732" s="74"/>
      <c r="CO732" s="70"/>
      <c r="CP732" s="74"/>
      <c r="CQ732" s="7"/>
      <c r="CR732" s="74"/>
      <c r="CS732" s="74"/>
      <c r="CT732" s="74"/>
      <c r="CU732" s="74"/>
      <c r="CV732" s="74"/>
      <c r="CW732" s="7"/>
      <c r="CX732" s="7"/>
      <c r="CY732" s="7"/>
      <c r="CZ732" s="7"/>
      <c r="DA732" s="7"/>
      <c r="DB732" s="7"/>
      <c r="DC732" s="7"/>
      <c r="DD732" s="7"/>
      <c r="DE732" s="74"/>
      <c r="DF732" s="74"/>
      <c r="DG732" s="74"/>
      <c r="DH732" s="74"/>
      <c r="DI732" s="74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8">
        <f t="shared" si="194"/>
        <v>0</v>
      </c>
      <c r="EA732" s="3">
        <f t="shared" si="195"/>
        <v>0</v>
      </c>
      <c r="EB732" s="2">
        <f t="shared" si="196"/>
        <v>0</v>
      </c>
      <c r="EC732" s="112">
        <f t="shared" si="204"/>
        <v>0</v>
      </c>
      <c r="ED732" s="29">
        <f t="shared" si="197"/>
        <v>0</v>
      </c>
      <c r="EE732" s="2">
        <f t="shared" si="198"/>
        <v>0</v>
      </c>
      <c r="EF732" s="46">
        <f t="shared" si="199"/>
        <v>0</v>
      </c>
      <c r="EG732" s="46">
        <f t="shared" si="200"/>
        <v>0</v>
      </c>
      <c r="EH732" s="2">
        <f t="shared" si="201"/>
        <v>0</v>
      </c>
      <c r="EI732" s="29">
        <f>IF(COUNT(I732:AD732)&lt;5,DZ732,SUMPRODUCT(LARGE(I732:AD732,{1,2,3,4,5}))/5)</f>
        <v>0</v>
      </c>
      <c r="EJ732" s="29">
        <f>IF(COUNT(I732:BE732)&lt;5,DZ732,SUMPRODUCT(LARGE(I732:BE732,{1,2,3,4,5}))/5)</f>
        <v>0</v>
      </c>
      <c r="EK732" s="29">
        <f t="shared" si="203"/>
        <v>0</v>
      </c>
      <c r="EL732" s="29">
        <f>(EK732*100)/101.28</f>
        <v>0</v>
      </c>
      <c r="EM732" s="116">
        <f t="shared" si="202"/>
        <v>0</v>
      </c>
      <c r="EN732" s="46"/>
      <c r="EQ732"/>
    </row>
    <row r="733" spans="1:147" x14ac:dyDescent="0.25">
      <c r="A733" s="59"/>
      <c r="B733" s="32"/>
      <c r="C733" s="5"/>
      <c r="D733" s="6"/>
      <c r="E733" s="6"/>
      <c r="F733" s="6"/>
      <c r="G733" s="5"/>
      <c r="H733" s="99"/>
      <c r="I733" s="36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227"/>
      <c r="Z733" s="228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4"/>
      <c r="AP733" s="7"/>
      <c r="AQ733" s="74"/>
      <c r="AR733" s="70"/>
      <c r="AS733" s="7"/>
      <c r="AT733" s="70"/>
      <c r="AU733" s="7"/>
      <c r="AV733" s="70"/>
      <c r="AW733" s="7"/>
      <c r="AX733" s="183"/>
      <c r="AY733" s="10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4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101"/>
      <c r="CL733" s="74"/>
      <c r="CM733" s="74"/>
      <c r="CN733" s="74"/>
      <c r="CO733" s="70"/>
      <c r="CP733" s="74"/>
      <c r="CQ733" s="7"/>
      <c r="CR733" s="74"/>
      <c r="CS733" s="74"/>
      <c r="CT733" s="74"/>
      <c r="CU733" s="74"/>
      <c r="CV733" s="7"/>
      <c r="CW733" s="7"/>
      <c r="CX733" s="7"/>
      <c r="CY733" s="7"/>
      <c r="CZ733" s="7"/>
      <c r="DA733" s="7"/>
      <c r="DB733" s="7"/>
      <c r="DC733" s="7"/>
      <c r="DD733" s="7"/>
      <c r="DE733" s="74"/>
      <c r="DF733" s="74"/>
      <c r="DG733" s="74"/>
      <c r="DH733" s="74"/>
      <c r="DI733" s="74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8">
        <f t="shared" si="194"/>
        <v>0</v>
      </c>
      <c r="EA733" s="3">
        <f t="shared" si="195"/>
        <v>0</v>
      </c>
      <c r="EB733" s="2">
        <f t="shared" si="196"/>
        <v>0</v>
      </c>
      <c r="EC733" s="112">
        <f t="shared" si="204"/>
        <v>0</v>
      </c>
      <c r="ED733" s="29">
        <f t="shared" si="197"/>
        <v>0</v>
      </c>
      <c r="EE733" s="2">
        <f t="shared" si="198"/>
        <v>0</v>
      </c>
      <c r="EF733" s="46">
        <f t="shared" si="199"/>
        <v>0</v>
      </c>
      <c r="EG733" s="46">
        <f t="shared" si="200"/>
        <v>0</v>
      </c>
      <c r="EH733" s="29">
        <f t="shared" si="201"/>
        <v>0</v>
      </c>
      <c r="EI733" s="29">
        <f>IF(COUNT(I733:AD733)&lt;5,DZ733,SUMPRODUCT(LARGE(I733:AD733,{1,2,3,4,5}))/5)</f>
        <v>0</v>
      </c>
      <c r="EJ733" s="29">
        <f>IF(COUNT(I733:BE733)&lt;5,DZ733,SUMPRODUCT(LARGE(I733:BE733,{1,2,3,4,5}))/5)</f>
        <v>0</v>
      </c>
      <c r="EK733" s="29">
        <f t="shared" si="203"/>
        <v>0</v>
      </c>
      <c r="EL733" s="29">
        <f>(EK733*100)/101.28</f>
        <v>0</v>
      </c>
      <c r="EM733" s="116">
        <f t="shared" si="202"/>
        <v>0</v>
      </c>
      <c r="EN733" s="46"/>
      <c r="EQ733"/>
    </row>
    <row r="734" spans="1:147" x14ac:dyDescent="0.25">
      <c r="A734" s="59"/>
      <c r="B734" s="32"/>
      <c r="C734" s="5"/>
      <c r="D734" s="6"/>
      <c r="E734" s="6"/>
      <c r="F734" s="6"/>
      <c r="G734" s="5"/>
      <c r="H734" s="37"/>
      <c r="I734" s="107"/>
      <c r="J734" s="7"/>
      <c r="K734" s="74"/>
      <c r="L734" s="7"/>
      <c r="M734" s="74"/>
      <c r="N734" s="74"/>
      <c r="O734" s="7"/>
      <c r="P734" s="74"/>
      <c r="Q734" s="7"/>
      <c r="R734" s="74"/>
      <c r="S734" s="74"/>
      <c r="T734" s="7"/>
      <c r="U734" s="7"/>
      <c r="V734" s="74"/>
      <c r="W734" s="74"/>
      <c r="X734" s="74"/>
      <c r="Y734" s="227"/>
      <c r="Z734" s="228"/>
      <c r="AA734" s="74"/>
      <c r="AB734" s="74"/>
      <c r="AC734" s="74"/>
      <c r="AD734" s="74"/>
      <c r="AE734" s="7"/>
      <c r="AF734" s="74"/>
      <c r="AG734" s="74"/>
      <c r="AH734" s="7"/>
      <c r="AI734" s="7"/>
      <c r="AJ734" s="7"/>
      <c r="AK734" s="7"/>
      <c r="AL734" s="7"/>
      <c r="AM734" s="7"/>
      <c r="AN734" s="7"/>
      <c r="AO734" s="74"/>
      <c r="AP734" s="7"/>
      <c r="AQ734" s="74"/>
      <c r="AR734" s="101"/>
      <c r="AS734" s="7"/>
      <c r="AT734" s="101"/>
      <c r="AU734" s="7"/>
      <c r="AV734" s="101"/>
      <c r="AW734" s="7"/>
      <c r="AX734" s="8"/>
      <c r="AY734" s="36"/>
      <c r="AZ734" s="74"/>
      <c r="BA734" s="74"/>
      <c r="BB734" s="74"/>
      <c r="BC734" s="74"/>
      <c r="BD734" s="74"/>
      <c r="BE734" s="74"/>
      <c r="BF734" s="74"/>
      <c r="BG734" s="74"/>
      <c r="BH734" s="74"/>
      <c r="BI734" s="74"/>
      <c r="BJ734" s="74"/>
      <c r="BK734" s="7"/>
      <c r="BL734" s="74"/>
      <c r="BM734" s="7"/>
      <c r="BN734" s="74"/>
      <c r="BO734" s="74"/>
      <c r="BP734" s="74"/>
      <c r="BQ734" s="74"/>
      <c r="BR734" s="74"/>
      <c r="BS734" s="74"/>
      <c r="BT734" s="74"/>
      <c r="BU734" s="74"/>
      <c r="BV734" s="74"/>
      <c r="BW734" s="74"/>
      <c r="BX734" s="74"/>
      <c r="BY734" s="74"/>
      <c r="BZ734" s="74"/>
      <c r="CA734" s="74"/>
      <c r="CB734" s="74"/>
      <c r="CC734" s="74"/>
      <c r="CD734" s="74"/>
      <c r="CE734" s="7"/>
      <c r="CF734" s="74"/>
      <c r="CG734" s="74"/>
      <c r="CH734" s="7"/>
      <c r="CI734" s="74"/>
      <c r="CJ734" s="74"/>
      <c r="CK734" s="101"/>
      <c r="CL734" s="74"/>
      <c r="CM734" s="74"/>
      <c r="CN734" s="74"/>
      <c r="CO734" s="101"/>
      <c r="CP734" s="74"/>
      <c r="CQ734" s="74"/>
      <c r="CR734" s="74"/>
      <c r="CS734" s="74"/>
      <c r="CT734" s="74"/>
      <c r="CU734" s="74"/>
      <c r="CV734" s="74"/>
      <c r="CW734" s="74"/>
      <c r="CX734" s="74"/>
      <c r="CY734" s="74"/>
      <c r="CZ734" s="74"/>
      <c r="DA734" s="74"/>
      <c r="DB734" s="74"/>
      <c r="DC734" s="74"/>
      <c r="DD734" s="74"/>
      <c r="DE734" s="74"/>
      <c r="DF734" s="74"/>
      <c r="DG734" s="74"/>
      <c r="DH734" s="74"/>
      <c r="DI734" s="74"/>
      <c r="DJ734" s="74"/>
      <c r="DK734" s="74"/>
      <c r="DL734" s="74"/>
      <c r="DM734" s="74"/>
      <c r="DN734" s="74"/>
      <c r="DO734" s="74"/>
      <c r="DP734" s="74"/>
      <c r="DQ734" s="74"/>
      <c r="DR734" s="74"/>
      <c r="DS734" s="74"/>
      <c r="DT734" s="74"/>
      <c r="DU734" s="74"/>
      <c r="DV734" s="74"/>
      <c r="DW734" s="74"/>
      <c r="DX734" s="74"/>
      <c r="DY734" s="74"/>
      <c r="DZ734" s="8">
        <f t="shared" si="194"/>
        <v>0</v>
      </c>
      <c r="EA734" s="3">
        <f t="shared" si="195"/>
        <v>0</v>
      </c>
      <c r="EB734" s="2">
        <f t="shared" si="196"/>
        <v>0</v>
      </c>
      <c r="EC734" s="112">
        <f t="shared" si="204"/>
        <v>0</v>
      </c>
      <c r="ED734" s="29">
        <f t="shared" si="197"/>
        <v>0</v>
      </c>
      <c r="EE734" s="2">
        <f t="shared" si="198"/>
        <v>0</v>
      </c>
      <c r="EF734" s="46">
        <f t="shared" si="199"/>
        <v>0</v>
      </c>
      <c r="EG734" s="46">
        <f t="shared" si="200"/>
        <v>0</v>
      </c>
      <c r="EH734" s="2">
        <f t="shared" si="201"/>
        <v>0</v>
      </c>
      <c r="EI734" s="29">
        <f>IF(COUNT(I734:AD734)&lt;5,DZ734,SUMPRODUCT(LARGE(I734:AD734,{1,2,3,4,5}))/5)</f>
        <v>0</v>
      </c>
      <c r="EJ734" s="29">
        <f>IF(COUNT(I734:BE734)&lt;5,DZ734,SUMPRODUCT(LARGE(I734:BE734,{1,2,3,4,5}))/5)</f>
        <v>0</v>
      </c>
      <c r="EK734" s="29">
        <f t="shared" si="203"/>
        <v>0</v>
      </c>
      <c r="EL734" s="29">
        <f>(EK734*100)/101.28</f>
        <v>0</v>
      </c>
      <c r="EM734" s="116">
        <f t="shared" si="202"/>
        <v>0</v>
      </c>
      <c r="EN734" s="46"/>
      <c r="EQ734"/>
    </row>
    <row r="735" spans="1:147" x14ac:dyDescent="0.25">
      <c r="A735" s="59"/>
      <c r="B735" s="32"/>
      <c r="C735" s="5"/>
      <c r="D735" s="6"/>
      <c r="E735" s="6"/>
      <c r="F735" s="6"/>
      <c r="G735" s="5"/>
      <c r="H735" s="99"/>
      <c r="I735" s="107"/>
      <c r="J735" s="7"/>
      <c r="K735" s="74"/>
      <c r="L735" s="7"/>
      <c r="M735" s="74"/>
      <c r="N735" s="74"/>
      <c r="O735" s="7"/>
      <c r="P735" s="74"/>
      <c r="Q735" s="7"/>
      <c r="R735" s="74"/>
      <c r="S735" s="74"/>
      <c r="T735" s="7"/>
      <c r="U735" s="7"/>
      <c r="V735" s="74"/>
      <c r="W735" s="74"/>
      <c r="X735" s="74"/>
      <c r="Y735" s="227"/>
      <c r="Z735" s="228"/>
      <c r="AA735" s="74"/>
      <c r="AB735" s="74"/>
      <c r="AC735" s="74"/>
      <c r="AD735" s="74"/>
      <c r="AE735" s="7"/>
      <c r="AF735" s="74"/>
      <c r="AG735" s="74"/>
      <c r="AH735" s="7"/>
      <c r="AI735" s="7"/>
      <c r="AJ735" s="7"/>
      <c r="AK735" s="7"/>
      <c r="AL735" s="7"/>
      <c r="AM735" s="7"/>
      <c r="AN735" s="7"/>
      <c r="AO735" s="74"/>
      <c r="AP735" s="7"/>
      <c r="AQ735" s="74"/>
      <c r="AR735" s="101"/>
      <c r="AS735" s="7"/>
      <c r="AT735" s="101"/>
      <c r="AU735" s="7"/>
      <c r="AV735" s="101"/>
      <c r="AW735" s="7"/>
      <c r="AX735" s="8"/>
      <c r="AY735" s="36"/>
      <c r="AZ735" s="74"/>
      <c r="BA735" s="74"/>
      <c r="BB735" s="74"/>
      <c r="BC735" s="74"/>
      <c r="BD735" s="74"/>
      <c r="BE735" s="74"/>
      <c r="BF735" s="74"/>
      <c r="BG735" s="74"/>
      <c r="BH735" s="74"/>
      <c r="BI735" s="74"/>
      <c r="BJ735" s="74"/>
      <c r="BK735" s="7"/>
      <c r="BL735" s="74"/>
      <c r="BM735" s="7"/>
      <c r="BN735" s="74"/>
      <c r="BO735" s="74"/>
      <c r="BP735" s="74"/>
      <c r="BQ735" s="74"/>
      <c r="BR735" s="74"/>
      <c r="BS735" s="74"/>
      <c r="BT735" s="74"/>
      <c r="BU735" s="74"/>
      <c r="BV735" s="74"/>
      <c r="BW735" s="74"/>
      <c r="BX735" s="74"/>
      <c r="BY735" s="74"/>
      <c r="BZ735" s="74"/>
      <c r="CA735" s="74"/>
      <c r="CB735" s="74"/>
      <c r="CC735" s="74"/>
      <c r="CD735" s="74"/>
      <c r="CE735" s="7"/>
      <c r="CF735" s="74"/>
      <c r="CG735" s="74"/>
      <c r="CH735" s="7"/>
      <c r="CI735" s="74"/>
      <c r="CJ735" s="74"/>
      <c r="CK735" s="101"/>
      <c r="CL735" s="74"/>
      <c r="CM735" s="74"/>
      <c r="CN735" s="74"/>
      <c r="CO735" s="101"/>
      <c r="CP735" s="74"/>
      <c r="CQ735" s="74"/>
      <c r="CR735" s="74"/>
      <c r="CS735" s="74"/>
      <c r="CT735" s="74"/>
      <c r="CU735" s="74"/>
      <c r="CV735" s="74"/>
      <c r="CW735" s="74"/>
      <c r="CX735" s="74"/>
      <c r="CY735" s="74"/>
      <c r="CZ735" s="74"/>
      <c r="DA735" s="74"/>
      <c r="DB735" s="74"/>
      <c r="DC735" s="74"/>
      <c r="DD735" s="74"/>
      <c r="DE735" s="74"/>
      <c r="DF735" s="74"/>
      <c r="DG735" s="74"/>
      <c r="DH735" s="74"/>
      <c r="DI735" s="74"/>
      <c r="DJ735" s="74"/>
      <c r="DK735" s="74"/>
      <c r="DL735" s="74"/>
      <c r="DM735" s="74"/>
      <c r="DN735" s="74"/>
      <c r="DO735" s="74"/>
      <c r="DP735" s="74"/>
      <c r="DQ735" s="74"/>
      <c r="DR735" s="74"/>
      <c r="DS735" s="74"/>
      <c r="DT735" s="74"/>
      <c r="DU735" s="74"/>
      <c r="DV735" s="74"/>
      <c r="DW735" s="74"/>
      <c r="DX735" s="74"/>
      <c r="DY735" s="74"/>
      <c r="DZ735" s="8">
        <f t="shared" si="194"/>
        <v>0</v>
      </c>
      <c r="EA735" s="3">
        <f t="shared" si="195"/>
        <v>0</v>
      </c>
      <c r="EB735" s="2">
        <f t="shared" si="196"/>
        <v>0</v>
      </c>
      <c r="EC735" s="112">
        <f t="shared" si="204"/>
        <v>0</v>
      </c>
      <c r="ED735" s="29">
        <f t="shared" si="197"/>
        <v>0</v>
      </c>
      <c r="EE735" s="2">
        <f t="shared" si="198"/>
        <v>0</v>
      </c>
      <c r="EF735" s="46">
        <f t="shared" si="199"/>
        <v>0</v>
      </c>
      <c r="EG735" s="46">
        <f t="shared" si="200"/>
        <v>0</v>
      </c>
      <c r="EH735" s="2">
        <f t="shared" si="201"/>
        <v>0</v>
      </c>
      <c r="EI735" s="29">
        <f>IF(COUNT(I735:AD735)&lt;5,DZ735,SUMPRODUCT(LARGE(I735:AD735,{1,2,3,4,5}))/5)</f>
        <v>0</v>
      </c>
      <c r="EJ735" s="29">
        <f>IF(COUNT(I735:BE735)&lt;5,DZ735,SUMPRODUCT(LARGE(I735:BE735,{1,2,3,4,5}))/5)</f>
        <v>0</v>
      </c>
      <c r="EK735" s="29">
        <f t="shared" si="203"/>
        <v>0</v>
      </c>
      <c r="EL735" s="29">
        <f>(EK735*100)/101.28</f>
        <v>0</v>
      </c>
      <c r="EM735" s="116">
        <f t="shared" si="202"/>
        <v>0</v>
      </c>
      <c r="EN735" s="46"/>
      <c r="EQ735"/>
    </row>
    <row r="736" spans="1:147" x14ac:dyDescent="0.25">
      <c r="A736" s="59"/>
      <c r="B736" s="4"/>
      <c r="C736" s="5"/>
      <c r="D736" s="5"/>
      <c r="E736" s="6"/>
      <c r="F736" s="6"/>
      <c r="G736" s="5"/>
      <c r="H736" s="99"/>
      <c r="I736" s="36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227"/>
      <c r="Z736" s="228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4"/>
      <c r="AP736" s="7"/>
      <c r="AQ736" s="74"/>
      <c r="AR736" s="70"/>
      <c r="AS736" s="7"/>
      <c r="AT736" s="70"/>
      <c r="AU736" s="7"/>
      <c r="AV736" s="70"/>
      <c r="AW736" s="7"/>
      <c r="AX736" s="8"/>
      <c r="AY736" s="36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101"/>
      <c r="CL736" s="74"/>
      <c r="CM736" s="74"/>
      <c r="CN736" s="74"/>
      <c r="CO736" s="70"/>
      <c r="CP736" s="74"/>
      <c r="CQ736" s="7"/>
      <c r="CR736" s="74"/>
      <c r="CS736" s="74"/>
      <c r="CT736" s="74"/>
      <c r="CU736" s="74"/>
      <c r="CV736" s="74"/>
      <c r="CW736" s="7"/>
      <c r="CX736" s="7"/>
      <c r="CY736" s="7"/>
      <c r="CZ736" s="7"/>
      <c r="DA736" s="7"/>
      <c r="DB736" s="7"/>
      <c r="DC736" s="7"/>
      <c r="DD736" s="7"/>
      <c r="DE736" s="74"/>
      <c r="DF736" s="74"/>
      <c r="DG736" s="74"/>
      <c r="DH736" s="74"/>
      <c r="DI736" s="74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8">
        <f t="shared" si="194"/>
        <v>0</v>
      </c>
      <c r="EA736" s="3">
        <f t="shared" si="195"/>
        <v>0</v>
      </c>
      <c r="EB736" s="2">
        <f t="shared" si="196"/>
        <v>0</v>
      </c>
      <c r="EC736" s="112">
        <f t="shared" si="204"/>
        <v>0</v>
      </c>
      <c r="ED736" s="29">
        <f t="shared" si="197"/>
        <v>0</v>
      </c>
      <c r="EE736" s="2">
        <f t="shared" si="198"/>
        <v>0</v>
      </c>
      <c r="EF736" s="46">
        <f t="shared" si="199"/>
        <v>0</v>
      </c>
      <c r="EG736" s="46">
        <f t="shared" si="200"/>
        <v>0</v>
      </c>
      <c r="EH736" s="2">
        <f t="shared" si="201"/>
        <v>0</v>
      </c>
      <c r="EI736" s="29">
        <f>IF(COUNT(I736:AD736)&lt;5,DZ736,SUMPRODUCT(LARGE(I736:AD736,{1,2,3,4,5}))/5)</f>
        <v>0</v>
      </c>
      <c r="EJ736" s="29">
        <f>IF(COUNT(I736:BE736)&lt;5,DZ736,SUMPRODUCT(LARGE(I736:BE736,{1,2,3,4,5}))/5)</f>
        <v>0</v>
      </c>
      <c r="EK736" s="29">
        <f t="shared" si="203"/>
        <v>0</v>
      </c>
      <c r="EL736" s="29">
        <f>(EK736*100)/101.28</f>
        <v>0</v>
      </c>
      <c r="EM736" s="116">
        <f t="shared" si="202"/>
        <v>0</v>
      </c>
      <c r="EN736" s="46"/>
      <c r="EQ736"/>
    </row>
    <row r="737" spans="1:147" x14ac:dyDescent="0.25">
      <c r="A737" s="59"/>
      <c r="B737" s="32"/>
      <c r="C737" s="5"/>
      <c r="D737" s="6"/>
      <c r="E737" s="6"/>
      <c r="F737" s="6"/>
      <c r="G737" s="5"/>
      <c r="H737" s="37"/>
      <c r="I737" s="36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227"/>
      <c r="Z737" s="228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4"/>
      <c r="AP737" s="7"/>
      <c r="AQ737" s="74"/>
      <c r="AR737" s="70"/>
      <c r="AS737" s="7"/>
      <c r="AT737" s="70"/>
      <c r="AU737" s="7"/>
      <c r="AV737" s="70"/>
      <c r="AW737" s="7"/>
      <c r="AX737" s="183"/>
      <c r="AY737" s="107"/>
      <c r="AZ737" s="7"/>
      <c r="BA737" s="7"/>
      <c r="BB737" s="7"/>
      <c r="BC737" s="74"/>
      <c r="BD737" s="7"/>
      <c r="BE737" s="74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101"/>
      <c r="CL737" s="74"/>
      <c r="CM737" s="74"/>
      <c r="CN737" s="74"/>
      <c r="CO737" s="70"/>
      <c r="CP737" s="74"/>
      <c r="CQ737" s="7"/>
      <c r="CR737" s="74"/>
      <c r="CS737" s="74"/>
      <c r="CT737" s="74"/>
      <c r="CU737" s="74"/>
      <c r="CV737" s="74"/>
      <c r="CW737" s="7"/>
      <c r="CX737" s="7"/>
      <c r="CY737" s="7"/>
      <c r="CZ737" s="7"/>
      <c r="DA737" s="7"/>
      <c r="DB737" s="7"/>
      <c r="DC737" s="7"/>
      <c r="DD737" s="7"/>
      <c r="DE737" s="74"/>
      <c r="DF737" s="74"/>
      <c r="DG737" s="74"/>
      <c r="DH737" s="74"/>
      <c r="DI737" s="74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8">
        <f t="shared" si="194"/>
        <v>0</v>
      </c>
      <c r="EA737" s="3">
        <f t="shared" si="195"/>
        <v>0</v>
      </c>
      <c r="EB737" s="2">
        <f t="shared" si="196"/>
        <v>0</v>
      </c>
      <c r="EC737" s="112">
        <f t="shared" si="204"/>
        <v>0</v>
      </c>
      <c r="ED737" s="29">
        <f t="shared" si="197"/>
        <v>0</v>
      </c>
      <c r="EE737" s="2">
        <f t="shared" si="198"/>
        <v>0</v>
      </c>
      <c r="EF737" s="46">
        <f t="shared" si="199"/>
        <v>0</v>
      </c>
      <c r="EG737" s="46">
        <f t="shared" si="200"/>
        <v>0</v>
      </c>
      <c r="EH737" s="2">
        <f t="shared" si="201"/>
        <v>0</v>
      </c>
      <c r="EI737" s="29">
        <f>IF(COUNT(I737:AD737)&lt;5,DZ737,SUMPRODUCT(LARGE(I737:AD737,{1,2,3,4,5}))/5)</f>
        <v>0</v>
      </c>
      <c r="EJ737" s="29">
        <f>IF(COUNT(I737:BE737)&lt;5,DZ737,SUMPRODUCT(LARGE(I737:BE737,{1,2,3,4,5}))/5)</f>
        <v>0</v>
      </c>
      <c r="EK737" s="29">
        <f t="shared" si="203"/>
        <v>0</v>
      </c>
      <c r="EL737" s="29">
        <f>(EK737*100)/101.59</f>
        <v>0</v>
      </c>
      <c r="EM737" s="116">
        <f t="shared" si="202"/>
        <v>0</v>
      </c>
      <c r="EN737" s="46"/>
      <c r="EQ737"/>
    </row>
    <row r="738" spans="1:147" x14ac:dyDescent="0.25">
      <c r="A738" s="59"/>
      <c r="B738" s="32"/>
      <c r="C738" s="5"/>
      <c r="D738" s="6"/>
      <c r="E738" s="6"/>
      <c r="F738" s="6"/>
      <c r="G738" s="5"/>
      <c r="H738" s="37"/>
      <c r="I738" s="36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227"/>
      <c r="Z738" s="228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4"/>
      <c r="AP738" s="7"/>
      <c r="AQ738" s="74"/>
      <c r="AR738" s="70"/>
      <c r="AS738" s="7"/>
      <c r="AT738" s="70"/>
      <c r="AU738" s="7"/>
      <c r="AV738" s="70"/>
      <c r="AW738" s="7"/>
      <c r="AX738" s="183"/>
      <c r="AY738" s="10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4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101"/>
      <c r="CL738" s="74"/>
      <c r="CM738" s="74"/>
      <c r="CN738" s="74"/>
      <c r="CO738" s="70"/>
      <c r="CP738" s="74"/>
      <c r="CQ738" s="7"/>
      <c r="CR738" s="74"/>
      <c r="CS738" s="74"/>
      <c r="CT738" s="74"/>
      <c r="CU738" s="74"/>
      <c r="CV738" s="7"/>
      <c r="CW738" s="7"/>
      <c r="CX738" s="7"/>
      <c r="CY738" s="7"/>
      <c r="CZ738" s="7"/>
      <c r="DA738" s="7"/>
      <c r="DB738" s="7"/>
      <c r="DC738" s="7"/>
      <c r="DD738" s="7"/>
      <c r="DE738" s="74"/>
      <c r="DF738" s="74"/>
      <c r="DG738" s="74"/>
      <c r="DH738" s="7"/>
      <c r="DI738" s="74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8">
        <f t="shared" si="194"/>
        <v>0</v>
      </c>
      <c r="EA738" s="3">
        <f t="shared" si="195"/>
        <v>0</v>
      </c>
      <c r="EB738" s="2">
        <f t="shared" si="196"/>
        <v>0</v>
      </c>
      <c r="EC738" s="112">
        <f t="shared" si="204"/>
        <v>0</v>
      </c>
      <c r="ED738" s="29">
        <f t="shared" si="197"/>
        <v>0</v>
      </c>
      <c r="EE738" s="2">
        <f t="shared" si="198"/>
        <v>0</v>
      </c>
      <c r="EF738" s="46">
        <f t="shared" si="199"/>
        <v>0</v>
      </c>
      <c r="EG738" s="46">
        <f t="shared" si="200"/>
        <v>0</v>
      </c>
      <c r="EH738" s="2">
        <f t="shared" si="201"/>
        <v>0</v>
      </c>
      <c r="EI738" s="29">
        <f>IF(COUNT(I738:AD738)&lt;5,DZ738,SUMPRODUCT(LARGE(I738:AD738,{1,2,3,4,5}))/5)</f>
        <v>0</v>
      </c>
      <c r="EJ738" s="29">
        <f>IF(COUNT(I738:BE738)&lt;5,DZ738,SUMPRODUCT(LARGE(I738:BE738,{1,2,3,4,5}))/5)</f>
        <v>0</v>
      </c>
      <c r="EK738" s="29">
        <f t="shared" si="203"/>
        <v>0</v>
      </c>
      <c r="EL738" s="29">
        <f>(EK738*100)/101.28</f>
        <v>0</v>
      </c>
      <c r="EM738" s="116">
        <f t="shared" si="202"/>
        <v>0</v>
      </c>
      <c r="EN738" s="46"/>
      <c r="EQ738"/>
    </row>
    <row r="739" spans="1:147" x14ac:dyDescent="0.25">
      <c r="A739" s="59"/>
      <c r="B739" s="32"/>
      <c r="C739" s="5"/>
      <c r="D739" s="6"/>
      <c r="E739" s="6"/>
      <c r="F739" s="6"/>
      <c r="G739" s="5"/>
      <c r="H739" s="37"/>
      <c r="I739" s="36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227"/>
      <c r="Z739" s="228"/>
      <c r="AA739" s="7"/>
      <c r="AB739" s="7"/>
      <c r="AC739" s="7"/>
      <c r="AD739" s="74"/>
      <c r="AE739" s="74"/>
      <c r="AF739" s="7"/>
      <c r="AG739" s="7"/>
      <c r="AH739" s="7"/>
      <c r="AI739" s="7"/>
      <c r="AJ739" s="7"/>
      <c r="AK739" s="7"/>
      <c r="AL739" s="7"/>
      <c r="AM739" s="7"/>
      <c r="AN739" s="7"/>
      <c r="AO739" s="74"/>
      <c r="AP739" s="7"/>
      <c r="AQ739" s="74"/>
      <c r="AR739" s="70"/>
      <c r="AS739" s="7"/>
      <c r="AT739" s="70"/>
      <c r="AU739" s="7"/>
      <c r="AV739" s="70"/>
      <c r="AW739" s="7"/>
      <c r="AX739" s="8"/>
      <c r="AY739" s="36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101"/>
      <c r="CL739" s="74"/>
      <c r="CM739" s="7"/>
      <c r="CN739" s="74"/>
      <c r="CO739" s="70"/>
      <c r="CP739" s="74"/>
      <c r="CQ739" s="7"/>
      <c r="CR739" s="74"/>
      <c r="CS739" s="74"/>
      <c r="CT739" s="74"/>
      <c r="CU739" s="74"/>
      <c r="CV739" s="74"/>
      <c r="CW739" s="7"/>
      <c r="CX739" s="7"/>
      <c r="CY739" s="7"/>
      <c r="CZ739" s="7"/>
      <c r="DA739" s="7"/>
      <c r="DB739" s="7"/>
      <c r="DC739" s="7"/>
      <c r="DD739" s="7"/>
      <c r="DE739" s="74"/>
      <c r="DF739" s="74"/>
      <c r="DG739" s="74"/>
      <c r="DH739" s="74"/>
      <c r="DI739" s="74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8">
        <f t="shared" si="194"/>
        <v>0</v>
      </c>
      <c r="EA739" s="3">
        <f t="shared" si="195"/>
        <v>0</v>
      </c>
      <c r="EB739" s="2">
        <f t="shared" si="196"/>
        <v>0</v>
      </c>
      <c r="EC739" s="112">
        <f t="shared" si="204"/>
        <v>0</v>
      </c>
      <c r="ED739" s="29">
        <f t="shared" si="197"/>
        <v>0</v>
      </c>
      <c r="EE739" s="2">
        <f t="shared" si="198"/>
        <v>0</v>
      </c>
      <c r="EF739" s="46">
        <f t="shared" si="199"/>
        <v>0</v>
      </c>
      <c r="EG739" s="46">
        <f t="shared" si="200"/>
        <v>0</v>
      </c>
      <c r="EH739" s="2">
        <f t="shared" si="201"/>
        <v>0</v>
      </c>
      <c r="EI739" s="29">
        <f>IF(COUNT(I739:AD739)&lt;5,DZ739,SUMPRODUCT(LARGE(I739:AD739,{1,2,3,4,5}))/5)</f>
        <v>0</v>
      </c>
      <c r="EJ739" s="29">
        <f>IF(COUNT(I739:BE739)&lt;5,DZ739,SUMPRODUCT(LARGE(I739:BE739,{1,2,3,4,5}))/5)</f>
        <v>0</v>
      </c>
      <c r="EK739" s="29">
        <f t="shared" si="203"/>
        <v>0</v>
      </c>
      <c r="EL739" s="29">
        <f>(EK739*100)/101.59</f>
        <v>0</v>
      </c>
      <c r="EM739" s="116">
        <f t="shared" si="202"/>
        <v>0</v>
      </c>
      <c r="EN739" s="46"/>
      <c r="EQ739"/>
    </row>
    <row r="740" spans="1:147" x14ac:dyDescent="0.25">
      <c r="A740" s="59"/>
      <c r="B740" s="4"/>
      <c r="C740" s="5"/>
      <c r="D740" s="5"/>
      <c r="E740" s="6"/>
      <c r="F740" s="6"/>
      <c r="G740" s="5"/>
      <c r="H740" s="99"/>
      <c r="I740" s="36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227"/>
      <c r="Z740" s="228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4"/>
      <c r="AP740" s="7"/>
      <c r="AQ740" s="74"/>
      <c r="AR740" s="70"/>
      <c r="AS740" s="7"/>
      <c r="AT740" s="70"/>
      <c r="AU740" s="7"/>
      <c r="AV740" s="70"/>
      <c r="AW740" s="7"/>
      <c r="AX740" s="8"/>
      <c r="AY740" s="36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101"/>
      <c r="CL740" s="74"/>
      <c r="CM740" s="74"/>
      <c r="CN740" s="74"/>
      <c r="CO740" s="70"/>
      <c r="CP740" s="74"/>
      <c r="CQ740" s="7"/>
      <c r="CR740" s="74"/>
      <c r="CS740" s="74"/>
      <c r="CT740" s="74"/>
      <c r="CU740" s="74"/>
      <c r="CV740" s="74"/>
      <c r="CW740" s="7"/>
      <c r="CX740" s="7"/>
      <c r="CY740" s="7"/>
      <c r="CZ740" s="7"/>
      <c r="DA740" s="7"/>
      <c r="DB740" s="7"/>
      <c r="DC740" s="7"/>
      <c r="DD740" s="7"/>
      <c r="DE740" s="74"/>
      <c r="DF740" s="74"/>
      <c r="DG740" s="74"/>
      <c r="DH740" s="74"/>
      <c r="DI740" s="74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8">
        <f t="shared" si="194"/>
        <v>0</v>
      </c>
      <c r="EA740" s="3">
        <f t="shared" si="195"/>
        <v>0</v>
      </c>
      <c r="EB740" s="2">
        <f t="shared" si="196"/>
        <v>0</v>
      </c>
      <c r="EC740" s="112">
        <f t="shared" si="204"/>
        <v>0</v>
      </c>
      <c r="ED740" s="29">
        <f t="shared" si="197"/>
        <v>0</v>
      </c>
      <c r="EE740" s="2">
        <f t="shared" si="198"/>
        <v>0</v>
      </c>
      <c r="EF740" s="46">
        <f t="shared" si="199"/>
        <v>0</v>
      </c>
      <c r="EG740" s="46">
        <f t="shared" si="200"/>
        <v>0</v>
      </c>
      <c r="EH740" s="2">
        <f t="shared" si="201"/>
        <v>0</v>
      </c>
      <c r="EI740" s="29">
        <f>IF(COUNT(I740:AD740)&lt;5,DZ740,SUMPRODUCT(LARGE(I740:AD740,{1,2,3,4,5}))/5)</f>
        <v>0</v>
      </c>
      <c r="EJ740" s="29">
        <f>IF(COUNT(I740:BE740)&lt;5,DZ740,SUMPRODUCT(LARGE(I740:BE740,{1,2,3,4,5}))/5)</f>
        <v>0</v>
      </c>
      <c r="EK740" s="29">
        <f t="shared" si="203"/>
        <v>0</v>
      </c>
      <c r="EL740" s="29">
        <f>(EK740*100)/101.28</f>
        <v>0</v>
      </c>
      <c r="EM740" s="116">
        <f t="shared" si="202"/>
        <v>0</v>
      </c>
      <c r="EN740" s="46"/>
      <c r="EQ740"/>
    </row>
    <row r="741" spans="1:147" x14ac:dyDescent="0.25">
      <c r="A741" s="59"/>
      <c r="B741" s="32"/>
      <c r="C741" s="5"/>
      <c r="D741" s="6"/>
      <c r="E741" s="6"/>
      <c r="F741" s="6"/>
      <c r="G741" s="5"/>
      <c r="H741" s="99"/>
      <c r="I741" s="36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227"/>
      <c r="Z741" s="228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4"/>
      <c r="AP741" s="7"/>
      <c r="AQ741" s="74"/>
      <c r="AR741" s="70"/>
      <c r="AS741" s="7"/>
      <c r="AT741" s="70"/>
      <c r="AU741" s="7"/>
      <c r="AV741" s="70"/>
      <c r="AW741" s="7"/>
      <c r="AX741" s="8"/>
      <c r="AY741" s="36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4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101"/>
      <c r="CL741" s="74"/>
      <c r="CM741" s="74"/>
      <c r="CN741" s="74"/>
      <c r="CO741" s="70"/>
      <c r="CP741" s="74"/>
      <c r="CQ741" s="7"/>
      <c r="CR741" s="74"/>
      <c r="CS741" s="74"/>
      <c r="CT741" s="74"/>
      <c r="CU741" s="74"/>
      <c r="CV741" s="7"/>
      <c r="CW741" s="7"/>
      <c r="CX741" s="7"/>
      <c r="CY741" s="7"/>
      <c r="CZ741" s="7"/>
      <c r="DA741" s="7"/>
      <c r="DB741" s="7"/>
      <c r="DC741" s="7"/>
      <c r="DD741" s="7"/>
      <c r="DE741" s="74"/>
      <c r="DF741" s="74"/>
      <c r="DG741" s="74"/>
      <c r="DH741" s="7"/>
      <c r="DI741" s="74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8">
        <f t="shared" si="194"/>
        <v>0</v>
      </c>
      <c r="EA741" s="3">
        <f t="shared" si="195"/>
        <v>0</v>
      </c>
      <c r="EB741" s="2">
        <f t="shared" si="196"/>
        <v>0</v>
      </c>
      <c r="EC741" s="112">
        <f t="shared" si="204"/>
        <v>0</v>
      </c>
      <c r="ED741" s="29">
        <f t="shared" si="197"/>
        <v>0</v>
      </c>
      <c r="EE741" s="2">
        <f t="shared" si="198"/>
        <v>0</v>
      </c>
      <c r="EF741" s="46">
        <f t="shared" si="199"/>
        <v>0</v>
      </c>
      <c r="EG741" s="46">
        <f t="shared" si="200"/>
        <v>0</v>
      </c>
      <c r="EH741" s="2">
        <f t="shared" si="201"/>
        <v>0</v>
      </c>
      <c r="EI741" s="29">
        <f>IF(COUNT(I741:AD741)&lt;5,DZ741,SUMPRODUCT(LARGE(I741:AD741,{1,2,3,4,5}))/5)</f>
        <v>0</v>
      </c>
      <c r="EJ741" s="29">
        <f>IF(COUNT(I741:BE741)&lt;5,DZ741,SUMPRODUCT(LARGE(I741:BE741,{1,2,3,4,5}))/5)</f>
        <v>0</v>
      </c>
      <c r="EK741" s="29">
        <f t="shared" si="203"/>
        <v>0</v>
      </c>
      <c r="EL741" s="29">
        <f>(EK741*100)/101.28</f>
        <v>0</v>
      </c>
      <c r="EM741" s="116">
        <f t="shared" si="202"/>
        <v>0</v>
      </c>
      <c r="EN741" s="46"/>
      <c r="EQ741"/>
    </row>
    <row r="742" spans="1:147" x14ac:dyDescent="0.25">
      <c r="A742" s="59"/>
      <c r="B742" s="32"/>
      <c r="C742" s="5"/>
      <c r="D742" s="6"/>
      <c r="E742" s="6"/>
      <c r="F742" s="6"/>
      <c r="G742" s="5"/>
      <c r="H742" s="37"/>
      <c r="I742" s="36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227"/>
      <c r="Z742" s="228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4"/>
      <c r="AP742" s="7"/>
      <c r="AQ742" s="74"/>
      <c r="AR742" s="70"/>
      <c r="AS742" s="7"/>
      <c r="AT742" s="70"/>
      <c r="AU742" s="7"/>
      <c r="AV742" s="70"/>
      <c r="AW742" s="7"/>
      <c r="AX742" s="8"/>
      <c r="AY742" s="36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4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101"/>
      <c r="CL742" s="74"/>
      <c r="CM742" s="74"/>
      <c r="CN742" s="74"/>
      <c r="CO742" s="70"/>
      <c r="CP742" s="74"/>
      <c r="CQ742" s="7"/>
      <c r="CR742" s="74"/>
      <c r="CS742" s="74"/>
      <c r="CT742" s="74"/>
      <c r="CU742" s="74"/>
      <c r="CV742" s="7"/>
      <c r="CW742" s="7"/>
      <c r="CX742" s="7"/>
      <c r="CY742" s="7"/>
      <c r="CZ742" s="7"/>
      <c r="DA742" s="7"/>
      <c r="DB742" s="7"/>
      <c r="DC742" s="7"/>
      <c r="DD742" s="7"/>
      <c r="DE742" s="74"/>
      <c r="DF742" s="74"/>
      <c r="DG742" s="74"/>
      <c r="DH742" s="7"/>
      <c r="DI742" s="74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8">
        <f t="shared" si="194"/>
        <v>0</v>
      </c>
      <c r="EA742" s="3">
        <f t="shared" si="195"/>
        <v>0</v>
      </c>
      <c r="EB742" s="2">
        <f t="shared" si="196"/>
        <v>0</v>
      </c>
      <c r="EC742" s="112">
        <f t="shared" si="204"/>
        <v>0</v>
      </c>
      <c r="ED742" s="29">
        <f t="shared" si="197"/>
        <v>0</v>
      </c>
      <c r="EE742" s="2">
        <f t="shared" si="198"/>
        <v>0</v>
      </c>
      <c r="EF742" s="46">
        <f t="shared" si="199"/>
        <v>0</v>
      </c>
      <c r="EG742" s="46">
        <f t="shared" si="200"/>
        <v>0</v>
      </c>
      <c r="EH742" s="2">
        <f t="shared" si="201"/>
        <v>0</v>
      </c>
      <c r="EI742" s="29">
        <f>IF(COUNT(I742:AD742)&lt;5,DZ742,SUMPRODUCT(LARGE(I742:AD742,{1,2,3,4,5}))/5)</f>
        <v>0</v>
      </c>
      <c r="EJ742" s="29">
        <f>IF(COUNT(I742:BE742)&lt;5,DZ742,SUMPRODUCT(LARGE(I742:BE742,{1,2,3,4,5}))/5)</f>
        <v>0</v>
      </c>
      <c r="EK742" s="29">
        <f t="shared" si="203"/>
        <v>0</v>
      </c>
      <c r="EL742" s="29">
        <f>(EK742*100)/101.28</f>
        <v>0</v>
      </c>
      <c r="EM742" s="116">
        <f t="shared" si="202"/>
        <v>0</v>
      </c>
      <c r="EN742" s="46"/>
      <c r="EQ742"/>
    </row>
    <row r="743" spans="1:147" x14ac:dyDescent="0.25">
      <c r="A743" s="59"/>
      <c r="B743" s="32"/>
      <c r="C743" s="5"/>
      <c r="D743" s="6"/>
      <c r="E743" s="6"/>
      <c r="F743" s="6"/>
      <c r="G743" s="5"/>
      <c r="H743" s="37"/>
      <c r="I743" s="36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227"/>
      <c r="Z743" s="228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4"/>
      <c r="AP743" s="7"/>
      <c r="AQ743" s="74"/>
      <c r="AR743" s="70"/>
      <c r="AS743" s="7"/>
      <c r="AT743" s="70"/>
      <c r="AU743" s="7"/>
      <c r="AV743" s="70"/>
      <c r="AW743" s="7"/>
      <c r="AX743" s="8"/>
      <c r="AY743" s="36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4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4"/>
      <c r="CG743" s="7"/>
      <c r="CH743" s="7"/>
      <c r="CI743" s="7"/>
      <c r="CJ743" s="7"/>
      <c r="CK743" s="101"/>
      <c r="CL743" s="74"/>
      <c r="CM743" s="74"/>
      <c r="CN743" s="74"/>
      <c r="CO743" s="70"/>
      <c r="CP743" s="74"/>
      <c r="CQ743" s="7"/>
      <c r="CR743" s="74"/>
      <c r="CS743" s="74"/>
      <c r="CT743" s="74"/>
      <c r="CU743" s="74"/>
      <c r="CV743" s="7"/>
      <c r="CW743" s="7"/>
      <c r="CX743" s="7"/>
      <c r="CY743" s="7"/>
      <c r="CZ743" s="7"/>
      <c r="DA743" s="7"/>
      <c r="DB743" s="7"/>
      <c r="DC743" s="7"/>
      <c r="DD743" s="7"/>
      <c r="DE743" s="74"/>
      <c r="DF743" s="74"/>
      <c r="DG743" s="74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8">
        <f t="shared" si="194"/>
        <v>0</v>
      </c>
      <c r="EA743" s="3">
        <f t="shared" si="195"/>
        <v>0</v>
      </c>
      <c r="EB743" s="2">
        <f t="shared" si="196"/>
        <v>0</v>
      </c>
      <c r="EC743" s="112">
        <f t="shared" si="204"/>
        <v>0</v>
      </c>
      <c r="ED743" s="29">
        <f t="shared" si="197"/>
        <v>0</v>
      </c>
      <c r="EE743" s="2">
        <f t="shared" si="198"/>
        <v>0</v>
      </c>
      <c r="EF743" s="46">
        <f t="shared" si="199"/>
        <v>0</v>
      </c>
      <c r="EG743" s="46">
        <f t="shared" si="200"/>
        <v>0</v>
      </c>
      <c r="EH743" s="2">
        <f t="shared" si="201"/>
        <v>0</v>
      </c>
      <c r="EI743" s="29">
        <f>IF(COUNT(I743:AD743)&lt;5,DZ743,SUMPRODUCT(LARGE(I743:AD743,{1,2,3,4,5}))/5)</f>
        <v>0</v>
      </c>
      <c r="EJ743" s="29">
        <f>IF(COUNT(I743:BE743)&lt;5,DZ743,SUMPRODUCT(LARGE(I743:BE743,{1,2,3,4,5}))/5)</f>
        <v>0</v>
      </c>
      <c r="EK743" s="29">
        <f t="shared" si="203"/>
        <v>0</v>
      </c>
      <c r="EL743" s="29">
        <f>(EK743*100)/101.59</f>
        <v>0</v>
      </c>
      <c r="EM743" s="116">
        <f t="shared" si="202"/>
        <v>0</v>
      </c>
      <c r="EN743" s="46"/>
      <c r="EQ743"/>
    </row>
    <row r="744" spans="1:147" x14ac:dyDescent="0.25">
      <c r="A744" s="59"/>
      <c r="B744" s="32"/>
      <c r="C744" s="5"/>
      <c r="D744" s="6"/>
      <c r="E744" s="6"/>
      <c r="F744" s="6"/>
      <c r="G744" s="5"/>
      <c r="H744" s="37"/>
      <c r="I744" s="107"/>
      <c r="J744" s="7"/>
      <c r="K744" s="74"/>
      <c r="L744" s="7"/>
      <c r="M744" s="74"/>
      <c r="N744" s="74"/>
      <c r="O744" s="7"/>
      <c r="P744" s="74"/>
      <c r="Q744" s="7"/>
      <c r="R744" s="74"/>
      <c r="S744" s="74"/>
      <c r="T744" s="7"/>
      <c r="U744" s="7"/>
      <c r="V744" s="74"/>
      <c r="W744" s="74"/>
      <c r="X744" s="74"/>
      <c r="Y744" s="227"/>
      <c r="Z744" s="228"/>
      <c r="AA744" s="74"/>
      <c r="AB744" s="74"/>
      <c r="AC744" s="74"/>
      <c r="AD744" s="74"/>
      <c r="AE744" s="7"/>
      <c r="AF744" s="74"/>
      <c r="AG744" s="74"/>
      <c r="AH744" s="7"/>
      <c r="AI744" s="7"/>
      <c r="AJ744" s="7"/>
      <c r="AK744" s="7"/>
      <c r="AL744" s="7"/>
      <c r="AM744" s="7"/>
      <c r="AN744" s="7"/>
      <c r="AO744" s="74"/>
      <c r="AP744" s="7"/>
      <c r="AQ744" s="74"/>
      <c r="AR744" s="101"/>
      <c r="AS744" s="7"/>
      <c r="AT744" s="101"/>
      <c r="AU744" s="7"/>
      <c r="AV744" s="101"/>
      <c r="AW744" s="7"/>
      <c r="AX744" s="8"/>
      <c r="AY744" s="36"/>
      <c r="AZ744" s="74"/>
      <c r="BA744" s="74"/>
      <c r="BB744" s="74"/>
      <c r="BC744" s="74"/>
      <c r="BD744" s="74"/>
      <c r="BE744" s="74"/>
      <c r="BF744" s="74"/>
      <c r="BG744" s="74"/>
      <c r="BH744" s="74"/>
      <c r="BI744" s="74"/>
      <c r="BJ744" s="74"/>
      <c r="BK744" s="7"/>
      <c r="BL744" s="74"/>
      <c r="BM744" s="7"/>
      <c r="BN744" s="74"/>
      <c r="BO744" s="74"/>
      <c r="BP744" s="74"/>
      <c r="BQ744" s="74"/>
      <c r="BR744" s="74"/>
      <c r="BS744" s="74"/>
      <c r="BT744" s="74"/>
      <c r="BU744" s="74"/>
      <c r="BV744" s="74"/>
      <c r="BW744" s="74"/>
      <c r="BX744" s="74"/>
      <c r="BY744" s="74"/>
      <c r="BZ744" s="74"/>
      <c r="CA744" s="74"/>
      <c r="CB744" s="74"/>
      <c r="CC744" s="74"/>
      <c r="CD744" s="74"/>
      <c r="CE744" s="7"/>
      <c r="CF744" s="74"/>
      <c r="CG744" s="74"/>
      <c r="CH744" s="7"/>
      <c r="CI744" s="74"/>
      <c r="CJ744" s="74"/>
      <c r="CK744" s="101"/>
      <c r="CL744" s="74"/>
      <c r="CM744" s="74"/>
      <c r="CN744" s="74"/>
      <c r="CO744" s="101"/>
      <c r="CP744" s="74"/>
      <c r="CQ744" s="74"/>
      <c r="CR744" s="74"/>
      <c r="CS744" s="74"/>
      <c r="CT744" s="74"/>
      <c r="CU744" s="74"/>
      <c r="CV744" s="74"/>
      <c r="CW744" s="74"/>
      <c r="CX744" s="74"/>
      <c r="CY744" s="74"/>
      <c r="CZ744" s="74"/>
      <c r="DA744" s="74"/>
      <c r="DB744" s="74"/>
      <c r="DC744" s="74"/>
      <c r="DD744" s="74"/>
      <c r="DE744" s="74"/>
      <c r="DF744" s="74"/>
      <c r="DG744" s="74"/>
      <c r="DH744" s="74"/>
      <c r="DI744" s="74"/>
      <c r="DJ744" s="74"/>
      <c r="DK744" s="74"/>
      <c r="DL744" s="74"/>
      <c r="DM744" s="74"/>
      <c r="DN744" s="74"/>
      <c r="DO744" s="74"/>
      <c r="DP744" s="74"/>
      <c r="DQ744" s="74"/>
      <c r="DR744" s="74"/>
      <c r="DS744" s="74"/>
      <c r="DT744" s="74"/>
      <c r="DU744" s="74"/>
      <c r="DV744" s="74"/>
      <c r="DW744" s="74"/>
      <c r="DX744" s="74"/>
      <c r="DY744" s="74"/>
      <c r="DZ744" s="8">
        <f t="shared" si="194"/>
        <v>0</v>
      </c>
      <c r="EA744" s="3">
        <f t="shared" si="195"/>
        <v>0</v>
      </c>
      <c r="EB744" s="2">
        <f t="shared" si="196"/>
        <v>0</v>
      </c>
      <c r="EC744" s="112">
        <f t="shared" si="204"/>
        <v>0</v>
      </c>
      <c r="ED744" s="29">
        <f t="shared" si="197"/>
        <v>0</v>
      </c>
      <c r="EE744" s="2">
        <f t="shared" si="198"/>
        <v>0</v>
      </c>
      <c r="EF744" s="46">
        <f t="shared" si="199"/>
        <v>0</v>
      </c>
      <c r="EG744" s="46">
        <f t="shared" si="200"/>
        <v>0</v>
      </c>
      <c r="EH744" s="2">
        <f t="shared" si="201"/>
        <v>0</v>
      </c>
      <c r="EI744" s="29">
        <f>IF(COUNT(I744:AD744)&lt;5,DZ744,SUMPRODUCT(LARGE(I744:AD744,{1,2,3,4,5}))/5)</f>
        <v>0</v>
      </c>
      <c r="EJ744" s="29">
        <f>IF(COUNT(I744:BE744)&lt;5,DZ744,SUMPRODUCT(LARGE(I744:BE744,{1,2,3,4,5}))/5)</f>
        <v>0</v>
      </c>
      <c r="EK744" s="29">
        <f t="shared" si="203"/>
        <v>0</v>
      </c>
      <c r="EL744" s="29">
        <f>(EK744*100)/101.28</f>
        <v>0</v>
      </c>
      <c r="EM744" s="116">
        <f t="shared" si="202"/>
        <v>0</v>
      </c>
      <c r="EN744" s="46"/>
      <c r="EQ744"/>
    </row>
    <row r="745" spans="1:147" x14ac:dyDescent="0.25">
      <c r="A745" s="59"/>
      <c r="B745" s="32"/>
      <c r="C745" s="5"/>
      <c r="D745" s="6"/>
      <c r="E745" s="6"/>
      <c r="F745" s="6"/>
      <c r="G745" s="5"/>
      <c r="H745" s="99"/>
      <c r="I745" s="107"/>
      <c r="J745" s="7"/>
      <c r="K745" s="74"/>
      <c r="L745" s="7"/>
      <c r="M745" s="74"/>
      <c r="N745" s="74"/>
      <c r="O745" s="7"/>
      <c r="P745" s="74"/>
      <c r="Q745" s="7"/>
      <c r="R745" s="74"/>
      <c r="S745" s="74"/>
      <c r="T745" s="7"/>
      <c r="U745" s="7"/>
      <c r="V745" s="74"/>
      <c r="W745" s="74"/>
      <c r="X745" s="74"/>
      <c r="Y745" s="227"/>
      <c r="Z745" s="228"/>
      <c r="AA745" s="74"/>
      <c r="AB745" s="74"/>
      <c r="AC745" s="74"/>
      <c r="AD745" s="74"/>
      <c r="AE745" s="7"/>
      <c r="AF745" s="74"/>
      <c r="AG745" s="74"/>
      <c r="AH745" s="7"/>
      <c r="AI745" s="7"/>
      <c r="AJ745" s="7"/>
      <c r="AK745" s="7"/>
      <c r="AL745" s="7"/>
      <c r="AM745" s="7"/>
      <c r="AN745" s="7"/>
      <c r="AO745" s="74"/>
      <c r="AP745" s="7"/>
      <c r="AQ745" s="74"/>
      <c r="AR745" s="101"/>
      <c r="AS745" s="7"/>
      <c r="AT745" s="101"/>
      <c r="AU745" s="7"/>
      <c r="AV745" s="101"/>
      <c r="AW745" s="7"/>
      <c r="AX745" s="8"/>
      <c r="AY745" s="36"/>
      <c r="AZ745" s="74"/>
      <c r="BA745" s="74"/>
      <c r="BB745" s="74"/>
      <c r="BC745" s="74"/>
      <c r="BD745" s="74"/>
      <c r="BE745" s="74"/>
      <c r="BF745" s="74"/>
      <c r="BG745" s="74"/>
      <c r="BH745" s="74"/>
      <c r="BI745" s="74"/>
      <c r="BJ745" s="74"/>
      <c r="BK745" s="7"/>
      <c r="BL745" s="74"/>
      <c r="BM745" s="7"/>
      <c r="BN745" s="74"/>
      <c r="BO745" s="74"/>
      <c r="BP745" s="74"/>
      <c r="BQ745" s="74"/>
      <c r="BR745" s="74"/>
      <c r="BS745" s="74"/>
      <c r="BT745" s="74"/>
      <c r="BU745" s="74"/>
      <c r="BV745" s="74"/>
      <c r="BW745" s="74"/>
      <c r="BX745" s="74"/>
      <c r="BY745" s="74"/>
      <c r="BZ745" s="74"/>
      <c r="CA745" s="74"/>
      <c r="CB745" s="74"/>
      <c r="CC745" s="74"/>
      <c r="CD745" s="74"/>
      <c r="CE745" s="7"/>
      <c r="CF745" s="74"/>
      <c r="CG745" s="74"/>
      <c r="CH745" s="7"/>
      <c r="CI745" s="74"/>
      <c r="CJ745" s="74"/>
      <c r="CK745" s="101"/>
      <c r="CL745" s="74"/>
      <c r="CM745" s="74"/>
      <c r="CN745" s="74"/>
      <c r="CO745" s="101"/>
      <c r="CP745" s="74"/>
      <c r="CQ745" s="74"/>
      <c r="CR745" s="74"/>
      <c r="CS745" s="74"/>
      <c r="CT745" s="74"/>
      <c r="CU745" s="74"/>
      <c r="CV745" s="74"/>
      <c r="CW745" s="74"/>
      <c r="CX745" s="74"/>
      <c r="CY745" s="74"/>
      <c r="CZ745" s="74"/>
      <c r="DA745" s="74"/>
      <c r="DB745" s="74"/>
      <c r="DC745" s="74"/>
      <c r="DD745" s="74"/>
      <c r="DE745" s="74"/>
      <c r="DF745" s="74"/>
      <c r="DG745" s="74"/>
      <c r="DH745" s="74"/>
      <c r="DI745" s="74"/>
      <c r="DJ745" s="74"/>
      <c r="DK745" s="74"/>
      <c r="DL745" s="74"/>
      <c r="DM745" s="74"/>
      <c r="DN745" s="74"/>
      <c r="DO745" s="74"/>
      <c r="DP745" s="74"/>
      <c r="DQ745" s="74"/>
      <c r="DR745" s="74"/>
      <c r="DS745" s="74"/>
      <c r="DT745" s="74"/>
      <c r="DU745" s="74"/>
      <c r="DV745" s="74"/>
      <c r="DW745" s="74"/>
      <c r="DX745" s="74"/>
      <c r="DY745" s="74"/>
      <c r="DZ745" s="8">
        <f t="shared" si="194"/>
        <v>0</v>
      </c>
      <c r="EA745" s="3">
        <f t="shared" si="195"/>
        <v>0</v>
      </c>
      <c r="EB745" s="2">
        <f t="shared" si="196"/>
        <v>0</v>
      </c>
      <c r="EC745" s="112">
        <f t="shared" si="204"/>
        <v>0</v>
      </c>
      <c r="ED745" s="29">
        <f t="shared" si="197"/>
        <v>0</v>
      </c>
      <c r="EE745" s="2">
        <f t="shared" si="198"/>
        <v>0</v>
      </c>
      <c r="EF745" s="46">
        <f t="shared" si="199"/>
        <v>0</v>
      </c>
      <c r="EG745" s="46">
        <f t="shared" si="200"/>
        <v>0</v>
      </c>
      <c r="EH745" s="2">
        <f t="shared" si="201"/>
        <v>0</v>
      </c>
      <c r="EI745" s="29">
        <f>IF(COUNT(I745:AD745)&lt;5,DZ745,SUMPRODUCT(LARGE(I745:AD745,{1,2,3,4,5}))/5)</f>
        <v>0</v>
      </c>
      <c r="EJ745" s="29">
        <f>IF(COUNT(I745:BE745)&lt;5,DZ745,SUMPRODUCT(LARGE(I745:BE745,{1,2,3,4,5}))/5)</f>
        <v>0</v>
      </c>
      <c r="EK745" s="29">
        <f t="shared" si="203"/>
        <v>0</v>
      </c>
      <c r="EL745" s="29">
        <f>(EK745*100)/101.28</f>
        <v>0</v>
      </c>
      <c r="EM745" s="116">
        <f t="shared" si="202"/>
        <v>0</v>
      </c>
      <c r="EN745" s="46"/>
      <c r="EQ745"/>
    </row>
    <row r="746" spans="1:147" x14ac:dyDescent="0.25">
      <c r="A746" s="59"/>
      <c r="B746" s="32"/>
      <c r="C746" s="5"/>
      <c r="D746" s="6"/>
      <c r="E746" s="6"/>
      <c r="F746" s="6"/>
      <c r="G746" s="5"/>
      <c r="H746" s="37"/>
      <c r="I746" s="36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227"/>
      <c r="Z746" s="228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4"/>
      <c r="AP746" s="7"/>
      <c r="AQ746" s="74"/>
      <c r="AR746" s="70"/>
      <c r="AS746" s="7"/>
      <c r="AT746" s="70"/>
      <c r="AU746" s="7"/>
      <c r="AV746" s="70"/>
      <c r="AW746" s="7"/>
      <c r="AX746" s="8"/>
      <c r="AY746" s="36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4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101"/>
      <c r="CL746" s="74"/>
      <c r="CM746" s="74"/>
      <c r="CN746" s="74"/>
      <c r="CO746" s="70"/>
      <c r="CP746" s="74"/>
      <c r="CQ746" s="7"/>
      <c r="CR746" s="74"/>
      <c r="CS746" s="74"/>
      <c r="CT746" s="74"/>
      <c r="CU746" s="74"/>
      <c r="CV746" s="7"/>
      <c r="CW746" s="7"/>
      <c r="CX746" s="7"/>
      <c r="CY746" s="7"/>
      <c r="CZ746" s="7"/>
      <c r="DA746" s="7"/>
      <c r="DB746" s="7"/>
      <c r="DC746" s="7"/>
      <c r="DD746" s="7"/>
      <c r="DE746" s="74"/>
      <c r="DF746" s="74"/>
      <c r="DG746" s="74"/>
      <c r="DH746" s="7"/>
      <c r="DI746" s="74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8">
        <f t="shared" si="194"/>
        <v>0</v>
      </c>
      <c r="EA746" s="3">
        <f t="shared" si="195"/>
        <v>0</v>
      </c>
      <c r="EB746" s="2">
        <f t="shared" si="196"/>
        <v>0</v>
      </c>
      <c r="EC746" s="112">
        <f t="shared" si="204"/>
        <v>0</v>
      </c>
      <c r="ED746" s="29">
        <f t="shared" si="197"/>
        <v>0</v>
      </c>
      <c r="EE746" s="2">
        <f t="shared" si="198"/>
        <v>0</v>
      </c>
      <c r="EF746" s="46">
        <f t="shared" si="199"/>
        <v>0</v>
      </c>
      <c r="EG746" s="46">
        <f t="shared" si="200"/>
        <v>0</v>
      </c>
      <c r="EH746" s="2">
        <f t="shared" si="201"/>
        <v>0</v>
      </c>
      <c r="EI746" s="29">
        <f>IF(COUNT(I746:AD746)&lt;5,DZ746,SUMPRODUCT(LARGE(I746:AD746,{1,2,3,4,5}))/5)</f>
        <v>0</v>
      </c>
      <c r="EJ746" s="29">
        <f>IF(COUNT(I746:BE746)&lt;5,DZ746,SUMPRODUCT(LARGE(I746:BE746,{1,2,3,4,5}))/5)</f>
        <v>0</v>
      </c>
      <c r="EK746" s="29">
        <f t="shared" si="203"/>
        <v>0</v>
      </c>
      <c r="EL746" s="29">
        <f>(EK746*100)/101.59</f>
        <v>0</v>
      </c>
      <c r="EM746" s="116">
        <f t="shared" si="202"/>
        <v>0</v>
      </c>
      <c r="EN746" s="46"/>
      <c r="EQ746"/>
    </row>
    <row r="747" spans="1:147" x14ac:dyDescent="0.25">
      <c r="A747" s="59"/>
      <c r="B747" s="32"/>
      <c r="C747" s="5"/>
      <c r="D747" s="6"/>
      <c r="E747" s="6"/>
      <c r="F747" s="6"/>
      <c r="G747" s="5"/>
      <c r="H747" s="99"/>
      <c r="I747" s="36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227"/>
      <c r="Z747" s="228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4"/>
      <c r="AP747" s="7"/>
      <c r="AQ747" s="74"/>
      <c r="AR747" s="70"/>
      <c r="AS747" s="7"/>
      <c r="AT747" s="70"/>
      <c r="AU747" s="7"/>
      <c r="AV747" s="70"/>
      <c r="AW747" s="7"/>
      <c r="AX747" s="183"/>
      <c r="AY747" s="107"/>
      <c r="AZ747" s="7"/>
      <c r="BA747" s="7"/>
      <c r="BB747" s="7"/>
      <c r="BC747" s="74"/>
      <c r="BD747" s="7"/>
      <c r="BE747" s="74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101"/>
      <c r="CL747" s="74"/>
      <c r="CM747" s="74"/>
      <c r="CN747" s="74"/>
      <c r="CO747" s="70"/>
      <c r="CP747" s="74"/>
      <c r="CQ747" s="7"/>
      <c r="CR747" s="74"/>
      <c r="CS747" s="74"/>
      <c r="CT747" s="74"/>
      <c r="CU747" s="74"/>
      <c r="CV747" s="74"/>
      <c r="CW747" s="7"/>
      <c r="CX747" s="7"/>
      <c r="CY747" s="7"/>
      <c r="CZ747" s="7"/>
      <c r="DA747" s="7"/>
      <c r="DB747" s="7"/>
      <c r="DC747" s="7"/>
      <c r="DD747" s="7"/>
      <c r="DE747" s="74"/>
      <c r="DF747" s="74"/>
      <c r="DG747" s="74"/>
      <c r="DH747" s="74"/>
      <c r="DI747" s="74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8">
        <f t="shared" si="194"/>
        <v>0</v>
      </c>
      <c r="EA747" s="3">
        <f t="shared" si="195"/>
        <v>0</v>
      </c>
      <c r="EB747" s="2">
        <f t="shared" si="196"/>
        <v>0</v>
      </c>
      <c r="EC747" s="112">
        <f t="shared" si="204"/>
        <v>0</v>
      </c>
      <c r="ED747" s="29">
        <f t="shared" si="197"/>
        <v>0</v>
      </c>
      <c r="EE747" s="2">
        <f t="shared" si="198"/>
        <v>0</v>
      </c>
      <c r="EF747" s="46">
        <f t="shared" si="199"/>
        <v>0</v>
      </c>
      <c r="EG747" s="46">
        <f t="shared" si="200"/>
        <v>0</v>
      </c>
      <c r="EH747" s="2">
        <f t="shared" si="201"/>
        <v>0</v>
      </c>
      <c r="EI747" s="29">
        <f>IF(COUNT(I747:AD747)&lt;5,DZ747,SUMPRODUCT(LARGE(I747:AD747,{1,2,3,4,5}))/5)</f>
        <v>0</v>
      </c>
      <c r="EJ747" s="29">
        <f>IF(COUNT(I747:BE747)&lt;5,DZ747,SUMPRODUCT(LARGE(I747:BE747,{1,2,3,4,5}))/5)</f>
        <v>0</v>
      </c>
      <c r="EK747" s="29">
        <f t="shared" si="203"/>
        <v>0</v>
      </c>
      <c r="EL747" s="29">
        <f>(EK747*100)/101.28</f>
        <v>0</v>
      </c>
      <c r="EM747" s="116">
        <f t="shared" si="202"/>
        <v>0</v>
      </c>
      <c r="EN747" s="46"/>
      <c r="EQ747"/>
    </row>
    <row r="748" spans="1:147" x14ac:dyDescent="0.25">
      <c r="A748" s="59"/>
      <c r="B748" s="32"/>
      <c r="C748" s="5"/>
      <c r="D748" s="6"/>
      <c r="E748" s="6"/>
      <c r="F748" s="6"/>
      <c r="G748" s="5"/>
      <c r="H748" s="37"/>
      <c r="I748" s="107"/>
      <c r="J748" s="7"/>
      <c r="K748" s="74"/>
      <c r="L748" s="7"/>
      <c r="M748" s="74"/>
      <c r="N748" s="74"/>
      <c r="O748" s="7"/>
      <c r="P748" s="74"/>
      <c r="Q748" s="7"/>
      <c r="R748" s="74"/>
      <c r="S748" s="74"/>
      <c r="T748" s="7"/>
      <c r="U748" s="7"/>
      <c r="V748" s="74"/>
      <c r="W748" s="74"/>
      <c r="X748" s="74"/>
      <c r="Y748" s="227"/>
      <c r="Z748" s="228"/>
      <c r="AA748" s="74"/>
      <c r="AB748" s="74"/>
      <c r="AC748" s="74"/>
      <c r="AD748" s="74"/>
      <c r="AE748" s="7"/>
      <c r="AF748" s="74"/>
      <c r="AG748" s="74"/>
      <c r="AH748" s="7"/>
      <c r="AI748" s="7"/>
      <c r="AJ748" s="7"/>
      <c r="AK748" s="7"/>
      <c r="AL748" s="7"/>
      <c r="AM748" s="7"/>
      <c r="AN748" s="7"/>
      <c r="AO748" s="74"/>
      <c r="AP748" s="7"/>
      <c r="AQ748" s="74"/>
      <c r="AR748" s="101"/>
      <c r="AS748" s="7"/>
      <c r="AT748" s="101"/>
      <c r="AU748" s="7"/>
      <c r="AV748" s="101"/>
      <c r="AW748" s="7"/>
      <c r="AX748" s="183"/>
      <c r="AY748" s="107"/>
      <c r="AZ748" s="74"/>
      <c r="BA748" s="74"/>
      <c r="BB748" s="74"/>
      <c r="BC748" s="74"/>
      <c r="BD748" s="74"/>
      <c r="BE748" s="74"/>
      <c r="BF748" s="74"/>
      <c r="BG748" s="74"/>
      <c r="BH748" s="74"/>
      <c r="BI748" s="74"/>
      <c r="BJ748" s="74"/>
      <c r="BK748" s="7"/>
      <c r="BL748" s="74"/>
      <c r="BM748" s="7"/>
      <c r="BN748" s="74"/>
      <c r="BO748" s="74"/>
      <c r="BP748" s="74"/>
      <c r="BQ748" s="74"/>
      <c r="BR748" s="74"/>
      <c r="BS748" s="74"/>
      <c r="BT748" s="74"/>
      <c r="BU748" s="74"/>
      <c r="BV748" s="74"/>
      <c r="BW748" s="74"/>
      <c r="BX748" s="74"/>
      <c r="BY748" s="74"/>
      <c r="BZ748" s="74"/>
      <c r="CA748" s="74"/>
      <c r="CB748" s="74"/>
      <c r="CC748" s="74"/>
      <c r="CD748" s="74"/>
      <c r="CE748" s="7"/>
      <c r="CF748" s="74"/>
      <c r="CG748" s="74"/>
      <c r="CH748" s="7"/>
      <c r="CI748" s="74"/>
      <c r="CJ748" s="74"/>
      <c r="CK748" s="101"/>
      <c r="CL748" s="74"/>
      <c r="CM748" s="74"/>
      <c r="CN748" s="74"/>
      <c r="CO748" s="101"/>
      <c r="CP748" s="74"/>
      <c r="CQ748" s="74"/>
      <c r="CR748" s="74"/>
      <c r="CS748" s="74"/>
      <c r="CT748" s="74"/>
      <c r="CU748" s="74"/>
      <c r="CV748" s="74"/>
      <c r="CW748" s="74"/>
      <c r="CX748" s="74"/>
      <c r="CY748" s="74"/>
      <c r="CZ748" s="74"/>
      <c r="DA748" s="74"/>
      <c r="DB748" s="74"/>
      <c r="DC748" s="74"/>
      <c r="DD748" s="74"/>
      <c r="DE748" s="74"/>
      <c r="DF748" s="74"/>
      <c r="DG748" s="74"/>
      <c r="DH748" s="74"/>
      <c r="DI748" s="74"/>
      <c r="DJ748" s="74"/>
      <c r="DK748" s="74"/>
      <c r="DL748" s="74"/>
      <c r="DM748" s="74"/>
      <c r="DN748" s="74"/>
      <c r="DO748" s="74"/>
      <c r="DP748" s="74"/>
      <c r="DQ748" s="74"/>
      <c r="DR748" s="74"/>
      <c r="DS748" s="74"/>
      <c r="DT748" s="74"/>
      <c r="DU748" s="74"/>
      <c r="DV748" s="74"/>
      <c r="DW748" s="74"/>
      <c r="DX748" s="74"/>
      <c r="DY748" s="74"/>
      <c r="DZ748" s="8">
        <f t="shared" si="194"/>
        <v>0</v>
      </c>
      <c r="EA748" s="3">
        <f t="shared" si="195"/>
        <v>0</v>
      </c>
      <c r="EB748" s="2">
        <f t="shared" si="196"/>
        <v>0</v>
      </c>
      <c r="EC748" s="112">
        <f t="shared" si="204"/>
        <v>0</v>
      </c>
      <c r="ED748" s="29">
        <f t="shared" si="197"/>
        <v>0</v>
      </c>
      <c r="EE748" s="2">
        <f t="shared" si="198"/>
        <v>0</v>
      </c>
      <c r="EF748" s="46">
        <f t="shared" si="199"/>
        <v>0</v>
      </c>
      <c r="EG748" s="46">
        <f t="shared" si="200"/>
        <v>0</v>
      </c>
      <c r="EH748" s="29">
        <f t="shared" si="201"/>
        <v>0</v>
      </c>
      <c r="EI748" s="29">
        <f>IF(COUNT(I748:AD748)&lt;5,DZ748,SUMPRODUCT(LARGE(I748:AD748,{1,2,3,4,5}))/5)</f>
        <v>0</v>
      </c>
      <c r="EJ748" s="29">
        <f>IF(COUNT(I748:BE748)&lt;5,DZ748,SUMPRODUCT(LARGE(I748:BE748,{1,2,3,4,5}))/5)</f>
        <v>0</v>
      </c>
      <c r="EK748" s="29">
        <f t="shared" si="203"/>
        <v>0</v>
      </c>
      <c r="EL748" s="29">
        <f>(EK748*100)/101.28</f>
        <v>0</v>
      </c>
      <c r="EM748" s="116">
        <f t="shared" si="202"/>
        <v>0</v>
      </c>
      <c r="EN748" s="46"/>
      <c r="EQ748"/>
    </row>
    <row r="749" spans="1:147" x14ac:dyDescent="0.25">
      <c r="A749" s="59"/>
      <c r="B749" s="32"/>
      <c r="C749" s="5"/>
      <c r="D749" s="6"/>
      <c r="E749" s="6"/>
      <c r="F749" s="6"/>
      <c r="G749" s="5"/>
      <c r="H749" s="99"/>
      <c r="I749" s="36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227"/>
      <c r="Z749" s="228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4"/>
      <c r="AP749" s="7"/>
      <c r="AQ749" s="74"/>
      <c r="AR749" s="70"/>
      <c r="AS749" s="7"/>
      <c r="AT749" s="70"/>
      <c r="AU749" s="7"/>
      <c r="AV749" s="70"/>
      <c r="AW749" s="7"/>
      <c r="AX749" s="8"/>
      <c r="AY749" s="36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4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101"/>
      <c r="CL749" s="74"/>
      <c r="CM749" s="7"/>
      <c r="CN749" s="74"/>
      <c r="CO749" s="70"/>
      <c r="CP749" s="74"/>
      <c r="CQ749" s="7"/>
      <c r="CR749" s="74"/>
      <c r="CS749" s="74"/>
      <c r="CT749" s="7"/>
      <c r="CU749" s="74"/>
      <c r="CV749" s="7"/>
      <c r="CW749" s="7"/>
      <c r="CX749" s="7"/>
      <c r="CY749" s="7"/>
      <c r="CZ749" s="7"/>
      <c r="DA749" s="7"/>
      <c r="DB749" s="7"/>
      <c r="DC749" s="7"/>
      <c r="DD749" s="7"/>
      <c r="DE749" s="74"/>
      <c r="DF749" s="74"/>
      <c r="DG749" s="74"/>
      <c r="DH749" s="7"/>
      <c r="DI749" s="74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8">
        <f t="shared" si="194"/>
        <v>0</v>
      </c>
      <c r="EA749" s="3">
        <f t="shared" si="195"/>
        <v>0</v>
      </c>
      <c r="EB749" s="2">
        <f t="shared" si="196"/>
        <v>0</v>
      </c>
      <c r="EC749" s="112">
        <f t="shared" si="204"/>
        <v>0</v>
      </c>
      <c r="ED749" s="29">
        <f t="shared" si="197"/>
        <v>0</v>
      </c>
      <c r="EE749" s="2">
        <f t="shared" si="198"/>
        <v>0</v>
      </c>
      <c r="EF749" s="46">
        <f t="shared" si="199"/>
        <v>0</v>
      </c>
      <c r="EG749" s="46">
        <f t="shared" si="200"/>
        <v>0</v>
      </c>
      <c r="EH749" s="2">
        <f t="shared" si="201"/>
        <v>0</v>
      </c>
      <c r="EI749" s="29">
        <f>IF(COUNT(I749:AD749)&lt;5,DZ749,SUMPRODUCT(LARGE(I749:AD749,{1,2,3,4,5}))/5)</f>
        <v>0</v>
      </c>
      <c r="EJ749" s="29">
        <f>IF(COUNT(I749:BE749)&lt;5,DZ749,SUMPRODUCT(LARGE(I749:BE749,{1,2,3,4,5}))/5)</f>
        <v>0</v>
      </c>
      <c r="EK749" s="29">
        <f t="shared" si="203"/>
        <v>0</v>
      </c>
      <c r="EL749" s="29">
        <f>(EK749*100)/101.59</f>
        <v>0</v>
      </c>
      <c r="EM749" s="116">
        <f t="shared" si="202"/>
        <v>0</v>
      </c>
      <c r="EN749" s="46"/>
      <c r="EQ749"/>
    </row>
    <row r="750" spans="1:147" x14ac:dyDescent="0.25">
      <c r="A750" s="59"/>
      <c r="B750" s="32"/>
      <c r="C750" s="5"/>
      <c r="D750" s="6"/>
      <c r="E750" s="6"/>
      <c r="F750" s="6"/>
      <c r="G750" s="5"/>
      <c r="H750" s="37"/>
      <c r="I750" s="107"/>
      <c r="J750" s="7"/>
      <c r="K750" s="74"/>
      <c r="L750" s="7"/>
      <c r="M750" s="74"/>
      <c r="N750" s="74"/>
      <c r="O750" s="7"/>
      <c r="P750" s="74"/>
      <c r="Q750" s="7"/>
      <c r="R750" s="74"/>
      <c r="S750" s="74"/>
      <c r="T750" s="7"/>
      <c r="U750" s="7"/>
      <c r="V750" s="74"/>
      <c r="W750" s="7"/>
      <c r="X750" s="74"/>
      <c r="Y750" s="227"/>
      <c r="Z750" s="228"/>
      <c r="AA750" s="102"/>
      <c r="AB750" s="74"/>
      <c r="AC750" s="74"/>
      <c r="AD750" s="74"/>
      <c r="AE750" s="7"/>
      <c r="AF750" s="74"/>
      <c r="AG750" s="74"/>
      <c r="AH750" s="7"/>
      <c r="AI750" s="7"/>
      <c r="AJ750" s="7"/>
      <c r="AK750" s="7"/>
      <c r="AL750" s="7"/>
      <c r="AM750" s="7"/>
      <c r="AN750" s="7"/>
      <c r="AO750" s="74"/>
      <c r="AP750" s="7"/>
      <c r="AQ750" s="74"/>
      <c r="AR750" s="101"/>
      <c r="AS750" s="7"/>
      <c r="AT750" s="101"/>
      <c r="AU750" s="7"/>
      <c r="AV750" s="101"/>
      <c r="AW750" s="7"/>
      <c r="AX750" s="8"/>
      <c r="AY750" s="36"/>
      <c r="AZ750" s="74"/>
      <c r="BA750" s="74"/>
      <c r="BB750" s="74"/>
      <c r="BC750" s="74"/>
      <c r="BD750" s="74"/>
      <c r="BE750" s="74"/>
      <c r="BF750" s="74"/>
      <c r="BG750" s="74"/>
      <c r="BH750" s="74"/>
      <c r="BI750" s="74"/>
      <c r="BJ750" s="74"/>
      <c r="BK750" s="7"/>
      <c r="BL750" s="74"/>
      <c r="BM750" s="7"/>
      <c r="BN750" s="74"/>
      <c r="BO750" s="74"/>
      <c r="BP750" s="74"/>
      <c r="BQ750" s="74"/>
      <c r="BR750" s="74"/>
      <c r="BS750" s="74"/>
      <c r="BT750" s="74"/>
      <c r="BU750" s="74"/>
      <c r="BV750" s="74"/>
      <c r="BW750" s="74"/>
      <c r="BX750" s="74"/>
      <c r="BY750" s="74"/>
      <c r="BZ750" s="7"/>
      <c r="CA750" s="74"/>
      <c r="CB750" s="74"/>
      <c r="CC750" s="74"/>
      <c r="CD750" s="74"/>
      <c r="CE750" s="7"/>
      <c r="CF750" s="74"/>
      <c r="CG750" s="74"/>
      <c r="CH750" s="7"/>
      <c r="CI750" s="74"/>
      <c r="CJ750" s="74"/>
      <c r="CK750" s="101"/>
      <c r="CL750" s="74"/>
      <c r="CM750" s="74"/>
      <c r="CN750" s="74"/>
      <c r="CO750" s="101"/>
      <c r="CP750" s="74"/>
      <c r="CQ750" s="74"/>
      <c r="CR750" s="74"/>
      <c r="CS750" s="74"/>
      <c r="CT750" s="74"/>
      <c r="CU750" s="74"/>
      <c r="CV750" s="74"/>
      <c r="CW750" s="74"/>
      <c r="CX750" s="74"/>
      <c r="CY750" s="74"/>
      <c r="CZ750" s="74"/>
      <c r="DA750" s="74"/>
      <c r="DB750" s="74"/>
      <c r="DC750" s="74"/>
      <c r="DD750" s="74"/>
      <c r="DE750" s="74"/>
      <c r="DF750" s="74"/>
      <c r="DG750" s="74"/>
      <c r="DH750" s="74"/>
      <c r="DI750" s="74"/>
      <c r="DJ750" s="74"/>
      <c r="DK750" s="74"/>
      <c r="DL750" s="74"/>
      <c r="DM750" s="74"/>
      <c r="DN750" s="74"/>
      <c r="DO750" s="74"/>
      <c r="DP750" s="74"/>
      <c r="DQ750" s="74"/>
      <c r="DR750" s="74"/>
      <c r="DS750" s="74"/>
      <c r="DT750" s="74"/>
      <c r="DU750" s="74"/>
      <c r="DV750" s="74"/>
      <c r="DW750" s="74"/>
      <c r="DX750" s="74"/>
      <c r="DY750" s="74"/>
      <c r="DZ750" s="8">
        <f t="shared" si="194"/>
        <v>0</v>
      </c>
      <c r="EA750" s="3">
        <f t="shared" si="195"/>
        <v>0</v>
      </c>
      <c r="EB750" s="2">
        <f t="shared" si="196"/>
        <v>0</v>
      </c>
      <c r="EC750" s="112">
        <f t="shared" si="204"/>
        <v>0</v>
      </c>
      <c r="ED750" s="29">
        <f t="shared" si="197"/>
        <v>0</v>
      </c>
      <c r="EE750" s="2">
        <f t="shared" si="198"/>
        <v>0</v>
      </c>
      <c r="EF750" s="46">
        <f t="shared" si="199"/>
        <v>0</v>
      </c>
      <c r="EG750" s="46">
        <f t="shared" si="200"/>
        <v>0</v>
      </c>
      <c r="EH750" s="29">
        <f t="shared" si="201"/>
        <v>0</v>
      </c>
      <c r="EI750" s="29">
        <f>IF(COUNT(I750:AD750)&lt;5,DZ750,SUMPRODUCT(LARGE(I750:AD750,{1,2,3,4,5}))/5)</f>
        <v>0</v>
      </c>
      <c r="EJ750" s="29">
        <f>IF(COUNT(I750:BE750)&lt;5,DZ750,SUMPRODUCT(LARGE(I750:BE750,{1,2,3,4,5}))/5)</f>
        <v>0</v>
      </c>
      <c r="EK750" s="29">
        <f t="shared" si="203"/>
        <v>0</v>
      </c>
      <c r="EL750" s="29">
        <f t="shared" ref="EL750:EL755" si="206">(EK750*100)/101.28</f>
        <v>0</v>
      </c>
      <c r="EM750" s="116">
        <f t="shared" si="202"/>
        <v>0</v>
      </c>
      <c r="EN750" s="46"/>
      <c r="EQ750"/>
    </row>
    <row r="751" spans="1:147" x14ac:dyDescent="0.25">
      <c r="A751" s="59"/>
      <c r="B751" s="4"/>
      <c r="C751" s="5"/>
      <c r="D751" s="5"/>
      <c r="E751" s="6"/>
      <c r="F751" s="6"/>
      <c r="G751" s="5"/>
      <c r="H751" s="99"/>
      <c r="I751" s="107"/>
      <c r="J751" s="7"/>
      <c r="K751" s="74"/>
      <c r="L751" s="7"/>
      <c r="M751" s="74"/>
      <c r="N751" s="74"/>
      <c r="O751" s="7"/>
      <c r="P751" s="74"/>
      <c r="Q751" s="7"/>
      <c r="R751" s="74"/>
      <c r="S751" s="74"/>
      <c r="T751" s="7"/>
      <c r="U751" s="7"/>
      <c r="V751" s="74"/>
      <c r="W751" s="74"/>
      <c r="X751" s="74"/>
      <c r="Y751" s="227"/>
      <c r="Z751" s="228"/>
      <c r="AA751" s="74"/>
      <c r="AB751" s="74"/>
      <c r="AC751" s="74"/>
      <c r="AD751" s="74"/>
      <c r="AE751" s="7"/>
      <c r="AF751" s="74"/>
      <c r="AG751" s="74"/>
      <c r="AH751" s="7"/>
      <c r="AI751" s="7"/>
      <c r="AJ751" s="7"/>
      <c r="AK751" s="7"/>
      <c r="AL751" s="7"/>
      <c r="AM751" s="7"/>
      <c r="AN751" s="7"/>
      <c r="AO751" s="74"/>
      <c r="AP751" s="7"/>
      <c r="AQ751" s="74"/>
      <c r="AR751" s="101"/>
      <c r="AS751" s="7"/>
      <c r="AT751" s="101"/>
      <c r="AU751" s="7"/>
      <c r="AV751" s="101"/>
      <c r="AW751" s="7"/>
      <c r="AX751" s="183"/>
      <c r="AY751" s="107"/>
      <c r="AZ751" s="74"/>
      <c r="BA751" s="74"/>
      <c r="BB751" s="74"/>
      <c r="BC751" s="74"/>
      <c r="BD751" s="74"/>
      <c r="BE751" s="74"/>
      <c r="BF751" s="74"/>
      <c r="BG751" s="74"/>
      <c r="BH751" s="74"/>
      <c r="BI751" s="74"/>
      <c r="BJ751" s="74"/>
      <c r="BK751" s="7"/>
      <c r="BL751" s="74"/>
      <c r="BM751" s="7"/>
      <c r="BN751" s="74"/>
      <c r="BO751" s="74"/>
      <c r="BP751" s="74"/>
      <c r="BQ751" s="74"/>
      <c r="BR751" s="74"/>
      <c r="BS751" s="74"/>
      <c r="BT751" s="74"/>
      <c r="BU751" s="74"/>
      <c r="BV751" s="74"/>
      <c r="BW751" s="74"/>
      <c r="BX751" s="74"/>
      <c r="BY751" s="74"/>
      <c r="BZ751" s="74"/>
      <c r="CA751" s="74"/>
      <c r="CB751" s="74"/>
      <c r="CC751" s="74"/>
      <c r="CD751" s="74"/>
      <c r="CE751" s="7"/>
      <c r="CF751" s="74"/>
      <c r="CG751" s="74"/>
      <c r="CH751" s="7"/>
      <c r="CI751" s="74"/>
      <c r="CJ751" s="74"/>
      <c r="CK751" s="101"/>
      <c r="CL751" s="74"/>
      <c r="CM751" s="74"/>
      <c r="CN751" s="74"/>
      <c r="CO751" s="101"/>
      <c r="CP751" s="74"/>
      <c r="CQ751" s="74"/>
      <c r="CR751" s="74"/>
      <c r="CS751" s="74"/>
      <c r="CT751" s="74"/>
      <c r="CU751" s="74"/>
      <c r="CV751" s="74"/>
      <c r="CW751" s="74"/>
      <c r="CX751" s="74"/>
      <c r="CY751" s="74"/>
      <c r="CZ751" s="74"/>
      <c r="DA751" s="74"/>
      <c r="DB751" s="74"/>
      <c r="DC751" s="74"/>
      <c r="DD751" s="74"/>
      <c r="DE751" s="74"/>
      <c r="DF751" s="74"/>
      <c r="DG751" s="74"/>
      <c r="DH751" s="74"/>
      <c r="DI751" s="74"/>
      <c r="DJ751" s="74"/>
      <c r="DK751" s="74"/>
      <c r="DL751" s="74"/>
      <c r="DM751" s="74"/>
      <c r="DN751" s="74"/>
      <c r="DO751" s="74"/>
      <c r="DP751" s="74"/>
      <c r="DQ751" s="74"/>
      <c r="DR751" s="74"/>
      <c r="DS751" s="74"/>
      <c r="DT751" s="74"/>
      <c r="DU751" s="74"/>
      <c r="DV751" s="74"/>
      <c r="DW751" s="74"/>
      <c r="DX751" s="74"/>
      <c r="DY751" s="74"/>
      <c r="DZ751" s="8">
        <f t="shared" si="194"/>
        <v>0</v>
      </c>
      <c r="EA751" s="3">
        <f t="shared" si="195"/>
        <v>0</v>
      </c>
      <c r="EB751" s="2">
        <f t="shared" si="196"/>
        <v>0</v>
      </c>
      <c r="EC751" s="112">
        <f t="shared" si="204"/>
        <v>0</v>
      </c>
      <c r="ED751" s="29">
        <f t="shared" si="197"/>
        <v>0</v>
      </c>
      <c r="EE751" s="2">
        <f t="shared" si="198"/>
        <v>0</v>
      </c>
      <c r="EF751" s="46">
        <f t="shared" si="199"/>
        <v>0</v>
      </c>
      <c r="EG751" s="46">
        <f t="shared" si="200"/>
        <v>0</v>
      </c>
      <c r="EH751" s="2">
        <f t="shared" si="201"/>
        <v>0</v>
      </c>
      <c r="EI751" s="29">
        <f>IF(COUNT(I751:AD751)&lt;5,DZ751,SUMPRODUCT(LARGE(I751:AD751,{1,2,3,4,5}))/5)</f>
        <v>0</v>
      </c>
      <c r="EJ751" s="29">
        <f>IF(COUNT(I751:BE751)&lt;5,DZ751,SUMPRODUCT(LARGE(I751:BE751,{1,2,3,4,5}))/5)</f>
        <v>0</v>
      </c>
      <c r="EK751" s="29">
        <f t="shared" si="203"/>
        <v>0</v>
      </c>
      <c r="EL751" s="29">
        <f t="shared" si="206"/>
        <v>0</v>
      </c>
      <c r="EM751" s="116">
        <f t="shared" si="202"/>
        <v>0</v>
      </c>
      <c r="EN751" s="46"/>
      <c r="EQ751"/>
    </row>
    <row r="752" spans="1:147" x14ac:dyDescent="0.25">
      <c r="A752" s="59"/>
      <c r="B752" s="32"/>
      <c r="C752" s="5"/>
      <c r="D752" s="6"/>
      <c r="E752" s="6"/>
      <c r="F752" s="6"/>
      <c r="G752" s="5"/>
      <c r="H752" s="37"/>
      <c r="I752" s="107"/>
      <c r="J752" s="7"/>
      <c r="K752" s="74"/>
      <c r="L752" s="7"/>
      <c r="M752" s="74"/>
      <c r="N752" s="74"/>
      <c r="O752" s="7"/>
      <c r="P752" s="74"/>
      <c r="Q752" s="7"/>
      <c r="R752" s="74"/>
      <c r="S752" s="74"/>
      <c r="T752" s="7"/>
      <c r="U752" s="7"/>
      <c r="V752" s="74"/>
      <c r="W752" s="74"/>
      <c r="X752" s="74"/>
      <c r="Y752" s="227"/>
      <c r="Z752" s="228"/>
      <c r="AA752" s="74"/>
      <c r="AB752" s="74"/>
      <c r="AC752" s="74"/>
      <c r="AD752" s="74"/>
      <c r="AE752" s="7"/>
      <c r="AF752" s="74"/>
      <c r="AG752" s="74"/>
      <c r="AH752" s="7"/>
      <c r="AI752" s="7"/>
      <c r="AJ752" s="7"/>
      <c r="AK752" s="7"/>
      <c r="AL752" s="7"/>
      <c r="AM752" s="7"/>
      <c r="AN752" s="7"/>
      <c r="AO752" s="74"/>
      <c r="AP752" s="7"/>
      <c r="AQ752" s="74"/>
      <c r="AR752" s="101"/>
      <c r="AS752" s="7"/>
      <c r="AT752" s="101"/>
      <c r="AU752" s="7"/>
      <c r="AV752" s="101"/>
      <c r="AW752" s="7"/>
      <c r="AX752" s="8"/>
      <c r="AY752" s="36"/>
      <c r="AZ752" s="74"/>
      <c r="BA752" s="74"/>
      <c r="BB752" s="74"/>
      <c r="BC752" s="74"/>
      <c r="BD752" s="74"/>
      <c r="BE752" s="74"/>
      <c r="BF752" s="74"/>
      <c r="BG752" s="74"/>
      <c r="BH752" s="74"/>
      <c r="BI752" s="74"/>
      <c r="BJ752" s="74"/>
      <c r="BK752" s="7"/>
      <c r="BL752" s="74"/>
      <c r="BM752" s="7"/>
      <c r="BN752" s="74"/>
      <c r="BO752" s="74"/>
      <c r="BP752" s="74"/>
      <c r="BQ752" s="74"/>
      <c r="BR752" s="74"/>
      <c r="BS752" s="74"/>
      <c r="BT752" s="74"/>
      <c r="BU752" s="74"/>
      <c r="BV752" s="74"/>
      <c r="BW752" s="74"/>
      <c r="BX752" s="74"/>
      <c r="BY752" s="74"/>
      <c r="BZ752" s="74"/>
      <c r="CA752" s="74"/>
      <c r="CB752" s="74"/>
      <c r="CC752" s="74"/>
      <c r="CD752" s="74"/>
      <c r="CE752" s="7"/>
      <c r="CF752" s="74"/>
      <c r="CG752" s="74"/>
      <c r="CH752" s="7"/>
      <c r="CI752" s="74"/>
      <c r="CJ752" s="74"/>
      <c r="CK752" s="101"/>
      <c r="CL752" s="74"/>
      <c r="CM752" s="74"/>
      <c r="CN752" s="74"/>
      <c r="CO752" s="101"/>
      <c r="CP752" s="74"/>
      <c r="CQ752" s="74"/>
      <c r="CR752" s="74"/>
      <c r="CS752" s="74"/>
      <c r="CT752" s="74"/>
      <c r="CU752" s="74"/>
      <c r="CV752" s="74"/>
      <c r="CW752" s="74"/>
      <c r="CX752" s="74"/>
      <c r="CY752" s="74"/>
      <c r="CZ752" s="74"/>
      <c r="DA752" s="74"/>
      <c r="DB752" s="74"/>
      <c r="DC752" s="74"/>
      <c r="DD752" s="74"/>
      <c r="DE752" s="74"/>
      <c r="DF752" s="74"/>
      <c r="DG752" s="74"/>
      <c r="DH752" s="74"/>
      <c r="DI752" s="74"/>
      <c r="DJ752" s="74"/>
      <c r="DK752" s="74"/>
      <c r="DL752" s="74"/>
      <c r="DM752" s="74"/>
      <c r="DN752" s="74"/>
      <c r="DO752" s="74"/>
      <c r="DP752" s="74"/>
      <c r="DQ752" s="74"/>
      <c r="DR752" s="74"/>
      <c r="DS752" s="74"/>
      <c r="DT752" s="74"/>
      <c r="DU752" s="74"/>
      <c r="DV752" s="74"/>
      <c r="DW752" s="74"/>
      <c r="DX752" s="74"/>
      <c r="DY752" s="74"/>
      <c r="DZ752" s="8">
        <f t="shared" si="194"/>
        <v>0</v>
      </c>
      <c r="EA752" s="3">
        <f t="shared" si="195"/>
        <v>0</v>
      </c>
      <c r="EB752" s="2">
        <f t="shared" si="196"/>
        <v>0</v>
      </c>
      <c r="EC752" s="112">
        <f t="shared" si="204"/>
        <v>0</v>
      </c>
      <c r="ED752" s="29">
        <f t="shared" si="197"/>
        <v>0</v>
      </c>
      <c r="EE752" s="2">
        <f t="shared" si="198"/>
        <v>0</v>
      </c>
      <c r="EF752" s="46">
        <f t="shared" si="199"/>
        <v>0</v>
      </c>
      <c r="EG752" s="46">
        <f t="shared" si="200"/>
        <v>0</v>
      </c>
      <c r="EH752" s="29">
        <f t="shared" si="201"/>
        <v>0</v>
      </c>
      <c r="EI752" s="29">
        <f>IF(COUNT(I752:AD752)&lt;5,DZ752,SUMPRODUCT(LARGE(I752:AD752,{1,2,3,4,5}))/5)</f>
        <v>0</v>
      </c>
      <c r="EJ752" s="29">
        <f>IF(COUNT(I752:BE752)&lt;5,DZ752,SUMPRODUCT(LARGE(I752:BE752,{1,2,3,4,5}))/5)</f>
        <v>0</v>
      </c>
      <c r="EK752" s="29">
        <f t="shared" si="203"/>
        <v>0</v>
      </c>
      <c r="EL752" s="29">
        <f t="shared" si="206"/>
        <v>0</v>
      </c>
      <c r="EM752" s="116">
        <f t="shared" si="202"/>
        <v>0</v>
      </c>
      <c r="EN752" s="46"/>
      <c r="EQ752"/>
    </row>
    <row r="753" spans="1:147" x14ac:dyDescent="0.25">
      <c r="A753" s="59"/>
      <c r="B753" s="32"/>
      <c r="C753" s="5"/>
      <c r="D753" s="6"/>
      <c r="E753" s="6"/>
      <c r="F753" s="6"/>
      <c r="G753" s="5"/>
      <c r="H753" s="99"/>
      <c r="I753" s="107"/>
      <c r="J753" s="7"/>
      <c r="K753" s="74"/>
      <c r="L753" s="7"/>
      <c r="M753" s="74"/>
      <c r="N753" s="74"/>
      <c r="O753" s="7"/>
      <c r="P753" s="74"/>
      <c r="Q753" s="74"/>
      <c r="R753" s="74"/>
      <c r="S753" s="74"/>
      <c r="T753" s="7"/>
      <c r="U753" s="7"/>
      <c r="V753" s="74"/>
      <c r="W753" s="7"/>
      <c r="X753" s="74"/>
      <c r="Y753" s="227"/>
      <c r="Z753" s="228"/>
      <c r="AA753" s="74"/>
      <c r="AB753" s="74"/>
      <c r="AC753" s="74"/>
      <c r="AD753" s="74"/>
      <c r="AE753" s="7"/>
      <c r="AF753" s="74"/>
      <c r="AG753" s="74"/>
      <c r="AH753" s="7"/>
      <c r="AI753" s="7"/>
      <c r="AJ753" s="7"/>
      <c r="AK753" s="7"/>
      <c r="AL753" s="7"/>
      <c r="AM753" s="7"/>
      <c r="AN753" s="7"/>
      <c r="AO753" s="74"/>
      <c r="AP753" s="7"/>
      <c r="AQ753" s="74"/>
      <c r="AR753" s="101"/>
      <c r="AS753" s="7"/>
      <c r="AT753" s="101"/>
      <c r="AU753" s="7"/>
      <c r="AV753" s="101"/>
      <c r="AW753" s="7"/>
      <c r="AX753" s="183"/>
      <c r="AY753" s="107"/>
      <c r="AZ753" s="74"/>
      <c r="BA753" s="74"/>
      <c r="BB753" s="74"/>
      <c r="BC753" s="74"/>
      <c r="BD753" s="74"/>
      <c r="BE753" s="74"/>
      <c r="BF753" s="74"/>
      <c r="BG753" s="74"/>
      <c r="BH753" s="74"/>
      <c r="BI753" s="74"/>
      <c r="BJ753" s="7"/>
      <c r="BK753" s="7"/>
      <c r="BL753" s="7"/>
      <c r="BM753" s="7"/>
      <c r="BN753" s="74"/>
      <c r="BO753" s="74"/>
      <c r="BP753" s="74"/>
      <c r="BQ753" s="74"/>
      <c r="BR753" s="74"/>
      <c r="BS753" s="74"/>
      <c r="BT753" s="74"/>
      <c r="BU753" s="74"/>
      <c r="BV753" s="74"/>
      <c r="BW753" s="74"/>
      <c r="BX753" s="74"/>
      <c r="BY753" s="74"/>
      <c r="BZ753" s="7"/>
      <c r="CA753" s="74"/>
      <c r="CB753" s="74"/>
      <c r="CC753" s="74"/>
      <c r="CD753" s="74"/>
      <c r="CE753" s="74"/>
      <c r="CF753" s="74"/>
      <c r="CG753" s="74"/>
      <c r="CH753" s="74"/>
      <c r="CI753" s="74"/>
      <c r="CJ753" s="74"/>
      <c r="CK753" s="101"/>
      <c r="CL753" s="74"/>
      <c r="CM753" s="74"/>
      <c r="CN753" s="74"/>
      <c r="CO753" s="101"/>
      <c r="CP753" s="74"/>
      <c r="CQ753" s="74"/>
      <c r="CR753" s="74"/>
      <c r="CS753" s="74"/>
      <c r="CT753" s="74"/>
      <c r="CU753" s="74"/>
      <c r="CV753" s="74"/>
      <c r="CW753" s="7"/>
      <c r="CX753" s="7"/>
      <c r="CY753" s="74"/>
      <c r="CZ753" s="74"/>
      <c r="DA753" s="74"/>
      <c r="DB753" s="74"/>
      <c r="DC753" s="74"/>
      <c r="DD753" s="74"/>
      <c r="DE753" s="74"/>
      <c r="DF753" s="74"/>
      <c r="DG753" s="74"/>
      <c r="DH753" s="74"/>
      <c r="DI753" s="74"/>
      <c r="DJ753" s="74"/>
      <c r="DK753" s="74"/>
      <c r="DL753" s="74"/>
      <c r="DM753" s="74"/>
      <c r="DN753" s="74"/>
      <c r="DO753" s="74"/>
      <c r="DP753" s="74"/>
      <c r="DQ753" s="74"/>
      <c r="DR753" s="74"/>
      <c r="DS753" s="100"/>
      <c r="DT753" s="74"/>
      <c r="DU753" s="74"/>
      <c r="DV753" s="74"/>
      <c r="DW753" s="74"/>
      <c r="DX753" s="74"/>
      <c r="DY753" s="74"/>
      <c r="DZ753" s="8">
        <f t="shared" si="194"/>
        <v>0</v>
      </c>
      <c r="EA753" s="3">
        <f t="shared" si="195"/>
        <v>0</v>
      </c>
      <c r="EB753" s="2">
        <f t="shared" si="196"/>
        <v>0</v>
      </c>
      <c r="EC753" s="112">
        <f t="shared" si="204"/>
        <v>0</v>
      </c>
      <c r="ED753" s="29">
        <f t="shared" si="197"/>
        <v>0</v>
      </c>
      <c r="EE753" s="2">
        <f t="shared" si="198"/>
        <v>0</v>
      </c>
      <c r="EF753" s="46">
        <f t="shared" si="199"/>
        <v>0</v>
      </c>
      <c r="EG753" s="46">
        <f t="shared" si="200"/>
        <v>0</v>
      </c>
      <c r="EH753" s="29">
        <f t="shared" si="201"/>
        <v>0</v>
      </c>
      <c r="EI753" s="29">
        <f>IF(COUNT(I753:AD753)&lt;5,DZ753,SUMPRODUCT(LARGE(I753:AD753,{1,2,3,4,5}))/5)</f>
        <v>0</v>
      </c>
      <c r="EJ753" s="29">
        <f>IF(COUNT(I753:BE753)&lt;5,DZ753,SUMPRODUCT(LARGE(I753:BE753,{1,2,3,4,5}))/5)</f>
        <v>0</v>
      </c>
      <c r="EK753" s="29">
        <f t="shared" si="203"/>
        <v>0</v>
      </c>
      <c r="EL753" s="29">
        <f t="shared" si="206"/>
        <v>0</v>
      </c>
      <c r="EM753" s="116">
        <f t="shared" si="202"/>
        <v>0</v>
      </c>
      <c r="EN753" s="46"/>
      <c r="EQ753"/>
    </row>
    <row r="754" spans="1:147" x14ac:dyDescent="0.25">
      <c r="A754" s="59"/>
      <c r="B754" s="32"/>
      <c r="C754" s="5"/>
      <c r="D754" s="6"/>
      <c r="E754" s="6"/>
      <c r="F754" s="6"/>
      <c r="G754" s="5"/>
      <c r="H754" s="37"/>
      <c r="I754" s="107"/>
      <c r="J754" s="7"/>
      <c r="K754" s="74"/>
      <c r="L754" s="7"/>
      <c r="M754" s="74"/>
      <c r="N754" s="74"/>
      <c r="O754" s="7"/>
      <c r="P754" s="74"/>
      <c r="Q754" s="7"/>
      <c r="R754" s="74"/>
      <c r="S754" s="74"/>
      <c r="T754" s="7"/>
      <c r="U754" s="7"/>
      <c r="V754" s="74"/>
      <c r="W754" s="74"/>
      <c r="X754" s="74"/>
      <c r="Y754" s="227"/>
      <c r="Z754" s="228"/>
      <c r="AA754" s="74"/>
      <c r="AB754" s="74"/>
      <c r="AC754" s="74"/>
      <c r="AD754" s="74"/>
      <c r="AE754" s="7"/>
      <c r="AF754" s="74"/>
      <c r="AG754" s="74"/>
      <c r="AH754" s="7"/>
      <c r="AI754" s="7"/>
      <c r="AJ754" s="7"/>
      <c r="AK754" s="7"/>
      <c r="AL754" s="7"/>
      <c r="AM754" s="7"/>
      <c r="AN754" s="7"/>
      <c r="AO754" s="74"/>
      <c r="AP754" s="7"/>
      <c r="AQ754" s="74"/>
      <c r="AR754" s="101"/>
      <c r="AS754" s="7"/>
      <c r="AT754" s="101"/>
      <c r="AU754" s="7"/>
      <c r="AV754" s="101"/>
      <c r="AW754" s="7"/>
      <c r="AX754" s="183"/>
      <c r="AY754" s="107"/>
      <c r="AZ754" s="74"/>
      <c r="BA754" s="74"/>
      <c r="BB754" s="74"/>
      <c r="BC754" s="74"/>
      <c r="BD754" s="74"/>
      <c r="BE754" s="74"/>
      <c r="BF754" s="74"/>
      <c r="BG754" s="74"/>
      <c r="BH754" s="74"/>
      <c r="BI754" s="74"/>
      <c r="BJ754" s="74"/>
      <c r="BK754" s="7"/>
      <c r="BL754" s="74"/>
      <c r="BM754" s="7"/>
      <c r="BN754" s="74"/>
      <c r="BO754" s="74"/>
      <c r="BP754" s="74"/>
      <c r="BQ754" s="74"/>
      <c r="BR754" s="74"/>
      <c r="BS754" s="74"/>
      <c r="BT754" s="74"/>
      <c r="BU754" s="74"/>
      <c r="BV754" s="74"/>
      <c r="BW754" s="74"/>
      <c r="BX754" s="74"/>
      <c r="BY754" s="74"/>
      <c r="BZ754" s="74"/>
      <c r="CA754" s="74"/>
      <c r="CB754" s="74"/>
      <c r="CC754" s="74"/>
      <c r="CD754" s="74"/>
      <c r="CE754" s="7"/>
      <c r="CF754" s="74"/>
      <c r="CG754" s="74"/>
      <c r="CH754" s="7"/>
      <c r="CI754" s="74"/>
      <c r="CJ754" s="74"/>
      <c r="CK754" s="101"/>
      <c r="CL754" s="74"/>
      <c r="CM754" s="74"/>
      <c r="CN754" s="74"/>
      <c r="CO754" s="101"/>
      <c r="CP754" s="74"/>
      <c r="CQ754" s="74"/>
      <c r="CR754" s="74"/>
      <c r="CS754" s="74"/>
      <c r="CT754" s="74"/>
      <c r="CU754" s="74"/>
      <c r="CV754" s="74"/>
      <c r="CW754" s="74"/>
      <c r="CX754" s="74"/>
      <c r="CY754" s="74"/>
      <c r="CZ754" s="74"/>
      <c r="DA754" s="74"/>
      <c r="DB754" s="74"/>
      <c r="DC754" s="74"/>
      <c r="DD754" s="74"/>
      <c r="DE754" s="74"/>
      <c r="DF754" s="74"/>
      <c r="DG754" s="74"/>
      <c r="DH754" s="74"/>
      <c r="DI754" s="74"/>
      <c r="DJ754" s="74"/>
      <c r="DK754" s="74"/>
      <c r="DL754" s="74"/>
      <c r="DM754" s="74"/>
      <c r="DN754" s="74"/>
      <c r="DO754" s="74"/>
      <c r="DP754" s="74"/>
      <c r="DQ754" s="74"/>
      <c r="DR754" s="74"/>
      <c r="DS754" s="74"/>
      <c r="DT754" s="74"/>
      <c r="DU754" s="74"/>
      <c r="DV754" s="74"/>
      <c r="DW754" s="74"/>
      <c r="DX754" s="74"/>
      <c r="DY754" s="74"/>
      <c r="DZ754" s="8">
        <f t="shared" si="194"/>
        <v>0</v>
      </c>
      <c r="EA754" s="3">
        <f t="shared" si="195"/>
        <v>0</v>
      </c>
      <c r="EB754" s="2">
        <f t="shared" si="196"/>
        <v>0</v>
      </c>
      <c r="EC754" s="112">
        <f t="shared" si="204"/>
        <v>0</v>
      </c>
      <c r="ED754" s="29">
        <f t="shared" si="197"/>
        <v>0</v>
      </c>
      <c r="EE754" s="2">
        <f t="shared" si="198"/>
        <v>0</v>
      </c>
      <c r="EF754" s="46">
        <f t="shared" si="199"/>
        <v>0</v>
      </c>
      <c r="EG754" s="46">
        <f t="shared" si="200"/>
        <v>0</v>
      </c>
      <c r="EH754" s="29">
        <f t="shared" si="201"/>
        <v>0</v>
      </c>
      <c r="EI754" s="29">
        <f>IF(COUNT(I754:AD754)&lt;5,DZ754,SUMPRODUCT(LARGE(I754:AD754,{1,2,3,4,5}))/5)</f>
        <v>0</v>
      </c>
      <c r="EJ754" s="29">
        <f>IF(COUNT(I754:BE754)&lt;5,DZ754,SUMPRODUCT(LARGE(I754:BE754,{1,2,3,4,5}))/5)</f>
        <v>0</v>
      </c>
      <c r="EK754" s="29">
        <f t="shared" si="203"/>
        <v>0</v>
      </c>
      <c r="EL754" s="29">
        <f t="shared" si="206"/>
        <v>0</v>
      </c>
      <c r="EM754" s="116">
        <f t="shared" si="202"/>
        <v>0</v>
      </c>
      <c r="EN754" s="46"/>
      <c r="EQ754"/>
    </row>
    <row r="755" spans="1:147" x14ac:dyDescent="0.25">
      <c r="A755" s="59"/>
      <c r="B755" s="32"/>
      <c r="C755" s="5"/>
      <c r="D755" s="6"/>
      <c r="E755" s="6"/>
      <c r="F755" s="6"/>
      <c r="G755" s="5"/>
      <c r="H755" s="99"/>
      <c r="I755" s="36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227"/>
      <c r="Z755" s="228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4"/>
      <c r="AP755" s="7"/>
      <c r="AQ755" s="74"/>
      <c r="AR755" s="70"/>
      <c r="AS755" s="7"/>
      <c r="AT755" s="70"/>
      <c r="AU755" s="7"/>
      <c r="AV755" s="70"/>
      <c r="AW755" s="7"/>
      <c r="AX755" s="183"/>
      <c r="AY755" s="10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4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101"/>
      <c r="CL755" s="74"/>
      <c r="CM755" s="74"/>
      <c r="CN755" s="74"/>
      <c r="CO755" s="70"/>
      <c r="CP755" s="74"/>
      <c r="CQ755" s="7"/>
      <c r="CR755" s="74"/>
      <c r="CS755" s="74"/>
      <c r="CT755" s="74"/>
      <c r="CU755" s="74"/>
      <c r="CV755" s="7"/>
      <c r="CW755" s="7"/>
      <c r="CX755" s="7"/>
      <c r="CY755" s="7"/>
      <c r="CZ755" s="7"/>
      <c r="DA755" s="7"/>
      <c r="DB755" s="7"/>
      <c r="DC755" s="7"/>
      <c r="DD755" s="7"/>
      <c r="DE755" s="74"/>
      <c r="DF755" s="74"/>
      <c r="DG755" s="74"/>
      <c r="DH755" s="74"/>
      <c r="DI755" s="74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8">
        <f t="shared" si="194"/>
        <v>0</v>
      </c>
      <c r="EA755" s="3">
        <f t="shared" si="195"/>
        <v>0</v>
      </c>
      <c r="EB755" s="2">
        <f t="shared" si="196"/>
        <v>0</v>
      </c>
      <c r="EC755" s="112">
        <f t="shared" si="204"/>
        <v>0</v>
      </c>
      <c r="ED755" s="29">
        <f t="shared" si="197"/>
        <v>0</v>
      </c>
      <c r="EE755" s="2">
        <f t="shared" si="198"/>
        <v>0</v>
      </c>
      <c r="EF755" s="46">
        <f t="shared" si="199"/>
        <v>0</v>
      </c>
      <c r="EG755" s="46">
        <f t="shared" si="200"/>
        <v>0</v>
      </c>
      <c r="EH755" s="2">
        <f t="shared" si="201"/>
        <v>0</v>
      </c>
      <c r="EI755" s="29">
        <f>IF(COUNT(I755:AD755)&lt;5,DZ755,SUMPRODUCT(LARGE(I755:AD755,{1,2,3,4,5}))/5)</f>
        <v>0</v>
      </c>
      <c r="EJ755" s="29">
        <f>IF(COUNT(I755:BE755)&lt;5,DZ755,SUMPRODUCT(LARGE(I755:BE755,{1,2,3,4,5}))/5)</f>
        <v>0</v>
      </c>
      <c r="EK755" s="29">
        <f t="shared" si="203"/>
        <v>0</v>
      </c>
      <c r="EL755" s="29">
        <f t="shared" si="206"/>
        <v>0</v>
      </c>
      <c r="EM755" s="116">
        <f t="shared" si="202"/>
        <v>0</v>
      </c>
      <c r="EN755" s="46"/>
      <c r="EQ755"/>
    </row>
    <row r="756" spans="1:147" x14ac:dyDescent="0.25">
      <c r="A756" s="59"/>
      <c r="B756" s="32"/>
      <c r="C756" s="5"/>
      <c r="D756" s="6"/>
      <c r="E756" s="6"/>
      <c r="F756" s="6"/>
      <c r="G756" s="5"/>
      <c r="H756" s="37"/>
      <c r="I756" s="36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227"/>
      <c r="Z756" s="228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4"/>
      <c r="AP756" s="7"/>
      <c r="AQ756" s="74"/>
      <c r="AR756" s="70"/>
      <c r="AS756" s="7"/>
      <c r="AT756" s="70"/>
      <c r="AU756" s="7"/>
      <c r="AV756" s="70"/>
      <c r="AW756" s="7"/>
      <c r="AX756" s="183"/>
      <c r="AY756" s="10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4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101"/>
      <c r="CL756" s="74"/>
      <c r="CM756" s="74"/>
      <c r="CN756" s="74"/>
      <c r="CO756" s="70"/>
      <c r="CP756" s="74"/>
      <c r="CQ756" s="7"/>
      <c r="CR756" s="74"/>
      <c r="CS756" s="74"/>
      <c r="CT756" s="74"/>
      <c r="CU756" s="74"/>
      <c r="CV756" s="7"/>
      <c r="CW756" s="7"/>
      <c r="CX756" s="7"/>
      <c r="CY756" s="7"/>
      <c r="CZ756" s="7"/>
      <c r="DA756" s="7"/>
      <c r="DB756" s="7"/>
      <c r="DC756" s="7"/>
      <c r="DD756" s="7"/>
      <c r="DE756" s="74"/>
      <c r="DF756" s="74"/>
      <c r="DG756" s="74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8">
        <f t="shared" si="194"/>
        <v>0</v>
      </c>
      <c r="EA756" s="3">
        <f t="shared" si="195"/>
        <v>0</v>
      </c>
      <c r="EB756" s="2">
        <f t="shared" si="196"/>
        <v>0</v>
      </c>
      <c r="EC756" s="112">
        <f t="shared" si="204"/>
        <v>0</v>
      </c>
      <c r="ED756" s="29">
        <f t="shared" si="197"/>
        <v>0</v>
      </c>
      <c r="EE756" s="2">
        <f t="shared" si="198"/>
        <v>0</v>
      </c>
      <c r="EF756" s="46">
        <f t="shared" si="199"/>
        <v>0</v>
      </c>
      <c r="EG756" s="46">
        <f t="shared" si="200"/>
        <v>0</v>
      </c>
      <c r="EH756" s="2">
        <f t="shared" si="201"/>
        <v>0</v>
      </c>
      <c r="EI756" s="29">
        <f>IF(COUNT(I756:AD756)&lt;5,DZ756,SUMPRODUCT(LARGE(I756:AD756,{1,2,3,4,5}))/5)</f>
        <v>0</v>
      </c>
      <c r="EJ756" s="29">
        <f>IF(COUNT(I756:BE756)&lt;5,DZ756,SUMPRODUCT(LARGE(I756:BE756,{1,2,3,4,5}))/5)</f>
        <v>0</v>
      </c>
      <c r="EK756" s="29">
        <f t="shared" si="203"/>
        <v>0</v>
      </c>
      <c r="EL756" s="29">
        <f>(EK756*100)/101.59</f>
        <v>0</v>
      </c>
      <c r="EM756" s="116">
        <f t="shared" si="202"/>
        <v>0</v>
      </c>
      <c r="EQ756"/>
    </row>
    <row r="757" spans="1:147" x14ac:dyDescent="0.25">
      <c r="A757" s="59"/>
      <c r="B757" s="4"/>
      <c r="C757" s="5"/>
      <c r="D757" s="6"/>
      <c r="E757" s="6"/>
      <c r="F757" s="6"/>
      <c r="G757" s="5"/>
      <c r="H757" s="99"/>
      <c r="I757" s="107"/>
      <c r="J757" s="7"/>
      <c r="K757" s="74"/>
      <c r="L757" s="7"/>
      <c r="M757" s="74"/>
      <c r="N757" s="74"/>
      <c r="O757" s="7"/>
      <c r="P757" s="74"/>
      <c r="Q757" s="74"/>
      <c r="R757" s="74"/>
      <c r="S757" s="74"/>
      <c r="T757" s="7"/>
      <c r="U757" s="7"/>
      <c r="V757" s="74"/>
      <c r="W757" s="7"/>
      <c r="X757" s="74"/>
      <c r="Y757" s="227"/>
      <c r="Z757" s="228"/>
      <c r="AA757" s="74"/>
      <c r="AB757" s="74"/>
      <c r="AC757" s="74"/>
      <c r="AD757" s="74"/>
      <c r="AE757" s="7"/>
      <c r="AF757" s="74"/>
      <c r="AG757" s="74"/>
      <c r="AH757" s="7"/>
      <c r="AI757" s="7"/>
      <c r="AJ757" s="7"/>
      <c r="AK757" s="7"/>
      <c r="AL757" s="7"/>
      <c r="AM757" s="7"/>
      <c r="AN757" s="7"/>
      <c r="AO757" s="74"/>
      <c r="AP757" s="7"/>
      <c r="AQ757" s="74"/>
      <c r="AR757" s="101"/>
      <c r="AS757" s="7"/>
      <c r="AT757" s="101"/>
      <c r="AU757" s="7"/>
      <c r="AV757" s="101"/>
      <c r="AW757" s="7"/>
      <c r="AX757" s="183"/>
      <c r="AY757" s="107"/>
      <c r="AZ757" s="74"/>
      <c r="BA757" s="74"/>
      <c r="BB757" s="74"/>
      <c r="BC757" s="74"/>
      <c r="BD757" s="74"/>
      <c r="BE757" s="74"/>
      <c r="BF757" s="74"/>
      <c r="BG757" s="74"/>
      <c r="BH757" s="74"/>
      <c r="BI757" s="74"/>
      <c r="BJ757" s="74"/>
      <c r="BK757" s="7"/>
      <c r="BL757" s="74"/>
      <c r="BM757" s="7"/>
      <c r="BN757" s="74"/>
      <c r="BO757" s="74"/>
      <c r="BP757" s="74"/>
      <c r="BQ757" s="74"/>
      <c r="BR757" s="74"/>
      <c r="BS757" s="74"/>
      <c r="BT757" s="74"/>
      <c r="BU757" s="74"/>
      <c r="BV757" s="74"/>
      <c r="BW757" s="74"/>
      <c r="BX757" s="74"/>
      <c r="BY757" s="74"/>
      <c r="BZ757" s="74"/>
      <c r="CA757" s="74"/>
      <c r="CB757" s="7"/>
      <c r="CC757" s="74"/>
      <c r="CD757" s="74"/>
      <c r="CE757" s="7"/>
      <c r="CF757" s="74"/>
      <c r="CG757" s="74"/>
      <c r="CH757" s="7"/>
      <c r="CI757" s="74"/>
      <c r="CJ757" s="74"/>
      <c r="CK757" s="101"/>
      <c r="CL757" s="74"/>
      <c r="CM757" s="74"/>
      <c r="CN757" s="74"/>
      <c r="CO757" s="101"/>
      <c r="CP757" s="74"/>
      <c r="CQ757" s="74"/>
      <c r="CR757" s="74"/>
      <c r="CS757" s="74"/>
      <c r="CT757" s="74"/>
      <c r="CU757" s="74"/>
      <c r="CV757" s="74"/>
      <c r="CW757" s="74"/>
      <c r="CX757" s="74"/>
      <c r="CY757" s="74"/>
      <c r="CZ757" s="74"/>
      <c r="DA757" s="74"/>
      <c r="DB757" s="74"/>
      <c r="DC757" s="74"/>
      <c r="DD757" s="74"/>
      <c r="DE757" s="74"/>
      <c r="DF757" s="74"/>
      <c r="DG757" s="74"/>
      <c r="DH757" s="74"/>
      <c r="DI757" s="74"/>
      <c r="DJ757" s="7"/>
      <c r="DK757" s="74"/>
      <c r="DL757" s="7"/>
      <c r="DM757" s="74"/>
      <c r="DN757" s="74"/>
      <c r="DO757" s="74"/>
      <c r="DP757" s="74"/>
      <c r="DQ757" s="74"/>
      <c r="DR757" s="74"/>
      <c r="DS757" s="74"/>
      <c r="DT757" s="74"/>
      <c r="DU757" s="74"/>
      <c r="DV757" s="74"/>
      <c r="DW757" s="74"/>
      <c r="DX757" s="74"/>
      <c r="DY757" s="74"/>
      <c r="DZ757" s="8">
        <f t="shared" si="194"/>
        <v>0</v>
      </c>
      <c r="EA757" s="3">
        <f t="shared" si="195"/>
        <v>0</v>
      </c>
      <c r="EB757" s="2">
        <f t="shared" si="196"/>
        <v>0</v>
      </c>
      <c r="EC757" s="112">
        <f t="shared" si="204"/>
        <v>0</v>
      </c>
      <c r="ED757" s="29">
        <f t="shared" si="197"/>
        <v>0</v>
      </c>
      <c r="EE757" s="2">
        <f t="shared" si="198"/>
        <v>0</v>
      </c>
      <c r="EF757" s="46">
        <f t="shared" si="199"/>
        <v>0</v>
      </c>
      <c r="EG757" s="46">
        <f t="shared" si="200"/>
        <v>0</v>
      </c>
      <c r="EH757" s="29">
        <f t="shared" si="201"/>
        <v>0</v>
      </c>
      <c r="EI757" s="29">
        <f>IF(COUNT(I757:AD757)&lt;5,DZ757,SUMPRODUCT(LARGE(I757:AD757,{1,2,3,4,5}))/5)</f>
        <v>0</v>
      </c>
      <c r="EJ757" s="29">
        <f>IF(COUNT(I757:BE757)&lt;5,DZ757,SUMPRODUCT(LARGE(I757:BE757,{1,2,3,4,5}))/5)</f>
        <v>0</v>
      </c>
      <c r="EK757" s="29">
        <f t="shared" si="203"/>
        <v>0</v>
      </c>
      <c r="EL757" s="29">
        <f t="shared" ref="EL757:EL776" si="207">(EK757*100)/101.28</f>
        <v>0</v>
      </c>
      <c r="EM757" s="116">
        <f t="shared" si="202"/>
        <v>0</v>
      </c>
      <c r="EQ757"/>
    </row>
    <row r="758" spans="1:147" x14ac:dyDescent="0.25">
      <c r="A758" s="59"/>
      <c r="B758" s="32"/>
      <c r="C758" s="5"/>
      <c r="D758" s="6"/>
      <c r="E758" s="6"/>
      <c r="F758" s="6"/>
      <c r="G758" s="5"/>
      <c r="H758" s="37"/>
      <c r="I758" s="107"/>
      <c r="J758" s="7"/>
      <c r="K758" s="74"/>
      <c r="L758" s="7"/>
      <c r="M758" s="74"/>
      <c r="N758" s="74"/>
      <c r="O758" s="7"/>
      <c r="P758" s="74"/>
      <c r="Q758" s="7"/>
      <c r="R758" s="74"/>
      <c r="S758" s="74"/>
      <c r="T758" s="7"/>
      <c r="U758" s="7"/>
      <c r="V758" s="74"/>
      <c r="W758" s="74"/>
      <c r="X758" s="74"/>
      <c r="Y758" s="227"/>
      <c r="Z758" s="228"/>
      <c r="AA758" s="74"/>
      <c r="AB758" s="74"/>
      <c r="AC758" s="74"/>
      <c r="AD758" s="74"/>
      <c r="AE758" s="7"/>
      <c r="AF758" s="74"/>
      <c r="AG758" s="74"/>
      <c r="AH758" s="7"/>
      <c r="AI758" s="7"/>
      <c r="AJ758" s="7"/>
      <c r="AK758" s="7"/>
      <c r="AL758" s="7"/>
      <c r="AM758" s="7"/>
      <c r="AN758" s="7"/>
      <c r="AO758" s="74"/>
      <c r="AP758" s="7"/>
      <c r="AQ758" s="74"/>
      <c r="AR758" s="101"/>
      <c r="AS758" s="7"/>
      <c r="AT758" s="101"/>
      <c r="AU758" s="7"/>
      <c r="AV758" s="101"/>
      <c r="AW758" s="7"/>
      <c r="AX758" s="8"/>
      <c r="AY758" s="36"/>
      <c r="AZ758" s="74"/>
      <c r="BA758" s="74"/>
      <c r="BB758" s="74"/>
      <c r="BC758" s="74"/>
      <c r="BD758" s="74"/>
      <c r="BE758" s="74"/>
      <c r="BF758" s="74"/>
      <c r="BG758" s="74"/>
      <c r="BH758" s="74"/>
      <c r="BI758" s="74"/>
      <c r="BJ758" s="74"/>
      <c r="BK758" s="7"/>
      <c r="BL758" s="74"/>
      <c r="BM758" s="7"/>
      <c r="BN758" s="74"/>
      <c r="BO758" s="74"/>
      <c r="BP758" s="74"/>
      <c r="BQ758" s="74"/>
      <c r="BR758" s="74"/>
      <c r="BS758" s="74"/>
      <c r="BT758" s="74"/>
      <c r="BU758" s="74"/>
      <c r="BV758" s="74"/>
      <c r="BW758" s="74"/>
      <c r="BX758" s="74"/>
      <c r="BY758" s="74"/>
      <c r="BZ758" s="74"/>
      <c r="CA758" s="74"/>
      <c r="CB758" s="74"/>
      <c r="CC758" s="74"/>
      <c r="CD758" s="74"/>
      <c r="CE758" s="7"/>
      <c r="CF758" s="74"/>
      <c r="CG758" s="74"/>
      <c r="CH758" s="7"/>
      <c r="CI758" s="74"/>
      <c r="CJ758" s="74"/>
      <c r="CK758" s="101"/>
      <c r="CL758" s="74"/>
      <c r="CM758" s="74"/>
      <c r="CN758" s="74"/>
      <c r="CO758" s="101"/>
      <c r="CP758" s="74"/>
      <c r="CQ758" s="74"/>
      <c r="CR758" s="74"/>
      <c r="CS758" s="74"/>
      <c r="CT758" s="74"/>
      <c r="CU758" s="74"/>
      <c r="CV758" s="74"/>
      <c r="CW758" s="74"/>
      <c r="CX758" s="74"/>
      <c r="CY758" s="74"/>
      <c r="CZ758" s="74"/>
      <c r="DA758" s="74"/>
      <c r="DB758" s="74"/>
      <c r="DC758" s="74"/>
      <c r="DD758" s="74"/>
      <c r="DE758" s="74"/>
      <c r="DF758" s="74"/>
      <c r="DG758" s="74"/>
      <c r="DH758" s="74"/>
      <c r="DI758" s="74"/>
      <c r="DJ758" s="74"/>
      <c r="DK758" s="74"/>
      <c r="DL758" s="74"/>
      <c r="DM758" s="74"/>
      <c r="DN758" s="74"/>
      <c r="DO758" s="74"/>
      <c r="DP758" s="74"/>
      <c r="DQ758" s="74"/>
      <c r="DR758" s="74"/>
      <c r="DS758" s="74"/>
      <c r="DT758" s="74"/>
      <c r="DU758" s="74"/>
      <c r="DV758" s="74"/>
      <c r="DW758" s="74"/>
      <c r="DX758" s="74"/>
      <c r="DY758" s="74"/>
      <c r="DZ758" s="8">
        <f t="shared" si="194"/>
        <v>0</v>
      </c>
      <c r="EA758" s="3">
        <f t="shared" si="195"/>
        <v>0</v>
      </c>
      <c r="EB758" s="2">
        <f t="shared" si="196"/>
        <v>0</v>
      </c>
      <c r="EC758" s="112">
        <f t="shared" si="204"/>
        <v>0</v>
      </c>
      <c r="ED758" s="29">
        <f t="shared" si="197"/>
        <v>0</v>
      </c>
      <c r="EE758" s="2">
        <f t="shared" si="198"/>
        <v>0</v>
      </c>
      <c r="EF758" s="46">
        <f t="shared" si="199"/>
        <v>0</v>
      </c>
      <c r="EG758" s="46">
        <f t="shared" si="200"/>
        <v>0</v>
      </c>
      <c r="EH758" s="2">
        <f t="shared" si="201"/>
        <v>0</v>
      </c>
      <c r="EI758" s="29">
        <f>IF(COUNT(I758:AD758)&lt;5,DZ758,SUMPRODUCT(LARGE(I758:AD758,{1,2,3,4,5}))/5)</f>
        <v>0</v>
      </c>
      <c r="EJ758" s="29">
        <f>IF(COUNT(I758:BE758)&lt;5,DZ758,SUMPRODUCT(LARGE(I758:BE758,{1,2,3,4,5}))/5)</f>
        <v>0</v>
      </c>
      <c r="EK758" s="29">
        <f t="shared" si="203"/>
        <v>0</v>
      </c>
      <c r="EL758" s="29">
        <f t="shared" si="207"/>
        <v>0</v>
      </c>
      <c r="EM758" s="116">
        <f t="shared" si="202"/>
        <v>0</v>
      </c>
      <c r="EQ758"/>
    </row>
    <row r="759" spans="1:147" x14ac:dyDescent="0.25">
      <c r="A759" s="59"/>
      <c r="B759" s="32"/>
      <c r="C759" s="5"/>
      <c r="D759" s="6"/>
      <c r="E759" s="6"/>
      <c r="F759" s="6"/>
      <c r="G759" s="5"/>
      <c r="H759" s="37"/>
      <c r="I759" s="107"/>
      <c r="J759" s="7"/>
      <c r="K759" s="74"/>
      <c r="L759" s="7"/>
      <c r="M759" s="74"/>
      <c r="N759" s="74"/>
      <c r="O759" s="7"/>
      <c r="P759" s="74"/>
      <c r="Q759" s="7"/>
      <c r="R759" s="74"/>
      <c r="S759" s="74"/>
      <c r="T759" s="7"/>
      <c r="U759" s="7"/>
      <c r="V759" s="74"/>
      <c r="W759" s="7"/>
      <c r="X759" s="74"/>
      <c r="Y759" s="227"/>
      <c r="Z759" s="228"/>
      <c r="AA759" s="74"/>
      <c r="AB759" s="74"/>
      <c r="AC759" s="74"/>
      <c r="AD759" s="74"/>
      <c r="AE759" s="7"/>
      <c r="AF759" s="74"/>
      <c r="AG759" s="74"/>
      <c r="AH759" s="7"/>
      <c r="AI759" s="7"/>
      <c r="AJ759" s="7"/>
      <c r="AK759" s="7"/>
      <c r="AL759" s="7"/>
      <c r="AM759" s="7"/>
      <c r="AN759" s="7"/>
      <c r="AO759" s="74"/>
      <c r="AP759" s="7"/>
      <c r="AQ759" s="74"/>
      <c r="AR759" s="101"/>
      <c r="AS759" s="7"/>
      <c r="AT759" s="101"/>
      <c r="AU759" s="7"/>
      <c r="AV759" s="101"/>
      <c r="AW759" s="7"/>
      <c r="AX759" s="8"/>
      <c r="AY759" s="36"/>
      <c r="AZ759" s="74"/>
      <c r="BA759" s="74"/>
      <c r="BB759" s="74"/>
      <c r="BC759" s="74"/>
      <c r="BD759" s="74"/>
      <c r="BE759" s="74"/>
      <c r="BF759" s="74"/>
      <c r="BG759" s="74"/>
      <c r="BH759" s="74"/>
      <c r="BI759" s="74"/>
      <c r="BJ759" s="74"/>
      <c r="BK759" s="7"/>
      <c r="BL759" s="74"/>
      <c r="BM759" s="7"/>
      <c r="BN759" s="74"/>
      <c r="BO759" s="74"/>
      <c r="BP759" s="74"/>
      <c r="BQ759" s="74"/>
      <c r="BR759" s="74"/>
      <c r="BS759" s="74"/>
      <c r="BT759" s="74"/>
      <c r="BU759" s="74"/>
      <c r="BV759" s="74"/>
      <c r="BW759" s="74"/>
      <c r="BX759" s="74"/>
      <c r="BY759" s="74"/>
      <c r="BZ759" s="74"/>
      <c r="CA759" s="74"/>
      <c r="CB759" s="74"/>
      <c r="CC759" s="74"/>
      <c r="CD759" s="74"/>
      <c r="CE759" s="7"/>
      <c r="CF759" s="74"/>
      <c r="CG759" s="74"/>
      <c r="CH759" s="7"/>
      <c r="CI759" s="74"/>
      <c r="CJ759" s="74"/>
      <c r="CK759" s="101"/>
      <c r="CL759" s="74"/>
      <c r="CM759" s="74"/>
      <c r="CN759" s="74"/>
      <c r="CO759" s="101"/>
      <c r="CP759" s="74"/>
      <c r="CQ759" s="74"/>
      <c r="CR759" s="74"/>
      <c r="CS759" s="74"/>
      <c r="CT759" s="74"/>
      <c r="CU759" s="74"/>
      <c r="CV759" s="74"/>
      <c r="CW759" s="74"/>
      <c r="CX759" s="74"/>
      <c r="CY759" s="74"/>
      <c r="CZ759" s="74"/>
      <c r="DA759" s="74"/>
      <c r="DB759" s="74"/>
      <c r="DC759" s="74"/>
      <c r="DD759" s="74"/>
      <c r="DE759" s="74"/>
      <c r="DF759" s="74"/>
      <c r="DG759" s="74"/>
      <c r="DH759" s="74"/>
      <c r="DI759" s="74"/>
      <c r="DJ759" s="74"/>
      <c r="DK759" s="74"/>
      <c r="DL759" s="74"/>
      <c r="DM759" s="74"/>
      <c r="DN759" s="74"/>
      <c r="DO759" s="74"/>
      <c r="DP759" s="74"/>
      <c r="DQ759" s="74"/>
      <c r="DR759" s="74"/>
      <c r="DS759" s="74"/>
      <c r="DT759" s="74"/>
      <c r="DU759" s="74"/>
      <c r="DV759" s="74"/>
      <c r="DW759" s="74"/>
      <c r="DX759" s="74"/>
      <c r="DY759" s="74"/>
      <c r="DZ759" s="8">
        <f t="shared" si="194"/>
        <v>0</v>
      </c>
      <c r="EA759" s="3">
        <f t="shared" si="195"/>
        <v>0</v>
      </c>
      <c r="EB759" s="2">
        <f t="shared" si="196"/>
        <v>0</v>
      </c>
      <c r="EC759" s="112">
        <f t="shared" si="204"/>
        <v>0</v>
      </c>
      <c r="ED759" s="29">
        <f t="shared" si="197"/>
        <v>0</v>
      </c>
      <c r="EE759" s="2">
        <f t="shared" si="198"/>
        <v>0</v>
      </c>
      <c r="EF759" s="46">
        <f t="shared" si="199"/>
        <v>0</v>
      </c>
      <c r="EG759" s="46">
        <f t="shared" si="200"/>
        <v>0</v>
      </c>
      <c r="EH759" s="29">
        <f t="shared" si="201"/>
        <v>0</v>
      </c>
      <c r="EI759" s="29">
        <f>IF(COUNT(I759:AD759)&lt;5,DZ759,SUMPRODUCT(LARGE(I759:AD759,{1,2,3,4,5}))/5)</f>
        <v>0</v>
      </c>
      <c r="EJ759" s="29">
        <f>IF(COUNT(I759:BE759)&lt;5,DZ759,SUMPRODUCT(LARGE(I759:BE759,{1,2,3,4,5}))/5)</f>
        <v>0</v>
      </c>
      <c r="EK759" s="29">
        <f t="shared" si="203"/>
        <v>0</v>
      </c>
      <c r="EL759" s="29">
        <f t="shared" si="207"/>
        <v>0</v>
      </c>
      <c r="EM759" s="116">
        <f t="shared" si="202"/>
        <v>0</v>
      </c>
      <c r="EQ759"/>
    </row>
    <row r="760" spans="1:147" x14ac:dyDescent="0.25">
      <c r="A760" s="59"/>
      <c r="B760" s="32"/>
      <c r="C760" s="5"/>
      <c r="D760" s="6"/>
      <c r="E760" s="6"/>
      <c r="F760" s="6"/>
      <c r="G760" s="5"/>
      <c r="H760" s="37"/>
      <c r="I760" s="107"/>
      <c r="J760" s="7"/>
      <c r="K760" s="74"/>
      <c r="L760" s="7"/>
      <c r="M760" s="74"/>
      <c r="N760" s="74"/>
      <c r="O760" s="7"/>
      <c r="P760" s="74"/>
      <c r="Q760" s="7"/>
      <c r="R760" s="74"/>
      <c r="S760" s="74"/>
      <c r="T760" s="7"/>
      <c r="U760" s="7"/>
      <c r="V760" s="74"/>
      <c r="W760" s="74"/>
      <c r="X760" s="74"/>
      <c r="Y760" s="227"/>
      <c r="Z760" s="228"/>
      <c r="AA760" s="74"/>
      <c r="AB760" s="74"/>
      <c r="AC760" s="74"/>
      <c r="AD760" s="74"/>
      <c r="AE760" s="7"/>
      <c r="AF760" s="74"/>
      <c r="AG760" s="74"/>
      <c r="AH760" s="7"/>
      <c r="AI760" s="7"/>
      <c r="AJ760" s="7"/>
      <c r="AK760" s="7"/>
      <c r="AL760" s="7"/>
      <c r="AM760" s="7"/>
      <c r="AN760" s="7"/>
      <c r="AO760" s="74"/>
      <c r="AP760" s="7"/>
      <c r="AQ760" s="74"/>
      <c r="AR760" s="101"/>
      <c r="AS760" s="7"/>
      <c r="AT760" s="101"/>
      <c r="AU760" s="7"/>
      <c r="AV760" s="101"/>
      <c r="AW760" s="7"/>
      <c r="AX760" s="183"/>
      <c r="AY760" s="107"/>
      <c r="AZ760" s="74"/>
      <c r="BA760" s="74"/>
      <c r="BB760" s="74"/>
      <c r="BC760" s="74"/>
      <c r="BD760" s="74"/>
      <c r="BE760" s="74"/>
      <c r="BF760" s="74"/>
      <c r="BG760" s="74"/>
      <c r="BH760" s="74"/>
      <c r="BI760" s="74"/>
      <c r="BJ760" s="74"/>
      <c r="BK760" s="7"/>
      <c r="BL760" s="74"/>
      <c r="BM760" s="7"/>
      <c r="BN760" s="74"/>
      <c r="BO760" s="74"/>
      <c r="BP760" s="74"/>
      <c r="BQ760" s="74"/>
      <c r="BR760" s="74"/>
      <c r="BS760" s="74"/>
      <c r="BT760" s="74"/>
      <c r="BU760" s="74"/>
      <c r="BV760" s="74"/>
      <c r="BW760" s="74"/>
      <c r="BX760" s="74"/>
      <c r="BY760" s="74"/>
      <c r="BZ760" s="74"/>
      <c r="CA760" s="74"/>
      <c r="CB760" s="74"/>
      <c r="CC760" s="74"/>
      <c r="CD760" s="74"/>
      <c r="CE760" s="7"/>
      <c r="CF760" s="74"/>
      <c r="CG760" s="74"/>
      <c r="CH760" s="7"/>
      <c r="CI760" s="74"/>
      <c r="CJ760" s="74"/>
      <c r="CK760" s="101"/>
      <c r="CL760" s="74"/>
      <c r="CM760" s="74"/>
      <c r="CN760" s="74"/>
      <c r="CO760" s="101"/>
      <c r="CP760" s="74"/>
      <c r="CQ760" s="74"/>
      <c r="CR760" s="74"/>
      <c r="CS760" s="74"/>
      <c r="CT760" s="74"/>
      <c r="CU760" s="74"/>
      <c r="CV760" s="74"/>
      <c r="CW760" s="74"/>
      <c r="CX760" s="74"/>
      <c r="CY760" s="74"/>
      <c r="CZ760" s="74"/>
      <c r="DA760" s="74"/>
      <c r="DB760" s="74"/>
      <c r="DC760" s="74"/>
      <c r="DD760" s="74"/>
      <c r="DE760" s="74"/>
      <c r="DF760" s="74"/>
      <c r="DG760" s="74"/>
      <c r="DH760" s="74"/>
      <c r="DI760" s="74"/>
      <c r="DJ760" s="74"/>
      <c r="DK760" s="74"/>
      <c r="DL760" s="74"/>
      <c r="DM760" s="74"/>
      <c r="DN760" s="74"/>
      <c r="DO760" s="74"/>
      <c r="DP760" s="74"/>
      <c r="DQ760" s="74"/>
      <c r="DR760" s="74"/>
      <c r="DS760" s="74"/>
      <c r="DT760" s="74"/>
      <c r="DU760" s="74"/>
      <c r="DV760" s="74"/>
      <c r="DW760" s="74"/>
      <c r="DX760" s="74"/>
      <c r="DY760" s="74"/>
      <c r="DZ760" s="8">
        <f t="shared" si="194"/>
        <v>0</v>
      </c>
      <c r="EA760" s="3">
        <f t="shared" si="195"/>
        <v>0</v>
      </c>
      <c r="EB760" s="2">
        <f t="shared" si="196"/>
        <v>0</v>
      </c>
      <c r="EC760" s="112">
        <f t="shared" si="204"/>
        <v>0</v>
      </c>
      <c r="ED760" s="29">
        <f t="shared" si="197"/>
        <v>0</v>
      </c>
      <c r="EE760" s="2">
        <f t="shared" si="198"/>
        <v>0</v>
      </c>
      <c r="EF760" s="46">
        <f t="shared" si="199"/>
        <v>0</v>
      </c>
      <c r="EG760" s="46">
        <f t="shared" si="200"/>
        <v>0</v>
      </c>
      <c r="EH760" s="2">
        <f t="shared" si="201"/>
        <v>0</v>
      </c>
      <c r="EI760" s="29">
        <f>IF(COUNT(I760:AD760)&lt;5,DZ760,SUMPRODUCT(LARGE(I760:AD760,{1,2,3,4,5}))/5)</f>
        <v>0</v>
      </c>
      <c r="EJ760" s="29">
        <f>IF(COUNT(I760:BE760)&lt;5,DZ760,SUMPRODUCT(LARGE(I760:BE760,{1,2,3,4,5}))/5)</f>
        <v>0</v>
      </c>
      <c r="EK760" s="29">
        <f t="shared" si="203"/>
        <v>0</v>
      </c>
      <c r="EL760" s="29">
        <f t="shared" si="207"/>
        <v>0</v>
      </c>
      <c r="EM760" s="116">
        <f t="shared" si="202"/>
        <v>0</v>
      </c>
      <c r="EQ760"/>
    </row>
    <row r="761" spans="1:147" x14ac:dyDescent="0.25">
      <c r="A761" s="59"/>
      <c r="B761" s="32"/>
      <c r="C761" s="5"/>
      <c r="D761" s="6"/>
      <c r="E761" s="6"/>
      <c r="F761" s="6"/>
      <c r="G761" s="5"/>
      <c r="H761" s="37"/>
      <c r="I761" s="107"/>
      <c r="J761" s="7"/>
      <c r="K761" s="74"/>
      <c r="L761" s="7"/>
      <c r="M761" s="74"/>
      <c r="N761" s="74"/>
      <c r="O761" s="7"/>
      <c r="P761" s="74"/>
      <c r="Q761" s="7"/>
      <c r="R761" s="74"/>
      <c r="S761" s="74"/>
      <c r="T761" s="7"/>
      <c r="U761" s="7"/>
      <c r="V761" s="74"/>
      <c r="W761" s="74"/>
      <c r="X761" s="74"/>
      <c r="Y761" s="227"/>
      <c r="Z761" s="228"/>
      <c r="AA761" s="74"/>
      <c r="AB761" s="74"/>
      <c r="AC761" s="74"/>
      <c r="AD761" s="74"/>
      <c r="AE761" s="7"/>
      <c r="AF761" s="74"/>
      <c r="AG761" s="74"/>
      <c r="AH761" s="7"/>
      <c r="AI761" s="7"/>
      <c r="AJ761" s="7"/>
      <c r="AK761" s="7"/>
      <c r="AL761" s="7"/>
      <c r="AM761" s="7"/>
      <c r="AN761" s="7"/>
      <c r="AO761" s="74"/>
      <c r="AP761" s="7"/>
      <c r="AQ761" s="74"/>
      <c r="AR761" s="101"/>
      <c r="AS761" s="7"/>
      <c r="AT761" s="101"/>
      <c r="AU761" s="7"/>
      <c r="AV761" s="101"/>
      <c r="AW761" s="7"/>
      <c r="AX761" s="183"/>
      <c r="AY761" s="107"/>
      <c r="AZ761" s="74"/>
      <c r="BA761" s="74"/>
      <c r="BB761" s="74"/>
      <c r="BC761" s="74"/>
      <c r="BD761" s="74"/>
      <c r="BE761" s="74"/>
      <c r="BF761" s="74"/>
      <c r="BG761" s="74"/>
      <c r="BH761" s="74"/>
      <c r="BI761" s="74"/>
      <c r="BJ761" s="74"/>
      <c r="BK761" s="7"/>
      <c r="BL761" s="74"/>
      <c r="BM761" s="7"/>
      <c r="BN761" s="74"/>
      <c r="BO761" s="74"/>
      <c r="BP761" s="74"/>
      <c r="BQ761" s="74"/>
      <c r="BR761" s="74"/>
      <c r="BS761" s="74"/>
      <c r="BT761" s="74"/>
      <c r="BU761" s="74"/>
      <c r="BV761" s="74"/>
      <c r="BW761" s="74"/>
      <c r="BX761" s="74"/>
      <c r="BY761" s="74"/>
      <c r="BZ761" s="74"/>
      <c r="CA761" s="74"/>
      <c r="CB761" s="74"/>
      <c r="CC761" s="74"/>
      <c r="CD761" s="74"/>
      <c r="CE761" s="7"/>
      <c r="CF761" s="74"/>
      <c r="CG761" s="74"/>
      <c r="CH761" s="7"/>
      <c r="CI761" s="74"/>
      <c r="CJ761" s="74"/>
      <c r="CK761" s="101"/>
      <c r="CL761" s="74"/>
      <c r="CM761" s="74"/>
      <c r="CN761" s="74"/>
      <c r="CO761" s="101"/>
      <c r="CP761" s="74"/>
      <c r="CQ761" s="74"/>
      <c r="CR761" s="74"/>
      <c r="CS761" s="74"/>
      <c r="CT761" s="74"/>
      <c r="CU761" s="74"/>
      <c r="CV761" s="74"/>
      <c r="CW761" s="74"/>
      <c r="CX761" s="74"/>
      <c r="CY761" s="74"/>
      <c r="CZ761" s="74"/>
      <c r="DA761" s="74"/>
      <c r="DB761" s="74"/>
      <c r="DC761" s="74"/>
      <c r="DD761" s="74"/>
      <c r="DE761" s="74"/>
      <c r="DF761" s="74"/>
      <c r="DG761" s="74"/>
      <c r="DH761" s="74"/>
      <c r="DI761" s="74"/>
      <c r="DJ761" s="74"/>
      <c r="DK761" s="74"/>
      <c r="DL761" s="74"/>
      <c r="DM761" s="74"/>
      <c r="DN761" s="74"/>
      <c r="DO761" s="74"/>
      <c r="DP761" s="74"/>
      <c r="DQ761" s="74"/>
      <c r="DR761" s="74"/>
      <c r="DS761" s="74"/>
      <c r="DT761" s="74"/>
      <c r="DU761" s="74"/>
      <c r="DV761" s="74"/>
      <c r="DW761" s="74"/>
      <c r="DX761" s="74"/>
      <c r="DY761" s="74"/>
      <c r="DZ761" s="8">
        <f t="shared" si="194"/>
        <v>0</v>
      </c>
      <c r="EA761" s="3">
        <f t="shared" si="195"/>
        <v>0</v>
      </c>
      <c r="EB761" s="2">
        <f t="shared" si="196"/>
        <v>0</v>
      </c>
      <c r="EC761" s="112">
        <f t="shared" si="204"/>
        <v>0</v>
      </c>
      <c r="ED761" s="29">
        <f t="shared" si="197"/>
        <v>0</v>
      </c>
      <c r="EE761" s="2">
        <f t="shared" si="198"/>
        <v>0</v>
      </c>
      <c r="EF761" s="46">
        <f t="shared" si="199"/>
        <v>0</v>
      </c>
      <c r="EG761" s="46">
        <f t="shared" si="200"/>
        <v>0</v>
      </c>
      <c r="EH761" s="2">
        <f t="shared" si="201"/>
        <v>0</v>
      </c>
      <c r="EI761" s="29">
        <f>IF(COUNT(I761:AD761)&lt;5,DZ761,SUMPRODUCT(LARGE(I761:AD761,{1,2,3,4,5}))/5)</f>
        <v>0</v>
      </c>
      <c r="EJ761" s="29">
        <f>IF(COUNT(I761:BE761)&lt;5,DZ761,SUMPRODUCT(LARGE(I761:BE761,{1,2,3,4,5}))/5)</f>
        <v>0</v>
      </c>
      <c r="EK761" s="29">
        <f t="shared" si="203"/>
        <v>0</v>
      </c>
      <c r="EL761" s="29">
        <f t="shared" si="207"/>
        <v>0</v>
      </c>
      <c r="EM761" s="116">
        <f t="shared" si="202"/>
        <v>0</v>
      </c>
      <c r="EQ761"/>
    </row>
    <row r="762" spans="1:147" x14ac:dyDescent="0.25">
      <c r="A762" s="59"/>
      <c r="B762" s="32"/>
      <c r="C762" s="5"/>
      <c r="D762" s="6"/>
      <c r="E762" s="6"/>
      <c r="F762" s="6"/>
      <c r="G762" s="5"/>
      <c r="H762" s="37"/>
      <c r="I762" s="36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227"/>
      <c r="Z762" s="228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4"/>
      <c r="AP762" s="7"/>
      <c r="AQ762" s="74"/>
      <c r="AR762" s="70"/>
      <c r="AS762" s="7"/>
      <c r="AT762" s="70"/>
      <c r="AU762" s="7"/>
      <c r="AV762" s="70"/>
      <c r="AW762" s="7"/>
      <c r="AX762" s="183"/>
      <c r="AY762" s="10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4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101"/>
      <c r="CL762" s="74"/>
      <c r="CM762" s="74"/>
      <c r="CN762" s="74"/>
      <c r="CO762" s="70"/>
      <c r="CP762" s="74"/>
      <c r="CQ762" s="7"/>
      <c r="CR762" s="74"/>
      <c r="CS762" s="74"/>
      <c r="CT762" s="74"/>
      <c r="CU762" s="74"/>
      <c r="CV762" s="7"/>
      <c r="CW762" s="7"/>
      <c r="CX762" s="7"/>
      <c r="CY762" s="7"/>
      <c r="CZ762" s="7"/>
      <c r="DA762" s="7"/>
      <c r="DB762" s="7"/>
      <c r="DC762" s="7"/>
      <c r="DD762" s="7"/>
      <c r="DE762" s="74"/>
      <c r="DF762" s="74"/>
      <c r="DG762" s="74"/>
      <c r="DH762" s="7"/>
      <c r="DI762" s="74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8">
        <f t="shared" si="194"/>
        <v>0</v>
      </c>
      <c r="EA762" s="3">
        <f t="shared" si="195"/>
        <v>0</v>
      </c>
      <c r="EB762" s="2">
        <f t="shared" si="196"/>
        <v>0</v>
      </c>
      <c r="EC762" s="112">
        <f t="shared" si="204"/>
        <v>0</v>
      </c>
      <c r="ED762" s="29">
        <f t="shared" si="197"/>
        <v>0</v>
      </c>
      <c r="EE762" s="2">
        <f t="shared" si="198"/>
        <v>0</v>
      </c>
      <c r="EF762" s="46">
        <f t="shared" si="199"/>
        <v>0</v>
      </c>
      <c r="EG762" s="46">
        <f t="shared" si="200"/>
        <v>0</v>
      </c>
      <c r="EH762" s="2">
        <f t="shared" si="201"/>
        <v>0</v>
      </c>
      <c r="EI762" s="29">
        <f>IF(COUNT(I762:AD762)&lt;5,DZ762,SUMPRODUCT(LARGE(I762:AD762,{1,2,3,4,5}))/5)</f>
        <v>0</v>
      </c>
      <c r="EJ762" s="29">
        <f>IF(COUNT(I762:BE762)&lt;5,DZ762,SUMPRODUCT(LARGE(I762:BE762,{1,2,3,4,5}))/5)</f>
        <v>0</v>
      </c>
      <c r="EK762" s="29">
        <f t="shared" si="203"/>
        <v>0</v>
      </c>
      <c r="EL762" s="29">
        <f t="shared" si="207"/>
        <v>0</v>
      </c>
      <c r="EM762" s="116">
        <f t="shared" si="202"/>
        <v>0</v>
      </c>
      <c r="EQ762"/>
    </row>
    <row r="763" spans="1:147" x14ac:dyDescent="0.25">
      <c r="A763" s="59"/>
      <c r="B763" s="32"/>
      <c r="C763" s="5"/>
      <c r="D763" s="6"/>
      <c r="E763" s="6"/>
      <c r="F763" s="6"/>
      <c r="G763" s="5"/>
      <c r="H763" s="37"/>
      <c r="I763" s="36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227"/>
      <c r="Z763" s="228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4"/>
      <c r="AP763" s="7"/>
      <c r="AQ763" s="74"/>
      <c r="AR763" s="70"/>
      <c r="AS763" s="7"/>
      <c r="AT763" s="70"/>
      <c r="AU763" s="7"/>
      <c r="AV763" s="70"/>
      <c r="AW763" s="7"/>
      <c r="AX763" s="183"/>
      <c r="AY763" s="107"/>
      <c r="AZ763" s="7"/>
      <c r="BA763" s="7"/>
      <c r="BB763" s="7"/>
      <c r="BC763" s="74"/>
      <c r="BD763" s="7"/>
      <c r="BE763" s="74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101"/>
      <c r="CL763" s="74"/>
      <c r="CM763" s="74"/>
      <c r="CN763" s="74"/>
      <c r="CO763" s="70"/>
      <c r="CP763" s="74"/>
      <c r="CQ763" s="7"/>
      <c r="CR763" s="74"/>
      <c r="CS763" s="74"/>
      <c r="CT763" s="74"/>
      <c r="CU763" s="74"/>
      <c r="CV763" s="74"/>
      <c r="CW763" s="7"/>
      <c r="CX763" s="7"/>
      <c r="CY763" s="7"/>
      <c r="CZ763" s="7"/>
      <c r="DA763" s="7"/>
      <c r="DB763" s="7"/>
      <c r="DC763" s="7"/>
      <c r="DD763" s="7"/>
      <c r="DE763" s="74"/>
      <c r="DF763" s="74"/>
      <c r="DG763" s="74"/>
      <c r="DH763" s="74"/>
      <c r="DI763" s="74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8">
        <f t="shared" si="194"/>
        <v>0</v>
      </c>
      <c r="EA763" s="3">
        <f t="shared" si="195"/>
        <v>0</v>
      </c>
      <c r="EB763" s="2">
        <f t="shared" si="196"/>
        <v>0</v>
      </c>
      <c r="EC763" s="112">
        <f t="shared" si="204"/>
        <v>0</v>
      </c>
      <c r="ED763" s="29">
        <f t="shared" si="197"/>
        <v>0</v>
      </c>
      <c r="EE763" s="2">
        <f t="shared" si="198"/>
        <v>0</v>
      </c>
      <c r="EF763" s="46">
        <f t="shared" si="199"/>
        <v>0</v>
      </c>
      <c r="EG763" s="46">
        <f t="shared" si="200"/>
        <v>0</v>
      </c>
      <c r="EH763" s="2">
        <f t="shared" si="201"/>
        <v>0</v>
      </c>
      <c r="EI763" s="29">
        <f>IF(COUNT(I763:AD763)&lt;5,DZ763,SUMPRODUCT(LARGE(I763:AD763,{1,2,3,4,5}))/5)</f>
        <v>0</v>
      </c>
      <c r="EJ763" s="29">
        <f>IF(COUNT(I763:BE763)&lt;5,DZ763,SUMPRODUCT(LARGE(I763:BE763,{1,2,3,4,5}))/5)</f>
        <v>0</v>
      </c>
      <c r="EK763" s="29">
        <f t="shared" si="203"/>
        <v>0</v>
      </c>
      <c r="EL763" s="29">
        <f t="shared" si="207"/>
        <v>0</v>
      </c>
      <c r="EM763" s="116">
        <f t="shared" si="202"/>
        <v>0</v>
      </c>
      <c r="EQ763"/>
    </row>
    <row r="764" spans="1:147" x14ac:dyDescent="0.25">
      <c r="A764" s="59"/>
      <c r="B764" s="32"/>
      <c r="C764" s="5"/>
      <c r="D764" s="6"/>
      <c r="E764" s="6"/>
      <c r="F764" s="6"/>
      <c r="G764" s="5"/>
      <c r="H764" s="99"/>
      <c r="I764" s="36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227"/>
      <c r="Z764" s="228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4"/>
      <c r="AP764" s="7"/>
      <c r="AQ764" s="74"/>
      <c r="AR764" s="70"/>
      <c r="AS764" s="7"/>
      <c r="AT764" s="70"/>
      <c r="AU764" s="7"/>
      <c r="AV764" s="70"/>
      <c r="AW764" s="7"/>
      <c r="AX764" s="183"/>
      <c r="AY764" s="10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4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101"/>
      <c r="CL764" s="74"/>
      <c r="CM764" s="74"/>
      <c r="CN764" s="74"/>
      <c r="CO764" s="70"/>
      <c r="CP764" s="74"/>
      <c r="CQ764" s="7"/>
      <c r="CR764" s="74"/>
      <c r="CS764" s="74"/>
      <c r="CT764" s="74"/>
      <c r="CU764" s="74"/>
      <c r="CV764" s="7"/>
      <c r="CW764" s="7"/>
      <c r="CX764" s="7"/>
      <c r="CY764" s="7"/>
      <c r="CZ764" s="7"/>
      <c r="DA764" s="7"/>
      <c r="DB764" s="7"/>
      <c r="DC764" s="7"/>
      <c r="DD764" s="7"/>
      <c r="DE764" s="74"/>
      <c r="DF764" s="74"/>
      <c r="DG764" s="74"/>
      <c r="DH764" s="7"/>
      <c r="DI764" s="74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8">
        <f t="shared" si="194"/>
        <v>0</v>
      </c>
      <c r="EA764" s="3">
        <f t="shared" si="195"/>
        <v>0</v>
      </c>
      <c r="EB764" s="2">
        <f t="shared" si="196"/>
        <v>0</v>
      </c>
      <c r="EC764" s="112">
        <f t="shared" si="204"/>
        <v>0</v>
      </c>
      <c r="ED764" s="29">
        <f t="shared" si="197"/>
        <v>0</v>
      </c>
      <c r="EE764" s="2">
        <f t="shared" si="198"/>
        <v>0</v>
      </c>
      <c r="EF764" s="46">
        <f t="shared" si="199"/>
        <v>0</v>
      </c>
      <c r="EG764" s="46">
        <f t="shared" si="200"/>
        <v>0</v>
      </c>
      <c r="EH764" s="2">
        <f t="shared" si="201"/>
        <v>0</v>
      </c>
      <c r="EI764" s="29">
        <f>IF(COUNT(I764:AD764)&lt;5,DZ764,SUMPRODUCT(LARGE(I764:AD764,{1,2,3,4,5}))/5)</f>
        <v>0</v>
      </c>
      <c r="EJ764" s="29">
        <f>IF(COUNT(I764:BE764)&lt;5,DZ764,SUMPRODUCT(LARGE(I764:BE764,{1,2,3,4,5}))/5)</f>
        <v>0</v>
      </c>
      <c r="EK764" s="29">
        <f t="shared" si="203"/>
        <v>0</v>
      </c>
      <c r="EL764" s="29">
        <f t="shared" si="207"/>
        <v>0</v>
      </c>
      <c r="EM764" s="116">
        <f t="shared" si="202"/>
        <v>0</v>
      </c>
      <c r="EQ764"/>
    </row>
    <row r="765" spans="1:147" x14ac:dyDescent="0.25">
      <c r="A765" s="59"/>
      <c r="B765" s="32"/>
      <c r="C765" s="5"/>
      <c r="D765" s="6"/>
      <c r="E765" s="6"/>
      <c r="F765" s="6"/>
      <c r="G765" s="5"/>
      <c r="H765" s="37"/>
      <c r="I765" s="36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227"/>
      <c r="Z765" s="228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4"/>
      <c r="AP765" s="7"/>
      <c r="AQ765" s="74"/>
      <c r="AR765" s="70"/>
      <c r="AS765" s="7"/>
      <c r="AT765" s="70"/>
      <c r="AU765" s="7"/>
      <c r="AV765" s="70"/>
      <c r="AW765" s="7"/>
      <c r="AX765" s="8"/>
      <c r="AY765" s="36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4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101"/>
      <c r="CL765" s="74"/>
      <c r="CM765" s="74"/>
      <c r="CN765" s="74"/>
      <c r="CO765" s="70"/>
      <c r="CP765" s="74"/>
      <c r="CQ765" s="7"/>
      <c r="CR765" s="74"/>
      <c r="CS765" s="74"/>
      <c r="CT765" s="74"/>
      <c r="CU765" s="74"/>
      <c r="CV765" s="7"/>
      <c r="CW765" s="7"/>
      <c r="CX765" s="7"/>
      <c r="CY765" s="7"/>
      <c r="CZ765" s="7"/>
      <c r="DA765" s="7"/>
      <c r="DB765" s="7"/>
      <c r="DC765" s="7"/>
      <c r="DD765" s="7"/>
      <c r="DE765" s="74"/>
      <c r="DF765" s="74"/>
      <c r="DG765" s="74"/>
      <c r="DH765" s="7"/>
      <c r="DI765" s="74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8">
        <f t="shared" si="194"/>
        <v>0</v>
      </c>
      <c r="EA765" s="3">
        <f t="shared" si="195"/>
        <v>0</v>
      </c>
      <c r="EB765" s="2">
        <f t="shared" si="196"/>
        <v>0</v>
      </c>
      <c r="EC765" s="112">
        <f t="shared" si="204"/>
        <v>0</v>
      </c>
      <c r="ED765" s="29">
        <f t="shared" si="197"/>
        <v>0</v>
      </c>
      <c r="EE765" s="2">
        <f t="shared" si="198"/>
        <v>0</v>
      </c>
      <c r="EF765" s="46">
        <f t="shared" si="199"/>
        <v>0</v>
      </c>
      <c r="EG765" s="46">
        <f t="shared" si="200"/>
        <v>0</v>
      </c>
      <c r="EH765" s="2">
        <f t="shared" si="201"/>
        <v>0</v>
      </c>
      <c r="EI765" s="29">
        <f>IF(COUNT(I765:AD765)&lt;5,DZ765,SUMPRODUCT(LARGE(I765:AD765,{1,2,3,4,5}))/5)</f>
        <v>0</v>
      </c>
      <c r="EJ765" s="29">
        <f>IF(COUNT(I765:BE765)&lt;5,DZ765,SUMPRODUCT(LARGE(I765:BE765,{1,2,3,4,5}))/5)</f>
        <v>0</v>
      </c>
      <c r="EK765" s="29">
        <f t="shared" si="203"/>
        <v>0</v>
      </c>
      <c r="EL765" s="29">
        <f t="shared" si="207"/>
        <v>0</v>
      </c>
      <c r="EM765" s="116">
        <f t="shared" si="202"/>
        <v>0</v>
      </c>
      <c r="EQ765"/>
    </row>
    <row r="766" spans="1:147" x14ac:dyDescent="0.25">
      <c r="A766" s="59"/>
      <c r="B766" s="32"/>
      <c r="C766" s="5"/>
      <c r="D766" s="6"/>
      <c r="E766" s="6"/>
      <c r="F766" s="6"/>
      <c r="G766" s="5"/>
      <c r="H766" s="37"/>
      <c r="I766" s="107"/>
      <c r="J766" s="7"/>
      <c r="K766" s="74"/>
      <c r="L766" s="7"/>
      <c r="M766" s="74"/>
      <c r="N766" s="74"/>
      <c r="O766" s="7"/>
      <c r="P766" s="74"/>
      <c r="Q766" s="74"/>
      <c r="R766" s="74"/>
      <c r="S766" s="74"/>
      <c r="T766" s="7"/>
      <c r="U766" s="7"/>
      <c r="V766" s="74"/>
      <c r="W766" s="7"/>
      <c r="X766" s="74"/>
      <c r="Y766" s="227"/>
      <c r="Z766" s="228"/>
      <c r="AA766" s="74"/>
      <c r="AB766" s="74"/>
      <c r="AC766" s="74"/>
      <c r="AD766" s="74"/>
      <c r="AE766" s="7"/>
      <c r="AF766" s="74"/>
      <c r="AG766" s="74"/>
      <c r="AH766" s="7"/>
      <c r="AI766" s="7"/>
      <c r="AJ766" s="7"/>
      <c r="AK766" s="7"/>
      <c r="AL766" s="7"/>
      <c r="AM766" s="7"/>
      <c r="AN766" s="7"/>
      <c r="AO766" s="74"/>
      <c r="AP766" s="7"/>
      <c r="AQ766" s="74"/>
      <c r="AR766" s="101"/>
      <c r="AS766" s="7"/>
      <c r="AT766" s="101"/>
      <c r="AU766" s="7"/>
      <c r="AV766" s="101"/>
      <c r="AW766" s="7"/>
      <c r="AX766" s="8"/>
      <c r="AY766" s="36"/>
      <c r="AZ766" s="100"/>
      <c r="BA766" s="74"/>
      <c r="BB766" s="74"/>
      <c r="BC766" s="74"/>
      <c r="BD766" s="74"/>
      <c r="BE766" s="74"/>
      <c r="BF766" s="74"/>
      <c r="BG766" s="74"/>
      <c r="BH766" s="74"/>
      <c r="BI766" s="74"/>
      <c r="BJ766" s="74"/>
      <c r="BK766" s="7"/>
      <c r="BL766" s="74"/>
      <c r="BM766" s="7"/>
      <c r="BN766" s="74"/>
      <c r="BO766" s="74"/>
      <c r="BP766" s="74"/>
      <c r="BQ766" s="74"/>
      <c r="BR766" s="74"/>
      <c r="BS766" s="74"/>
      <c r="BT766" s="74"/>
      <c r="BU766" s="74"/>
      <c r="BV766" s="74"/>
      <c r="BW766" s="74"/>
      <c r="BX766" s="74"/>
      <c r="BY766" s="74"/>
      <c r="BZ766" s="74"/>
      <c r="CA766" s="74"/>
      <c r="CB766" s="74"/>
      <c r="CC766" s="74"/>
      <c r="CD766" s="74"/>
      <c r="CE766" s="7"/>
      <c r="CF766" s="74"/>
      <c r="CG766" s="74"/>
      <c r="CH766" s="7"/>
      <c r="CI766" s="74"/>
      <c r="CJ766" s="74"/>
      <c r="CK766" s="101"/>
      <c r="CL766" s="74"/>
      <c r="CM766" s="74"/>
      <c r="CN766" s="74"/>
      <c r="CO766" s="101"/>
      <c r="CP766" s="74"/>
      <c r="CQ766" s="74"/>
      <c r="CR766" s="74"/>
      <c r="CS766" s="74"/>
      <c r="CT766" s="74"/>
      <c r="CU766" s="74"/>
      <c r="CV766" s="74"/>
      <c r="CW766" s="74"/>
      <c r="CX766" s="74"/>
      <c r="CY766" s="74"/>
      <c r="CZ766" s="74"/>
      <c r="DA766" s="74"/>
      <c r="DB766" s="74"/>
      <c r="DC766" s="74"/>
      <c r="DD766" s="74"/>
      <c r="DE766" s="74"/>
      <c r="DF766" s="74"/>
      <c r="DG766" s="74"/>
      <c r="DH766" s="74"/>
      <c r="DI766" s="74"/>
      <c r="DJ766" s="74"/>
      <c r="DK766" s="74"/>
      <c r="DL766" s="74"/>
      <c r="DM766" s="74"/>
      <c r="DN766" s="74"/>
      <c r="DO766" s="74"/>
      <c r="DP766" s="74"/>
      <c r="DQ766" s="74"/>
      <c r="DR766" s="74"/>
      <c r="DS766" s="74"/>
      <c r="DT766" s="74"/>
      <c r="DU766" s="74"/>
      <c r="DV766" s="74"/>
      <c r="DW766" s="74"/>
      <c r="DX766" s="74"/>
      <c r="DY766" s="74"/>
      <c r="DZ766" s="8">
        <f t="shared" si="194"/>
        <v>0</v>
      </c>
      <c r="EA766" s="3">
        <f t="shared" si="195"/>
        <v>0</v>
      </c>
      <c r="EB766" s="2">
        <f t="shared" si="196"/>
        <v>0</v>
      </c>
      <c r="EC766" s="112">
        <f t="shared" si="204"/>
        <v>0</v>
      </c>
      <c r="ED766" s="29">
        <f t="shared" si="197"/>
        <v>0</v>
      </c>
      <c r="EE766" s="2">
        <f t="shared" si="198"/>
        <v>0</v>
      </c>
      <c r="EF766" s="46">
        <f t="shared" si="199"/>
        <v>0</v>
      </c>
      <c r="EG766" s="46">
        <f t="shared" si="200"/>
        <v>0</v>
      </c>
      <c r="EH766" s="29">
        <f t="shared" si="201"/>
        <v>0</v>
      </c>
      <c r="EI766" s="29">
        <f>IF(COUNT(I766:AD766)&lt;5,DZ766,SUMPRODUCT(LARGE(I766:AD766,{1,2,3,4,5}))/5)</f>
        <v>0</v>
      </c>
      <c r="EJ766" s="29">
        <f>IF(COUNT(I766:BE766)&lt;5,DZ766,SUMPRODUCT(LARGE(I766:BE766,{1,2,3,4,5}))/5)</f>
        <v>0</v>
      </c>
      <c r="EK766" s="29">
        <f t="shared" si="203"/>
        <v>0</v>
      </c>
      <c r="EL766" s="29">
        <f t="shared" si="207"/>
        <v>0</v>
      </c>
      <c r="EM766" s="116">
        <f t="shared" si="202"/>
        <v>0</v>
      </c>
      <c r="EQ766"/>
    </row>
    <row r="767" spans="1:147" x14ac:dyDescent="0.25">
      <c r="A767" s="59"/>
      <c r="B767" s="32"/>
      <c r="C767" s="5"/>
      <c r="D767" s="6"/>
      <c r="E767" s="6"/>
      <c r="F767" s="6"/>
      <c r="G767" s="5"/>
      <c r="H767" s="37"/>
      <c r="I767" s="36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227"/>
      <c r="Z767" s="228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4"/>
      <c r="AP767" s="7"/>
      <c r="AQ767" s="74"/>
      <c r="AR767" s="70"/>
      <c r="AS767" s="7"/>
      <c r="AT767" s="70"/>
      <c r="AU767" s="7"/>
      <c r="AV767" s="70"/>
      <c r="AW767" s="7"/>
      <c r="AX767" s="8"/>
      <c r="AY767" s="36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4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101"/>
      <c r="CL767" s="74"/>
      <c r="CM767" s="74"/>
      <c r="CN767" s="74"/>
      <c r="CO767" s="70"/>
      <c r="CP767" s="74"/>
      <c r="CQ767" s="7"/>
      <c r="CR767" s="74"/>
      <c r="CS767" s="74"/>
      <c r="CT767" s="74"/>
      <c r="CU767" s="74"/>
      <c r="CV767" s="7"/>
      <c r="CW767" s="7"/>
      <c r="CX767" s="7"/>
      <c r="CY767" s="7"/>
      <c r="CZ767" s="7"/>
      <c r="DA767" s="7"/>
      <c r="DB767" s="7"/>
      <c r="DC767" s="7"/>
      <c r="DD767" s="7"/>
      <c r="DE767" s="74"/>
      <c r="DF767" s="74"/>
      <c r="DG767" s="74"/>
      <c r="DH767" s="7"/>
      <c r="DI767" s="74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8">
        <f t="shared" si="194"/>
        <v>0</v>
      </c>
      <c r="EA767" s="3">
        <f t="shared" si="195"/>
        <v>0</v>
      </c>
      <c r="EB767" s="2">
        <f t="shared" si="196"/>
        <v>0</v>
      </c>
      <c r="EC767" s="112">
        <f t="shared" si="204"/>
        <v>0</v>
      </c>
      <c r="ED767" s="29">
        <f t="shared" si="197"/>
        <v>0</v>
      </c>
      <c r="EE767" s="2">
        <f t="shared" si="198"/>
        <v>0</v>
      </c>
      <c r="EF767" s="46">
        <f t="shared" si="199"/>
        <v>0</v>
      </c>
      <c r="EG767" s="46">
        <f t="shared" si="200"/>
        <v>0</v>
      </c>
      <c r="EH767" s="2">
        <f t="shared" si="201"/>
        <v>0</v>
      </c>
      <c r="EI767" s="29">
        <f>IF(COUNT(I767:AD767)&lt;5,DZ767,SUMPRODUCT(LARGE(I767:AD767,{1,2,3,4,5}))/5)</f>
        <v>0</v>
      </c>
      <c r="EJ767" s="29">
        <f>IF(COUNT(I767:BE767)&lt;5,DZ767,SUMPRODUCT(LARGE(I767:BE767,{1,2,3,4,5}))/5)</f>
        <v>0</v>
      </c>
      <c r="EK767" s="29">
        <f t="shared" si="203"/>
        <v>0</v>
      </c>
      <c r="EL767" s="29">
        <f t="shared" si="207"/>
        <v>0</v>
      </c>
      <c r="EM767" s="116">
        <f t="shared" si="202"/>
        <v>0</v>
      </c>
      <c r="EQ767"/>
    </row>
    <row r="768" spans="1:147" x14ac:dyDescent="0.25">
      <c r="A768" s="59"/>
      <c r="B768" s="32"/>
      <c r="C768" s="5"/>
      <c r="D768" s="6"/>
      <c r="E768" s="6"/>
      <c r="F768" s="6"/>
      <c r="G768" s="5"/>
      <c r="H768" s="37"/>
      <c r="I768" s="107"/>
      <c r="J768" s="7"/>
      <c r="K768" s="74"/>
      <c r="L768" s="7"/>
      <c r="M768" s="74"/>
      <c r="N768" s="74"/>
      <c r="O768" s="7"/>
      <c r="P768" s="74"/>
      <c r="Q768" s="7"/>
      <c r="R768" s="74"/>
      <c r="S768" s="74"/>
      <c r="T768" s="7"/>
      <c r="U768" s="7"/>
      <c r="V768" s="74"/>
      <c r="W768" s="74"/>
      <c r="X768" s="74"/>
      <c r="Y768" s="227"/>
      <c r="Z768" s="228"/>
      <c r="AA768" s="74"/>
      <c r="AB768" s="74"/>
      <c r="AC768" s="74"/>
      <c r="AD768" s="74"/>
      <c r="AE768" s="7"/>
      <c r="AF768" s="74"/>
      <c r="AG768" s="74"/>
      <c r="AH768" s="7"/>
      <c r="AI768" s="7"/>
      <c r="AJ768" s="7"/>
      <c r="AK768" s="7"/>
      <c r="AL768" s="7"/>
      <c r="AM768" s="7"/>
      <c r="AN768" s="7"/>
      <c r="AO768" s="74"/>
      <c r="AP768" s="7"/>
      <c r="AQ768" s="74"/>
      <c r="AR768" s="101"/>
      <c r="AS768" s="7"/>
      <c r="AT768" s="101"/>
      <c r="AU768" s="7"/>
      <c r="AV768" s="101"/>
      <c r="AW768" s="7"/>
      <c r="AX768" s="8"/>
      <c r="AY768" s="36"/>
      <c r="AZ768" s="74"/>
      <c r="BA768" s="74"/>
      <c r="BB768" s="74"/>
      <c r="BC768" s="74"/>
      <c r="BD768" s="74"/>
      <c r="BE768" s="74"/>
      <c r="BF768" s="74"/>
      <c r="BG768" s="74"/>
      <c r="BH768" s="74"/>
      <c r="BI768" s="74"/>
      <c r="BJ768" s="74"/>
      <c r="BK768" s="7"/>
      <c r="BL768" s="74"/>
      <c r="BM768" s="7"/>
      <c r="BN768" s="74"/>
      <c r="BO768" s="74"/>
      <c r="BP768" s="74"/>
      <c r="BQ768" s="74"/>
      <c r="BR768" s="74"/>
      <c r="BS768" s="74"/>
      <c r="BT768" s="74"/>
      <c r="BU768" s="74"/>
      <c r="BV768" s="74"/>
      <c r="BW768" s="74"/>
      <c r="BX768" s="74"/>
      <c r="BY768" s="74"/>
      <c r="BZ768" s="74"/>
      <c r="CA768" s="74"/>
      <c r="CB768" s="74"/>
      <c r="CC768" s="74"/>
      <c r="CD768" s="74"/>
      <c r="CE768" s="7"/>
      <c r="CF768" s="74"/>
      <c r="CG768" s="74"/>
      <c r="CH768" s="7"/>
      <c r="CI768" s="74"/>
      <c r="CJ768" s="74"/>
      <c r="CK768" s="101"/>
      <c r="CL768" s="74"/>
      <c r="CM768" s="74"/>
      <c r="CN768" s="74"/>
      <c r="CO768" s="101"/>
      <c r="CP768" s="74"/>
      <c r="CQ768" s="74"/>
      <c r="CR768" s="74"/>
      <c r="CS768" s="74"/>
      <c r="CT768" s="74"/>
      <c r="CU768" s="74"/>
      <c r="CV768" s="74"/>
      <c r="CW768" s="74"/>
      <c r="CX768" s="74"/>
      <c r="CY768" s="74"/>
      <c r="CZ768" s="74"/>
      <c r="DA768" s="74"/>
      <c r="DB768" s="74"/>
      <c r="DC768" s="74"/>
      <c r="DD768" s="74"/>
      <c r="DE768" s="74"/>
      <c r="DF768" s="74"/>
      <c r="DG768" s="74"/>
      <c r="DH768" s="74"/>
      <c r="DI768" s="74"/>
      <c r="DJ768" s="74"/>
      <c r="DK768" s="74"/>
      <c r="DL768" s="74"/>
      <c r="DM768" s="74"/>
      <c r="DN768" s="74"/>
      <c r="DO768" s="74"/>
      <c r="DP768" s="74"/>
      <c r="DQ768" s="74"/>
      <c r="DR768" s="74"/>
      <c r="DS768" s="74"/>
      <c r="DT768" s="74"/>
      <c r="DU768" s="74"/>
      <c r="DV768" s="74"/>
      <c r="DW768" s="74"/>
      <c r="DX768" s="74"/>
      <c r="DY768" s="74"/>
      <c r="DZ768" s="8">
        <f t="shared" si="194"/>
        <v>0</v>
      </c>
      <c r="EA768" s="3">
        <f t="shared" si="195"/>
        <v>0</v>
      </c>
      <c r="EB768" s="2">
        <f t="shared" si="196"/>
        <v>0</v>
      </c>
      <c r="EC768" s="112">
        <f t="shared" si="204"/>
        <v>0</v>
      </c>
      <c r="ED768" s="29">
        <f t="shared" si="197"/>
        <v>0</v>
      </c>
      <c r="EE768" s="2">
        <f t="shared" si="198"/>
        <v>0</v>
      </c>
      <c r="EF768" s="46">
        <f t="shared" si="199"/>
        <v>0</v>
      </c>
      <c r="EG768" s="46">
        <f t="shared" si="200"/>
        <v>0</v>
      </c>
      <c r="EH768" s="2">
        <f t="shared" si="201"/>
        <v>0</v>
      </c>
      <c r="EI768" s="29">
        <f>IF(COUNT(I768:AD768)&lt;5,DZ768,SUMPRODUCT(LARGE(I768:AD768,{1,2,3,4,5}))/5)</f>
        <v>0</v>
      </c>
      <c r="EJ768" s="29">
        <f>IF(COUNT(I768:BE768)&lt;5,DZ768,SUMPRODUCT(LARGE(I768:BE768,{1,2,3,4,5}))/5)</f>
        <v>0</v>
      </c>
      <c r="EK768" s="29">
        <f t="shared" si="203"/>
        <v>0</v>
      </c>
      <c r="EL768" s="29">
        <f t="shared" si="207"/>
        <v>0</v>
      </c>
      <c r="EM768" s="116">
        <f t="shared" si="202"/>
        <v>0</v>
      </c>
      <c r="EQ768"/>
    </row>
    <row r="769" spans="1:147" x14ac:dyDescent="0.25">
      <c r="A769" s="59"/>
      <c r="B769" s="32"/>
      <c r="C769" s="5"/>
      <c r="D769" s="6"/>
      <c r="E769" s="6"/>
      <c r="F769" s="6"/>
      <c r="G769" s="5"/>
      <c r="H769" s="37"/>
      <c r="I769" s="36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227"/>
      <c r="Z769" s="228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4"/>
      <c r="AP769" s="7"/>
      <c r="AQ769" s="74"/>
      <c r="AR769" s="70"/>
      <c r="AS769" s="7"/>
      <c r="AT769" s="70"/>
      <c r="AU769" s="7"/>
      <c r="AV769" s="70"/>
      <c r="AW769" s="7"/>
      <c r="AX769" s="183"/>
      <c r="AY769" s="10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4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101"/>
      <c r="CL769" s="74"/>
      <c r="CM769" s="74"/>
      <c r="CN769" s="74"/>
      <c r="CO769" s="70"/>
      <c r="CP769" s="74"/>
      <c r="CQ769" s="7"/>
      <c r="CR769" s="74"/>
      <c r="CS769" s="74"/>
      <c r="CT769" s="74"/>
      <c r="CU769" s="74"/>
      <c r="CV769" s="7"/>
      <c r="CW769" s="7"/>
      <c r="CX769" s="7"/>
      <c r="CY769" s="7"/>
      <c r="CZ769" s="7"/>
      <c r="DA769" s="7"/>
      <c r="DB769" s="7"/>
      <c r="DC769" s="7"/>
      <c r="DD769" s="7"/>
      <c r="DE769" s="74"/>
      <c r="DF769" s="74"/>
      <c r="DG769" s="74"/>
      <c r="DH769" s="7"/>
      <c r="DI769" s="74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8">
        <f t="shared" si="194"/>
        <v>0</v>
      </c>
      <c r="EA769" s="3">
        <f t="shared" si="195"/>
        <v>0</v>
      </c>
      <c r="EB769" s="2">
        <f t="shared" si="196"/>
        <v>0</v>
      </c>
      <c r="EC769" s="112">
        <f t="shared" si="204"/>
        <v>0</v>
      </c>
      <c r="ED769" s="29">
        <f t="shared" si="197"/>
        <v>0</v>
      </c>
      <c r="EE769" s="2">
        <f t="shared" si="198"/>
        <v>0</v>
      </c>
      <c r="EF769" s="46">
        <f t="shared" si="199"/>
        <v>0</v>
      </c>
      <c r="EG769" s="46">
        <f t="shared" si="200"/>
        <v>0</v>
      </c>
      <c r="EH769" s="2">
        <f t="shared" si="201"/>
        <v>0</v>
      </c>
      <c r="EI769" s="29">
        <f>IF(COUNT(I769:AD769)&lt;5,DZ769,SUMPRODUCT(LARGE(I769:AD769,{1,2,3,4,5}))/5)</f>
        <v>0</v>
      </c>
      <c r="EJ769" s="29">
        <f>IF(COUNT(I769:BE769)&lt;5,DZ769,SUMPRODUCT(LARGE(I769:BE769,{1,2,3,4,5}))/5)</f>
        <v>0</v>
      </c>
      <c r="EK769" s="29">
        <f t="shared" si="203"/>
        <v>0</v>
      </c>
      <c r="EL769" s="29">
        <f t="shared" si="207"/>
        <v>0</v>
      </c>
      <c r="EM769" s="116">
        <f t="shared" si="202"/>
        <v>0</v>
      </c>
      <c r="EQ769"/>
    </row>
    <row r="770" spans="1:147" x14ac:dyDescent="0.25">
      <c r="A770" s="59"/>
      <c r="B770" s="4"/>
      <c r="C770" s="5"/>
      <c r="D770" s="5"/>
      <c r="E770" s="6"/>
      <c r="F770" s="6"/>
      <c r="G770" s="5"/>
      <c r="H770" s="99"/>
      <c r="I770" s="107"/>
      <c r="J770" s="7"/>
      <c r="K770" s="74"/>
      <c r="L770" s="7"/>
      <c r="M770" s="74"/>
      <c r="N770" s="74"/>
      <c r="O770" s="7"/>
      <c r="P770" s="74"/>
      <c r="Q770" s="7"/>
      <c r="R770" s="74"/>
      <c r="S770" s="74"/>
      <c r="T770" s="7"/>
      <c r="U770" s="7"/>
      <c r="V770" s="74"/>
      <c r="W770" s="74"/>
      <c r="X770" s="74"/>
      <c r="Y770" s="227"/>
      <c r="Z770" s="228"/>
      <c r="AA770" s="74"/>
      <c r="AB770" s="74"/>
      <c r="AC770" s="74"/>
      <c r="AD770" s="74"/>
      <c r="AE770" s="7"/>
      <c r="AF770" s="74"/>
      <c r="AG770" s="74"/>
      <c r="AH770" s="7"/>
      <c r="AI770" s="7"/>
      <c r="AJ770" s="7"/>
      <c r="AK770" s="7"/>
      <c r="AL770" s="7"/>
      <c r="AM770" s="7"/>
      <c r="AN770" s="7"/>
      <c r="AO770" s="74"/>
      <c r="AP770" s="7"/>
      <c r="AQ770" s="74"/>
      <c r="AR770" s="101"/>
      <c r="AS770" s="7"/>
      <c r="AT770" s="101"/>
      <c r="AU770" s="7"/>
      <c r="AV770" s="101"/>
      <c r="AW770" s="7"/>
      <c r="AX770" s="8"/>
      <c r="AY770" s="36"/>
      <c r="AZ770" s="74"/>
      <c r="BA770" s="74"/>
      <c r="BB770" s="74"/>
      <c r="BC770" s="74"/>
      <c r="BD770" s="74"/>
      <c r="BE770" s="74"/>
      <c r="BF770" s="74"/>
      <c r="BG770" s="74"/>
      <c r="BH770" s="74"/>
      <c r="BI770" s="74"/>
      <c r="BJ770" s="74"/>
      <c r="BK770" s="7"/>
      <c r="BL770" s="74"/>
      <c r="BM770" s="7"/>
      <c r="BN770" s="74"/>
      <c r="BO770" s="74"/>
      <c r="BP770" s="74"/>
      <c r="BQ770" s="74"/>
      <c r="BR770" s="74"/>
      <c r="BS770" s="74"/>
      <c r="BT770" s="74"/>
      <c r="BU770" s="74"/>
      <c r="BV770" s="74"/>
      <c r="BW770" s="74"/>
      <c r="BX770" s="74"/>
      <c r="BY770" s="74"/>
      <c r="BZ770" s="74"/>
      <c r="CA770" s="74"/>
      <c r="CB770" s="74"/>
      <c r="CC770" s="74"/>
      <c r="CD770" s="74"/>
      <c r="CE770" s="7"/>
      <c r="CF770" s="74"/>
      <c r="CG770" s="74"/>
      <c r="CH770" s="7"/>
      <c r="CI770" s="74"/>
      <c r="CJ770" s="74"/>
      <c r="CK770" s="101"/>
      <c r="CL770" s="74"/>
      <c r="CM770" s="74"/>
      <c r="CN770" s="74"/>
      <c r="CO770" s="101"/>
      <c r="CP770" s="74"/>
      <c r="CQ770" s="74"/>
      <c r="CR770" s="74"/>
      <c r="CS770" s="74"/>
      <c r="CT770" s="74"/>
      <c r="CU770" s="74"/>
      <c r="CV770" s="74"/>
      <c r="CW770" s="74"/>
      <c r="CX770" s="74"/>
      <c r="CY770" s="74"/>
      <c r="CZ770" s="74"/>
      <c r="DA770" s="74"/>
      <c r="DB770" s="74"/>
      <c r="DC770" s="74"/>
      <c r="DD770" s="74"/>
      <c r="DE770" s="74"/>
      <c r="DF770" s="74"/>
      <c r="DG770" s="74"/>
      <c r="DH770" s="74"/>
      <c r="DI770" s="74"/>
      <c r="DJ770" s="74"/>
      <c r="DK770" s="74"/>
      <c r="DL770" s="74"/>
      <c r="DM770" s="74"/>
      <c r="DN770" s="74"/>
      <c r="DO770" s="74"/>
      <c r="DP770" s="74"/>
      <c r="DQ770" s="74"/>
      <c r="DR770" s="74"/>
      <c r="DS770" s="74"/>
      <c r="DT770" s="74"/>
      <c r="DU770" s="74"/>
      <c r="DV770" s="74"/>
      <c r="DW770" s="74"/>
      <c r="DX770" s="74"/>
      <c r="DY770" s="74"/>
      <c r="DZ770" s="8">
        <f t="shared" si="194"/>
        <v>0</v>
      </c>
      <c r="EA770" s="3">
        <f t="shared" si="195"/>
        <v>0</v>
      </c>
      <c r="EB770" s="2">
        <f t="shared" si="196"/>
        <v>0</v>
      </c>
      <c r="EC770" s="112">
        <f t="shared" si="204"/>
        <v>0</v>
      </c>
      <c r="ED770" s="29">
        <f t="shared" si="197"/>
        <v>0</v>
      </c>
      <c r="EE770" s="2">
        <f t="shared" si="198"/>
        <v>0</v>
      </c>
      <c r="EF770" s="46">
        <f t="shared" si="199"/>
        <v>0</v>
      </c>
      <c r="EG770" s="46">
        <f t="shared" si="200"/>
        <v>0</v>
      </c>
      <c r="EH770" s="29">
        <f t="shared" si="201"/>
        <v>0</v>
      </c>
      <c r="EI770" s="29">
        <f>IF(COUNT(I770:AD770)&lt;5,DZ770,SUMPRODUCT(LARGE(I770:AD770,{1,2,3,4,5}))/5)</f>
        <v>0</v>
      </c>
      <c r="EJ770" s="29">
        <f>IF(COUNT(I770:BE770)&lt;5,DZ770,SUMPRODUCT(LARGE(I770:BE770,{1,2,3,4,5}))/5)</f>
        <v>0</v>
      </c>
      <c r="EK770" s="29">
        <f t="shared" si="203"/>
        <v>0</v>
      </c>
      <c r="EL770" s="29">
        <f t="shared" si="207"/>
        <v>0</v>
      </c>
      <c r="EM770" s="116">
        <f t="shared" si="202"/>
        <v>0</v>
      </c>
      <c r="EQ770"/>
    </row>
    <row r="771" spans="1:147" x14ac:dyDescent="0.25">
      <c r="A771" s="59"/>
      <c r="B771" s="32"/>
      <c r="C771" s="5"/>
      <c r="D771" s="6"/>
      <c r="E771" s="6"/>
      <c r="F771" s="6"/>
      <c r="G771" s="5"/>
      <c r="H771" s="99"/>
      <c r="I771" s="36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227"/>
      <c r="Z771" s="228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4"/>
      <c r="AP771" s="7"/>
      <c r="AQ771" s="74"/>
      <c r="AR771" s="70"/>
      <c r="AS771" s="7"/>
      <c r="AT771" s="70"/>
      <c r="AU771" s="7"/>
      <c r="AV771" s="70"/>
      <c r="AW771" s="7"/>
      <c r="AX771" s="183"/>
      <c r="AY771" s="10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4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101"/>
      <c r="CL771" s="74"/>
      <c r="CM771" s="74"/>
      <c r="CN771" s="74"/>
      <c r="CO771" s="70"/>
      <c r="CP771" s="74"/>
      <c r="CQ771" s="7"/>
      <c r="CR771" s="74"/>
      <c r="CS771" s="74"/>
      <c r="CT771" s="74"/>
      <c r="CU771" s="74"/>
      <c r="CV771" s="74"/>
      <c r="CW771" s="7"/>
      <c r="CX771" s="7"/>
      <c r="CY771" s="7"/>
      <c r="CZ771" s="7"/>
      <c r="DA771" s="7"/>
      <c r="DB771" s="7"/>
      <c r="DC771" s="7"/>
      <c r="DD771" s="7"/>
      <c r="DE771" s="74"/>
      <c r="DF771" s="74"/>
      <c r="DG771" s="74"/>
      <c r="DH771" s="74"/>
      <c r="DI771" s="74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8">
        <f t="shared" si="194"/>
        <v>0</v>
      </c>
      <c r="EA771" s="3">
        <f t="shared" si="195"/>
        <v>0</v>
      </c>
      <c r="EB771" s="2">
        <f t="shared" si="196"/>
        <v>0</v>
      </c>
      <c r="EC771" s="112">
        <f t="shared" si="204"/>
        <v>0</v>
      </c>
      <c r="ED771" s="29">
        <f t="shared" si="197"/>
        <v>0</v>
      </c>
      <c r="EE771" s="2">
        <f t="shared" si="198"/>
        <v>0</v>
      </c>
      <c r="EF771" s="46">
        <f t="shared" si="199"/>
        <v>0</v>
      </c>
      <c r="EG771" s="46">
        <f t="shared" si="200"/>
        <v>0</v>
      </c>
      <c r="EH771" s="2">
        <f t="shared" si="201"/>
        <v>0</v>
      </c>
      <c r="EI771" s="29">
        <f>IF(COUNT(I771:AD771)&lt;5,DZ771,SUMPRODUCT(LARGE(I771:AD771,{1,2,3,4,5}))/5)</f>
        <v>0</v>
      </c>
      <c r="EJ771" s="29">
        <f>IF(COUNT(I771:BE771)&lt;5,DZ771,SUMPRODUCT(LARGE(I771:BE771,{1,2,3,4,5}))/5)</f>
        <v>0</v>
      </c>
      <c r="EK771" s="29">
        <f t="shared" si="203"/>
        <v>0</v>
      </c>
      <c r="EL771" s="29">
        <f t="shared" si="207"/>
        <v>0</v>
      </c>
      <c r="EM771" s="116">
        <f t="shared" si="202"/>
        <v>0</v>
      </c>
      <c r="EQ771"/>
    </row>
    <row r="772" spans="1:147" x14ac:dyDescent="0.25">
      <c r="A772" s="59"/>
      <c r="B772" s="4"/>
      <c r="C772" s="5"/>
      <c r="D772" s="5"/>
      <c r="E772" s="6"/>
      <c r="F772" s="6"/>
      <c r="G772" s="5"/>
      <c r="H772" s="99"/>
      <c r="I772" s="107"/>
      <c r="J772" s="7"/>
      <c r="K772" s="74"/>
      <c r="L772" s="7"/>
      <c r="M772" s="74"/>
      <c r="N772" s="74"/>
      <c r="O772" s="7"/>
      <c r="P772" s="74"/>
      <c r="Q772" s="7"/>
      <c r="R772" s="74"/>
      <c r="S772" s="74"/>
      <c r="T772" s="7"/>
      <c r="U772" s="7"/>
      <c r="V772" s="74"/>
      <c r="W772" s="74"/>
      <c r="X772" s="74"/>
      <c r="Y772" s="227"/>
      <c r="Z772" s="228"/>
      <c r="AA772" s="74"/>
      <c r="AB772" s="74"/>
      <c r="AC772" s="74"/>
      <c r="AD772" s="74"/>
      <c r="AE772" s="7"/>
      <c r="AF772" s="74"/>
      <c r="AG772" s="74"/>
      <c r="AH772" s="7"/>
      <c r="AI772" s="7"/>
      <c r="AJ772" s="7"/>
      <c r="AK772" s="7"/>
      <c r="AL772" s="7"/>
      <c r="AM772" s="7"/>
      <c r="AN772" s="7"/>
      <c r="AO772" s="74"/>
      <c r="AP772" s="7"/>
      <c r="AQ772" s="74"/>
      <c r="AR772" s="101"/>
      <c r="AS772" s="7"/>
      <c r="AT772" s="101"/>
      <c r="AU772" s="7"/>
      <c r="AV772" s="101"/>
      <c r="AW772" s="7"/>
      <c r="AX772" s="8"/>
      <c r="AY772" s="36"/>
      <c r="AZ772" s="74"/>
      <c r="BA772" s="74"/>
      <c r="BB772" s="74"/>
      <c r="BC772" s="74"/>
      <c r="BD772" s="74"/>
      <c r="BE772" s="74"/>
      <c r="BF772" s="74"/>
      <c r="BG772" s="74"/>
      <c r="BH772" s="74"/>
      <c r="BI772" s="74"/>
      <c r="BJ772" s="74"/>
      <c r="BK772" s="7"/>
      <c r="BL772" s="74"/>
      <c r="BM772" s="7"/>
      <c r="BN772" s="74"/>
      <c r="BO772" s="74"/>
      <c r="BP772" s="74"/>
      <c r="BQ772" s="74"/>
      <c r="BR772" s="74"/>
      <c r="BS772" s="74"/>
      <c r="BT772" s="74"/>
      <c r="BU772" s="74"/>
      <c r="BV772" s="74"/>
      <c r="BW772" s="74"/>
      <c r="BX772" s="74"/>
      <c r="BY772" s="74"/>
      <c r="BZ772" s="74"/>
      <c r="CA772" s="74"/>
      <c r="CB772" s="74"/>
      <c r="CC772" s="74"/>
      <c r="CD772" s="74"/>
      <c r="CE772" s="7"/>
      <c r="CF772" s="74"/>
      <c r="CG772" s="74"/>
      <c r="CH772" s="7"/>
      <c r="CI772" s="74"/>
      <c r="CJ772" s="74"/>
      <c r="CK772" s="101"/>
      <c r="CL772" s="74"/>
      <c r="CM772" s="74"/>
      <c r="CN772" s="74"/>
      <c r="CO772" s="101"/>
      <c r="CP772" s="74"/>
      <c r="CQ772" s="74"/>
      <c r="CR772" s="74"/>
      <c r="CS772" s="74"/>
      <c r="CT772" s="74"/>
      <c r="CU772" s="74"/>
      <c r="CV772" s="74"/>
      <c r="CW772" s="74"/>
      <c r="CX772" s="74"/>
      <c r="CY772" s="74"/>
      <c r="CZ772" s="74"/>
      <c r="DA772" s="74"/>
      <c r="DB772" s="74"/>
      <c r="DC772" s="74"/>
      <c r="DD772" s="74"/>
      <c r="DE772" s="74"/>
      <c r="DF772" s="74"/>
      <c r="DG772" s="74"/>
      <c r="DH772" s="74"/>
      <c r="DI772" s="74"/>
      <c r="DJ772" s="74"/>
      <c r="DK772" s="74"/>
      <c r="DL772" s="74"/>
      <c r="DM772" s="74"/>
      <c r="DN772" s="74"/>
      <c r="DO772" s="74"/>
      <c r="DP772" s="74"/>
      <c r="DQ772" s="74"/>
      <c r="DR772" s="74"/>
      <c r="DS772" s="74"/>
      <c r="DT772" s="74"/>
      <c r="DU772" s="74"/>
      <c r="DV772" s="74"/>
      <c r="DW772" s="74"/>
      <c r="DX772" s="74"/>
      <c r="DY772" s="74"/>
      <c r="DZ772" s="8">
        <f t="shared" si="194"/>
        <v>0</v>
      </c>
      <c r="EA772" s="3">
        <f t="shared" si="195"/>
        <v>0</v>
      </c>
      <c r="EB772" s="2">
        <f t="shared" si="196"/>
        <v>0</v>
      </c>
      <c r="EC772" s="112">
        <f t="shared" si="204"/>
        <v>0</v>
      </c>
      <c r="ED772" s="29">
        <f t="shared" si="197"/>
        <v>0</v>
      </c>
      <c r="EE772" s="2">
        <f t="shared" si="198"/>
        <v>0</v>
      </c>
      <c r="EF772" s="46">
        <f t="shared" si="199"/>
        <v>0</v>
      </c>
      <c r="EG772" s="46">
        <f t="shared" si="200"/>
        <v>0</v>
      </c>
      <c r="EH772" s="2">
        <f t="shared" si="201"/>
        <v>0</v>
      </c>
      <c r="EI772" s="29">
        <f>IF(COUNT(I772:AD772)&lt;5,DZ772,SUMPRODUCT(LARGE(I772:AD772,{1,2,3,4,5}))/5)</f>
        <v>0</v>
      </c>
      <c r="EJ772" s="29">
        <f>IF(COUNT(I772:BE772)&lt;5,DZ772,SUMPRODUCT(LARGE(I772:BE772,{1,2,3,4,5}))/5)</f>
        <v>0</v>
      </c>
      <c r="EK772" s="29">
        <f t="shared" si="203"/>
        <v>0</v>
      </c>
      <c r="EL772" s="29">
        <f t="shared" si="207"/>
        <v>0</v>
      </c>
      <c r="EM772" s="116">
        <f t="shared" si="202"/>
        <v>0</v>
      </c>
      <c r="EQ772"/>
    </row>
    <row r="773" spans="1:147" x14ac:dyDescent="0.25">
      <c r="A773" s="59"/>
      <c r="B773" s="4"/>
      <c r="C773" s="5"/>
      <c r="D773" s="6"/>
      <c r="E773" s="6"/>
      <c r="F773" s="6"/>
      <c r="G773" s="5"/>
      <c r="H773" s="37"/>
      <c r="I773" s="36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227"/>
      <c r="Z773" s="228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4"/>
      <c r="AP773" s="7"/>
      <c r="AQ773" s="74"/>
      <c r="AR773" s="70"/>
      <c r="AS773" s="7"/>
      <c r="AT773" s="70"/>
      <c r="AU773" s="7"/>
      <c r="AV773" s="70"/>
      <c r="AW773" s="7"/>
      <c r="AX773" s="183"/>
      <c r="AY773" s="107"/>
      <c r="AZ773" s="7"/>
      <c r="BA773" s="7"/>
      <c r="BB773" s="7"/>
      <c r="BC773" s="74"/>
      <c r="BD773" s="7"/>
      <c r="BE773" s="74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101"/>
      <c r="CL773" s="74"/>
      <c r="CM773" s="74"/>
      <c r="CN773" s="74"/>
      <c r="CO773" s="70"/>
      <c r="CP773" s="74"/>
      <c r="CQ773" s="7"/>
      <c r="CR773" s="74"/>
      <c r="CS773" s="74"/>
      <c r="CT773" s="74"/>
      <c r="CU773" s="74"/>
      <c r="CV773" s="74"/>
      <c r="CW773" s="7"/>
      <c r="CX773" s="7"/>
      <c r="CY773" s="7"/>
      <c r="CZ773" s="7"/>
      <c r="DA773" s="7"/>
      <c r="DB773" s="7"/>
      <c r="DC773" s="7"/>
      <c r="DD773" s="7"/>
      <c r="DE773" s="74"/>
      <c r="DF773" s="74"/>
      <c r="DG773" s="74"/>
      <c r="DH773" s="74"/>
      <c r="DI773" s="74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8">
        <f t="shared" ref="DZ773:DZ836" si="208">IF(EB773&gt;0,AVERAGE(I773:DY773),H773)</f>
        <v>0</v>
      </c>
      <c r="EA773" s="3">
        <f t="shared" ref="EA773:EA836" si="209">B773</f>
        <v>0</v>
      </c>
      <c r="EB773" s="2">
        <f t="shared" ref="EB773:EB836" si="210">IF(G773&gt;0,1,0)</f>
        <v>0</v>
      </c>
      <c r="EC773" s="112">
        <f t="shared" si="204"/>
        <v>0</v>
      </c>
      <c r="ED773" s="29">
        <f t="shared" ref="ED773:ED836" si="211">EL773</f>
        <v>0</v>
      </c>
      <c r="EE773" s="2">
        <f t="shared" ref="EE773:EE836" si="212">COUNT(I773:AH773)</f>
        <v>0</v>
      </c>
      <c r="EF773" s="46">
        <f t="shared" ref="EF773:EF836" si="213">COUNT(I773:BQ773)</f>
        <v>0</v>
      </c>
      <c r="EG773" s="46">
        <f t="shared" ref="EG773:EG836" si="214">COUNT(I773:DY773)</f>
        <v>0</v>
      </c>
      <c r="EH773" s="2">
        <f t="shared" ref="EH773:EH836" si="215">D773</f>
        <v>0</v>
      </c>
      <c r="EI773" s="29">
        <f>IF(COUNT(I773:AD773)&lt;5,DZ773,SUMPRODUCT(LARGE(I773:AD773,{1,2,3,4,5}))/5)</f>
        <v>0</v>
      </c>
      <c r="EJ773" s="29">
        <f>IF(COUNT(I773:BE773)&lt;5,DZ773,SUMPRODUCT(LARGE(I773:BE773,{1,2,3,4,5}))/5)</f>
        <v>0</v>
      </c>
      <c r="EK773" s="29">
        <f t="shared" si="203"/>
        <v>0</v>
      </c>
      <c r="EL773" s="29">
        <f t="shared" si="207"/>
        <v>0</v>
      </c>
      <c r="EM773" s="116">
        <f t="shared" ref="EM773:EM836" si="216">B773</f>
        <v>0</v>
      </c>
      <c r="EQ773"/>
    </row>
    <row r="774" spans="1:147" x14ac:dyDescent="0.25">
      <c r="A774" s="59"/>
      <c r="B774" s="32"/>
      <c r="C774" s="5"/>
      <c r="D774" s="6"/>
      <c r="E774" s="6"/>
      <c r="F774" s="6"/>
      <c r="G774" s="5"/>
      <c r="H774" s="99"/>
      <c r="I774" s="36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227"/>
      <c r="Z774" s="228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4"/>
      <c r="AP774" s="7"/>
      <c r="AQ774" s="74"/>
      <c r="AR774" s="70"/>
      <c r="AS774" s="7"/>
      <c r="AT774" s="70"/>
      <c r="AU774" s="7"/>
      <c r="AV774" s="70"/>
      <c r="AW774" s="7"/>
      <c r="AX774" s="8"/>
      <c r="AY774" s="36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4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101"/>
      <c r="CL774" s="74"/>
      <c r="CM774" s="74"/>
      <c r="CN774" s="74"/>
      <c r="CO774" s="70"/>
      <c r="CP774" s="74"/>
      <c r="CQ774" s="7"/>
      <c r="CR774" s="74"/>
      <c r="CS774" s="74"/>
      <c r="CT774" s="74"/>
      <c r="CU774" s="74"/>
      <c r="CV774" s="7"/>
      <c r="CW774" s="7"/>
      <c r="CX774" s="7"/>
      <c r="CY774" s="7"/>
      <c r="CZ774" s="7"/>
      <c r="DA774" s="7"/>
      <c r="DB774" s="7"/>
      <c r="DC774" s="7"/>
      <c r="DD774" s="7"/>
      <c r="DE774" s="74"/>
      <c r="DF774" s="74"/>
      <c r="DG774" s="74"/>
      <c r="DH774" s="7"/>
      <c r="DI774" s="74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8">
        <f t="shared" si="208"/>
        <v>0</v>
      </c>
      <c r="EA774" s="3">
        <f t="shared" si="209"/>
        <v>0</v>
      </c>
      <c r="EB774" s="2">
        <f t="shared" si="210"/>
        <v>0</v>
      </c>
      <c r="EC774" s="112">
        <f t="shared" si="204"/>
        <v>0</v>
      </c>
      <c r="ED774" s="29">
        <f t="shared" si="211"/>
        <v>0</v>
      </c>
      <c r="EE774" s="2">
        <f t="shared" si="212"/>
        <v>0</v>
      </c>
      <c r="EF774" s="46">
        <f t="shared" si="213"/>
        <v>0</v>
      </c>
      <c r="EG774" s="46">
        <f t="shared" si="214"/>
        <v>0</v>
      </c>
      <c r="EH774" s="2">
        <f t="shared" si="215"/>
        <v>0</v>
      </c>
      <c r="EI774" s="29">
        <f>IF(COUNT(I774:AD774)&lt;5,DZ774,SUMPRODUCT(LARGE(I774:AD774,{1,2,3,4,5}))/5)</f>
        <v>0</v>
      </c>
      <c r="EJ774" s="29">
        <f>IF(COUNT(I774:BE774)&lt;5,DZ774,SUMPRODUCT(LARGE(I774:BE774,{1,2,3,4,5}))/5)</f>
        <v>0</v>
      </c>
      <c r="EK774" s="29">
        <f t="shared" ref="EK774:EK837" si="217">IF(EG774&lt;0,AVERAGE(I774:DY774),0)</f>
        <v>0</v>
      </c>
      <c r="EL774" s="29">
        <f t="shared" si="207"/>
        <v>0</v>
      </c>
      <c r="EM774" s="116">
        <f t="shared" si="216"/>
        <v>0</v>
      </c>
      <c r="EQ774"/>
    </row>
    <row r="775" spans="1:147" x14ac:dyDescent="0.25">
      <c r="A775" s="59"/>
      <c r="B775" s="4"/>
      <c r="C775" s="5"/>
      <c r="D775" s="5"/>
      <c r="E775" s="6"/>
      <c r="F775" s="6"/>
      <c r="G775" s="5"/>
      <c r="H775" s="99"/>
      <c r="I775" s="107"/>
      <c r="J775" s="7"/>
      <c r="K775" s="74"/>
      <c r="L775" s="7"/>
      <c r="M775" s="74"/>
      <c r="N775" s="74"/>
      <c r="O775" s="7"/>
      <c r="P775" s="74"/>
      <c r="Q775" s="7"/>
      <c r="R775" s="74"/>
      <c r="S775" s="74"/>
      <c r="T775" s="7"/>
      <c r="U775" s="7"/>
      <c r="V775" s="74"/>
      <c r="W775" s="74"/>
      <c r="X775" s="74"/>
      <c r="Y775" s="227"/>
      <c r="Z775" s="228"/>
      <c r="AA775" s="74"/>
      <c r="AB775" s="74"/>
      <c r="AC775" s="74"/>
      <c r="AD775" s="74"/>
      <c r="AE775" s="7"/>
      <c r="AF775" s="74"/>
      <c r="AG775" s="74"/>
      <c r="AH775" s="7"/>
      <c r="AI775" s="7"/>
      <c r="AJ775" s="7"/>
      <c r="AK775" s="7"/>
      <c r="AL775" s="7"/>
      <c r="AM775" s="7"/>
      <c r="AN775" s="7"/>
      <c r="AO775" s="74"/>
      <c r="AP775" s="7"/>
      <c r="AQ775" s="74"/>
      <c r="AR775" s="74"/>
      <c r="AS775" s="7"/>
      <c r="AT775" s="101"/>
      <c r="AU775" s="7"/>
      <c r="AV775" s="101"/>
      <c r="AW775" s="7"/>
      <c r="AX775" s="183"/>
      <c r="AY775" s="107"/>
      <c r="AZ775" s="74"/>
      <c r="BA775" s="74"/>
      <c r="BB775" s="74"/>
      <c r="BC775" s="74"/>
      <c r="BD775" s="74"/>
      <c r="BE775" s="74"/>
      <c r="BF775" s="74"/>
      <c r="BG775" s="74"/>
      <c r="BH775" s="74"/>
      <c r="BI775" s="74"/>
      <c r="BJ775" s="74"/>
      <c r="BK775" s="7"/>
      <c r="BL775" s="74"/>
      <c r="BM775" s="7"/>
      <c r="BN775" s="74"/>
      <c r="BO775" s="74"/>
      <c r="BP775" s="74"/>
      <c r="BQ775" s="74"/>
      <c r="BR775" s="74"/>
      <c r="BS775" s="74"/>
      <c r="BT775" s="74"/>
      <c r="BU775" s="74"/>
      <c r="BV775" s="74"/>
      <c r="BW775" s="74"/>
      <c r="BX775" s="74"/>
      <c r="BY775" s="74"/>
      <c r="BZ775" s="74"/>
      <c r="CA775" s="74"/>
      <c r="CB775" s="74"/>
      <c r="CC775" s="74"/>
      <c r="CD775" s="74"/>
      <c r="CE775" s="7"/>
      <c r="CF775" s="74"/>
      <c r="CG775" s="74"/>
      <c r="CH775" s="7"/>
      <c r="CI775" s="74"/>
      <c r="CJ775" s="74"/>
      <c r="CK775" s="101"/>
      <c r="CL775" s="74"/>
      <c r="CM775" s="74"/>
      <c r="CN775" s="74"/>
      <c r="CO775" s="101"/>
      <c r="CP775" s="74"/>
      <c r="CQ775" s="74"/>
      <c r="CR775" s="74"/>
      <c r="CS775" s="74"/>
      <c r="CT775" s="74"/>
      <c r="CU775" s="74"/>
      <c r="CV775" s="74"/>
      <c r="CW775" s="74"/>
      <c r="CX775" s="74"/>
      <c r="CY775" s="74"/>
      <c r="CZ775" s="74"/>
      <c r="DA775" s="74"/>
      <c r="DB775" s="74"/>
      <c r="DC775" s="74"/>
      <c r="DD775" s="74"/>
      <c r="DE775" s="74"/>
      <c r="DF775" s="74"/>
      <c r="DG775" s="74"/>
      <c r="DH775" s="74"/>
      <c r="DI775" s="74"/>
      <c r="DJ775" s="74"/>
      <c r="DK775" s="74"/>
      <c r="DL775" s="74"/>
      <c r="DM775" s="74"/>
      <c r="DN775" s="74"/>
      <c r="DO775" s="74"/>
      <c r="DP775" s="74"/>
      <c r="DQ775" s="74"/>
      <c r="DR775" s="74"/>
      <c r="DS775" s="74"/>
      <c r="DT775" s="74"/>
      <c r="DU775" s="74"/>
      <c r="DV775" s="74"/>
      <c r="DW775" s="74"/>
      <c r="DX775" s="74"/>
      <c r="DY775" s="74"/>
      <c r="DZ775" s="8">
        <f t="shared" si="208"/>
        <v>0</v>
      </c>
      <c r="EA775" s="3">
        <f t="shared" si="209"/>
        <v>0</v>
      </c>
      <c r="EB775" s="2">
        <f t="shared" si="210"/>
        <v>0</v>
      </c>
      <c r="EC775" s="112">
        <f t="shared" si="204"/>
        <v>0</v>
      </c>
      <c r="ED775" s="29">
        <f t="shared" si="211"/>
        <v>0</v>
      </c>
      <c r="EE775" s="2">
        <f t="shared" si="212"/>
        <v>0</v>
      </c>
      <c r="EF775" s="46">
        <f t="shared" si="213"/>
        <v>0</v>
      </c>
      <c r="EG775" s="46">
        <f t="shared" si="214"/>
        <v>0</v>
      </c>
      <c r="EH775" s="2">
        <f t="shared" si="215"/>
        <v>0</v>
      </c>
      <c r="EI775" s="29">
        <f>IF(COUNT(I775:AD775)&lt;5,DZ775,SUMPRODUCT(LARGE(I775:AD775,{1,2,3,4,5}))/5)</f>
        <v>0</v>
      </c>
      <c r="EJ775" s="29">
        <f>IF(COUNT(I775:BE775)&lt;5,DZ775,SUMPRODUCT(LARGE(I775:BE775,{1,2,3,4,5}))/5)</f>
        <v>0</v>
      </c>
      <c r="EK775" s="29">
        <f t="shared" si="217"/>
        <v>0</v>
      </c>
      <c r="EL775" s="29">
        <f t="shared" si="207"/>
        <v>0</v>
      </c>
      <c r="EM775" s="116">
        <f t="shared" si="216"/>
        <v>0</v>
      </c>
      <c r="EQ775"/>
    </row>
    <row r="776" spans="1:147" x14ac:dyDescent="0.25">
      <c r="A776" s="59"/>
      <c r="B776" s="54"/>
      <c r="C776" s="55"/>
      <c r="D776" s="55"/>
      <c r="E776" s="6"/>
      <c r="F776" s="6"/>
      <c r="G776" s="5"/>
      <c r="H776" s="37"/>
      <c r="I776" s="36"/>
      <c r="J776" s="7"/>
      <c r="K776" s="7"/>
      <c r="L776" s="7"/>
      <c r="M776" s="74"/>
      <c r="N776" s="74"/>
      <c r="O776" s="7"/>
      <c r="P776" s="74"/>
      <c r="Q776" s="7"/>
      <c r="R776" s="74"/>
      <c r="S776" s="74"/>
      <c r="T776" s="7"/>
      <c r="U776" s="7"/>
      <c r="V776" s="74"/>
      <c r="W776" s="7"/>
      <c r="X776" s="74"/>
      <c r="Y776" s="227"/>
      <c r="Z776" s="228"/>
      <c r="AA776" s="74"/>
      <c r="AB776" s="74"/>
      <c r="AC776" s="74"/>
      <c r="AD776" s="74"/>
      <c r="AE776" s="7"/>
      <c r="AF776" s="74"/>
      <c r="AG776" s="74"/>
      <c r="AH776" s="7"/>
      <c r="AI776" s="7"/>
      <c r="AJ776" s="7"/>
      <c r="AK776" s="7"/>
      <c r="AL776" s="7"/>
      <c r="AM776" s="7"/>
      <c r="AN776" s="7"/>
      <c r="AO776" s="74"/>
      <c r="AP776" s="7"/>
      <c r="AQ776" s="74"/>
      <c r="AR776" s="101"/>
      <c r="AS776" s="7"/>
      <c r="AT776" s="101"/>
      <c r="AU776" s="7"/>
      <c r="AV776" s="101"/>
      <c r="AW776" s="7"/>
      <c r="AX776" s="8"/>
      <c r="AY776" s="36"/>
      <c r="AZ776" s="74"/>
      <c r="BA776" s="74"/>
      <c r="BB776" s="74"/>
      <c r="BC776" s="74"/>
      <c r="BD776" s="74"/>
      <c r="BE776" s="74"/>
      <c r="BF776" s="74"/>
      <c r="BG776" s="74"/>
      <c r="BH776" s="74"/>
      <c r="BI776" s="74"/>
      <c r="BJ776" s="74"/>
      <c r="BK776" s="7"/>
      <c r="BL776" s="74"/>
      <c r="BM776" s="7"/>
      <c r="BN776" s="74"/>
      <c r="BO776" s="74"/>
      <c r="BP776" s="74"/>
      <c r="BQ776" s="74"/>
      <c r="BR776" s="74"/>
      <c r="BS776" s="74"/>
      <c r="BT776" s="74"/>
      <c r="BU776" s="74"/>
      <c r="BV776" s="74"/>
      <c r="BW776" s="74"/>
      <c r="BX776" s="74"/>
      <c r="BY776" s="74"/>
      <c r="BZ776" s="74"/>
      <c r="CA776" s="74"/>
      <c r="CB776" s="74"/>
      <c r="CC776" s="74"/>
      <c r="CD776" s="74"/>
      <c r="CE776" s="7"/>
      <c r="CF776" s="74"/>
      <c r="CG776" s="74"/>
      <c r="CH776" s="7"/>
      <c r="CI776" s="74"/>
      <c r="CJ776" s="74"/>
      <c r="CK776" s="101"/>
      <c r="CL776" s="74"/>
      <c r="CM776" s="74"/>
      <c r="CN776" s="74"/>
      <c r="CO776" s="101"/>
      <c r="CP776" s="74"/>
      <c r="CQ776" s="74"/>
      <c r="CR776" s="74"/>
      <c r="CS776" s="74"/>
      <c r="CT776" s="74"/>
      <c r="CU776" s="74"/>
      <c r="CV776" s="74"/>
      <c r="CW776" s="74"/>
      <c r="CX776" s="74"/>
      <c r="CY776" s="74"/>
      <c r="CZ776" s="74"/>
      <c r="DA776" s="74"/>
      <c r="DB776" s="74"/>
      <c r="DC776" s="74"/>
      <c r="DD776" s="74"/>
      <c r="DE776" s="74"/>
      <c r="DF776" s="74"/>
      <c r="DG776" s="74"/>
      <c r="DH776" s="74"/>
      <c r="DI776" s="74"/>
      <c r="DJ776" s="7"/>
      <c r="DK776" s="74"/>
      <c r="DL776" s="7"/>
      <c r="DM776" s="74"/>
      <c r="DN776" s="74"/>
      <c r="DO776" s="74"/>
      <c r="DP776" s="74"/>
      <c r="DQ776" s="74"/>
      <c r="DR776" s="74"/>
      <c r="DS776" s="74"/>
      <c r="DT776" s="74"/>
      <c r="DU776" s="74"/>
      <c r="DV776" s="74"/>
      <c r="DW776" s="74"/>
      <c r="DX776" s="74"/>
      <c r="DY776" s="74"/>
      <c r="DZ776" s="8">
        <f t="shared" si="208"/>
        <v>0</v>
      </c>
      <c r="EA776" s="3">
        <f t="shared" si="209"/>
        <v>0</v>
      </c>
      <c r="EB776" s="2">
        <f t="shared" si="210"/>
        <v>0</v>
      </c>
      <c r="EC776" s="112">
        <f t="shared" si="204"/>
        <v>0</v>
      </c>
      <c r="ED776" s="29">
        <f t="shared" si="211"/>
        <v>0</v>
      </c>
      <c r="EE776" s="2">
        <f t="shared" si="212"/>
        <v>0</v>
      </c>
      <c r="EF776" s="46">
        <f t="shared" si="213"/>
        <v>0</v>
      </c>
      <c r="EG776" s="46">
        <f t="shared" si="214"/>
        <v>0</v>
      </c>
      <c r="EH776" s="2">
        <f t="shared" si="215"/>
        <v>0</v>
      </c>
      <c r="EI776" s="29">
        <f>IF(COUNT(I776:AD776)&lt;5,DZ776,SUMPRODUCT(LARGE(I776:AD776,{1,2,3,4,5}))/5)</f>
        <v>0</v>
      </c>
      <c r="EJ776" s="29">
        <f>IF(COUNT(I776:BE776)&lt;5,DZ776,SUMPRODUCT(LARGE(I776:BE776,{1,2,3,4,5}))/5)</f>
        <v>0</v>
      </c>
      <c r="EK776" s="29">
        <f t="shared" si="217"/>
        <v>0</v>
      </c>
      <c r="EL776" s="29">
        <f t="shared" si="207"/>
        <v>0</v>
      </c>
      <c r="EM776" s="116">
        <f t="shared" si="216"/>
        <v>0</v>
      </c>
      <c r="EQ776"/>
    </row>
    <row r="777" spans="1:147" x14ac:dyDescent="0.25">
      <c r="A777" s="59"/>
      <c r="B777" s="32"/>
      <c r="C777" s="5"/>
      <c r="D777" s="6"/>
      <c r="E777" s="6"/>
      <c r="F777" s="6"/>
      <c r="G777" s="5"/>
      <c r="H777" s="37"/>
      <c r="I777" s="107"/>
      <c r="J777" s="7"/>
      <c r="K777" s="74"/>
      <c r="L777" s="7"/>
      <c r="M777" s="74"/>
      <c r="N777" s="74"/>
      <c r="O777" s="7"/>
      <c r="P777" s="74"/>
      <c r="Q777" s="7"/>
      <c r="R777" s="74"/>
      <c r="S777" s="74"/>
      <c r="T777" s="7"/>
      <c r="U777" s="7"/>
      <c r="V777" s="74"/>
      <c r="W777" s="74"/>
      <c r="X777" s="74"/>
      <c r="Y777" s="227"/>
      <c r="Z777" s="228"/>
      <c r="AA777" s="74"/>
      <c r="AB777" s="74"/>
      <c r="AC777" s="74"/>
      <c r="AD777" s="74"/>
      <c r="AE777" s="7"/>
      <c r="AF777" s="74"/>
      <c r="AG777" s="74"/>
      <c r="AH777" s="7"/>
      <c r="AI777" s="7"/>
      <c r="AJ777" s="7"/>
      <c r="AK777" s="7"/>
      <c r="AL777" s="7"/>
      <c r="AM777" s="7"/>
      <c r="AN777" s="7"/>
      <c r="AO777" s="74"/>
      <c r="AP777" s="7"/>
      <c r="AQ777" s="74"/>
      <c r="AR777" s="101"/>
      <c r="AS777" s="7"/>
      <c r="AT777" s="101"/>
      <c r="AU777" s="7"/>
      <c r="AV777" s="101"/>
      <c r="AW777" s="7"/>
      <c r="AX777" s="8"/>
      <c r="AY777" s="36"/>
      <c r="AZ777" s="74"/>
      <c r="BA777" s="74"/>
      <c r="BB777" s="74"/>
      <c r="BC777" s="74"/>
      <c r="BD777" s="74"/>
      <c r="BE777" s="74"/>
      <c r="BF777" s="74"/>
      <c r="BG777" s="74"/>
      <c r="BH777" s="74"/>
      <c r="BI777" s="74"/>
      <c r="BJ777" s="74"/>
      <c r="BK777" s="7"/>
      <c r="BL777" s="74"/>
      <c r="BM777" s="7"/>
      <c r="BN777" s="74"/>
      <c r="BO777" s="74"/>
      <c r="BP777" s="74"/>
      <c r="BQ777" s="74"/>
      <c r="BR777" s="74"/>
      <c r="BS777" s="74"/>
      <c r="BT777" s="74"/>
      <c r="BU777" s="74"/>
      <c r="BV777" s="74"/>
      <c r="BW777" s="74"/>
      <c r="BX777" s="74"/>
      <c r="BY777" s="74"/>
      <c r="BZ777" s="74"/>
      <c r="CA777" s="74"/>
      <c r="CB777" s="74"/>
      <c r="CC777" s="74"/>
      <c r="CD777" s="74"/>
      <c r="CE777" s="7"/>
      <c r="CF777" s="74"/>
      <c r="CG777" s="74"/>
      <c r="CH777" s="7"/>
      <c r="CI777" s="74"/>
      <c r="CJ777" s="74"/>
      <c r="CK777" s="101"/>
      <c r="CL777" s="74"/>
      <c r="CM777" s="74"/>
      <c r="CN777" s="74"/>
      <c r="CO777" s="101"/>
      <c r="CP777" s="74"/>
      <c r="CQ777" s="74"/>
      <c r="CR777" s="74"/>
      <c r="CS777" s="74"/>
      <c r="CT777" s="74"/>
      <c r="CU777" s="74"/>
      <c r="CV777" s="74"/>
      <c r="CW777" s="74"/>
      <c r="CX777" s="74"/>
      <c r="CY777" s="74"/>
      <c r="CZ777" s="74"/>
      <c r="DA777" s="74"/>
      <c r="DB777" s="74"/>
      <c r="DC777" s="74"/>
      <c r="DD777" s="74"/>
      <c r="DE777" s="74"/>
      <c r="DF777" s="74"/>
      <c r="DG777" s="74"/>
      <c r="DH777" s="74"/>
      <c r="DI777" s="74"/>
      <c r="DJ777" s="74"/>
      <c r="DK777" s="74"/>
      <c r="DL777" s="74"/>
      <c r="DM777" s="74"/>
      <c r="DN777" s="74"/>
      <c r="DO777" s="74"/>
      <c r="DP777" s="74"/>
      <c r="DQ777" s="74"/>
      <c r="DR777" s="74"/>
      <c r="DS777" s="74"/>
      <c r="DT777" s="74"/>
      <c r="DU777" s="74"/>
      <c r="DV777" s="74"/>
      <c r="DW777" s="74"/>
      <c r="DX777" s="74"/>
      <c r="DY777" s="74"/>
      <c r="DZ777" s="8">
        <f t="shared" si="208"/>
        <v>0</v>
      </c>
      <c r="EA777" s="3">
        <f t="shared" si="209"/>
        <v>0</v>
      </c>
      <c r="EB777" s="2">
        <f t="shared" si="210"/>
        <v>0</v>
      </c>
      <c r="EC777" s="112">
        <f t="shared" si="204"/>
        <v>0</v>
      </c>
      <c r="ED777" s="29">
        <f t="shared" si="211"/>
        <v>0</v>
      </c>
      <c r="EE777" s="2">
        <f t="shared" si="212"/>
        <v>0</v>
      </c>
      <c r="EF777" s="46">
        <f t="shared" si="213"/>
        <v>0</v>
      </c>
      <c r="EG777" s="46">
        <f t="shared" si="214"/>
        <v>0</v>
      </c>
      <c r="EH777" s="2">
        <f t="shared" si="215"/>
        <v>0</v>
      </c>
      <c r="EI777" s="29">
        <f>IF(COUNT(I777:AD777)&lt;5,DZ777,SUMPRODUCT(LARGE(I777:AD777,{1,2,3,4,5}))/5)</f>
        <v>0</v>
      </c>
      <c r="EJ777" s="29">
        <f>IF(COUNT(I777:BE777)&lt;5,DZ777,SUMPRODUCT(LARGE(I777:BE777,{1,2,3,4,5}))/5)</f>
        <v>0</v>
      </c>
      <c r="EK777" s="29">
        <f t="shared" si="217"/>
        <v>0</v>
      </c>
      <c r="EL777" s="29">
        <f>(EK777*100)/101.59</f>
        <v>0</v>
      </c>
      <c r="EM777" s="116">
        <f t="shared" si="216"/>
        <v>0</v>
      </c>
      <c r="EQ777"/>
    </row>
    <row r="778" spans="1:147" x14ac:dyDescent="0.25">
      <c r="A778" s="59"/>
      <c r="B778" s="32"/>
      <c r="C778" s="5"/>
      <c r="D778" s="6"/>
      <c r="E778" s="6"/>
      <c r="F778" s="6"/>
      <c r="G778" s="5"/>
      <c r="H778" s="37"/>
      <c r="I778" s="10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227"/>
      <c r="Z778" s="228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4"/>
      <c r="AP778" s="7"/>
      <c r="AQ778" s="74"/>
      <c r="AR778" s="70"/>
      <c r="AS778" s="7"/>
      <c r="AT778" s="70"/>
      <c r="AU778" s="7"/>
      <c r="AV778" s="70"/>
      <c r="AW778" s="7"/>
      <c r="AX778" s="183"/>
      <c r="AY778" s="10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4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101"/>
      <c r="CL778" s="74"/>
      <c r="CM778" s="74"/>
      <c r="CN778" s="74"/>
      <c r="CO778" s="70"/>
      <c r="CP778" s="74"/>
      <c r="CQ778" s="7"/>
      <c r="CR778" s="74"/>
      <c r="CS778" s="74"/>
      <c r="CT778" s="74"/>
      <c r="CU778" s="74"/>
      <c r="CV778" s="7"/>
      <c r="CW778" s="7"/>
      <c r="CX778" s="7"/>
      <c r="CY778" s="7"/>
      <c r="CZ778" s="7"/>
      <c r="DA778" s="7"/>
      <c r="DB778" s="7"/>
      <c r="DC778" s="7"/>
      <c r="DD778" s="7"/>
      <c r="DE778" s="74"/>
      <c r="DF778" s="74"/>
      <c r="DG778" s="74"/>
      <c r="DH778" s="7"/>
      <c r="DI778" s="74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8">
        <f t="shared" si="208"/>
        <v>0</v>
      </c>
      <c r="EA778" s="3">
        <f t="shared" si="209"/>
        <v>0</v>
      </c>
      <c r="EB778" s="2">
        <f t="shared" si="210"/>
        <v>0</v>
      </c>
      <c r="EC778" s="112">
        <f t="shared" si="204"/>
        <v>0</v>
      </c>
      <c r="ED778" s="29">
        <f t="shared" si="211"/>
        <v>0</v>
      </c>
      <c r="EE778" s="2">
        <f t="shared" si="212"/>
        <v>0</v>
      </c>
      <c r="EF778" s="46">
        <f t="shared" si="213"/>
        <v>0</v>
      </c>
      <c r="EG778" s="46">
        <f t="shared" si="214"/>
        <v>0</v>
      </c>
      <c r="EH778" s="2">
        <f t="shared" si="215"/>
        <v>0</v>
      </c>
      <c r="EI778" s="29">
        <f>IF(COUNT(I778:AD778)&lt;5,DZ778,SUMPRODUCT(LARGE(I778:AD778,{1,2,3,4,5}))/5)</f>
        <v>0</v>
      </c>
      <c r="EJ778" s="29">
        <f>IF(COUNT(I778:BE778)&lt;5,DZ778,SUMPRODUCT(LARGE(I778:BE778,{1,2,3,4,5}))/5)</f>
        <v>0</v>
      </c>
      <c r="EK778" s="29">
        <f t="shared" si="217"/>
        <v>0</v>
      </c>
      <c r="EL778" s="29">
        <f>(EK778*100)/101.28</f>
        <v>0</v>
      </c>
      <c r="EM778" s="116">
        <f t="shared" si="216"/>
        <v>0</v>
      </c>
      <c r="EQ778"/>
    </row>
    <row r="779" spans="1:147" x14ac:dyDescent="0.25">
      <c r="A779" s="59"/>
      <c r="B779" s="32"/>
      <c r="C779" s="5"/>
      <c r="D779" s="6"/>
      <c r="E779" s="6"/>
      <c r="F779" s="6"/>
      <c r="G779" s="5"/>
      <c r="H779" s="37"/>
      <c r="I779" s="107"/>
      <c r="J779" s="7"/>
      <c r="K779" s="74"/>
      <c r="L779" s="7"/>
      <c r="M779" s="74"/>
      <c r="N779" s="74"/>
      <c r="O779" s="7"/>
      <c r="P779" s="74"/>
      <c r="Q779" s="7"/>
      <c r="R779" s="74"/>
      <c r="S779" s="74"/>
      <c r="T779" s="7"/>
      <c r="U779" s="7"/>
      <c r="V779" s="74"/>
      <c r="W779" s="74"/>
      <c r="X779" s="74"/>
      <c r="Y779" s="227"/>
      <c r="Z779" s="228"/>
      <c r="AA779" s="74"/>
      <c r="AB779" s="74"/>
      <c r="AC779" s="74"/>
      <c r="AD779" s="74"/>
      <c r="AE779" s="7"/>
      <c r="AF779" s="74"/>
      <c r="AG779" s="74"/>
      <c r="AH779" s="7"/>
      <c r="AI779" s="7"/>
      <c r="AJ779" s="7"/>
      <c r="AK779" s="7"/>
      <c r="AL779" s="7"/>
      <c r="AM779" s="7"/>
      <c r="AN779" s="7"/>
      <c r="AO779" s="74"/>
      <c r="AP779" s="7"/>
      <c r="AQ779" s="74"/>
      <c r="AR779" s="101"/>
      <c r="AS779" s="7"/>
      <c r="AT779" s="101"/>
      <c r="AU779" s="7"/>
      <c r="AV779" s="101"/>
      <c r="AW779" s="7"/>
      <c r="AX779" s="183"/>
      <c r="AY779" s="107"/>
      <c r="AZ779" s="74"/>
      <c r="BA779" s="74"/>
      <c r="BB779" s="74"/>
      <c r="BC779" s="74"/>
      <c r="BD779" s="74"/>
      <c r="BE779" s="74"/>
      <c r="BF779" s="74"/>
      <c r="BG779" s="74"/>
      <c r="BH779" s="74"/>
      <c r="BI779" s="74"/>
      <c r="BJ779" s="74"/>
      <c r="BK779" s="7"/>
      <c r="BL779" s="74"/>
      <c r="BM779" s="7"/>
      <c r="BN779" s="74"/>
      <c r="BO779" s="74"/>
      <c r="BP779" s="74"/>
      <c r="BQ779" s="74"/>
      <c r="BR779" s="74"/>
      <c r="BS779" s="74"/>
      <c r="BT779" s="74"/>
      <c r="BU779" s="74"/>
      <c r="BV779" s="74"/>
      <c r="BW779" s="74"/>
      <c r="BX779" s="74"/>
      <c r="BY779" s="74"/>
      <c r="BZ779" s="74"/>
      <c r="CA779" s="74"/>
      <c r="CB779" s="74"/>
      <c r="CC779" s="74"/>
      <c r="CD779" s="74"/>
      <c r="CE779" s="7"/>
      <c r="CF779" s="74"/>
      <c r="CG779" s="74"/>
      <c r="CH779" s="7"/>
      <c r="CI779" s="74"/>
      <c r="CJ779" s="74"/>
      <c r="CK779" s="101"/>
      <c r="CL779" s="74"/>
      <c r="CM779" s="74"/>
      <c r="CN779" s="74"/>
      <c r="CO779" s="101"/>
      <c r="CP779" s="74"/>
      <c r="CQ779" s="74"/>
      <c r="CR779" s="74"/>
      <c r="CS779" s="74"/>
      <c r="CT779" s="74"/>
      <c r="CU779" s="74"/>
      <c r="CV779" s="74"/>
      <c r="CW779" s="74"/>
      <c r="CX779" s="74"/>
      <c r="CY779" s="74"/>
      <c r="CZ779" s="74"/>
      <c r="DA779" s="74"/>
      <c r="DB779" s="74"/>
      <c r="DC779" s="74"/>
      <c r="DD779" s="74"/>
      <c r="DE779" s="74"/>
      <c r="DF779" s="74"/>
      <c r="DG779" s="74"/>
      <c r="DH779" s="74"/>
      <c r="DI779" s="74"/>
      <c r="DJ779" s="74"/>
      <c r="DK779" s="74"/>
      <c r="DL779" s="74"/>
      <c r="DM779" s="74"/>
      <c r="DN779" s="74"/>
      <c r="DO779" s="74"/>
      <c r="DP779" s="74"/>
      <c r="DQ779" s="74"/>
      <c r="DR779" s="74"/>
      <c r="DS779" s="74"/>
      <c r="DT779" s="74"/>
      <c r="DU779" s="74"/>
      <c r="DV779" s="74"/>
      <c r="DW779" s="74"/>
      <c r="DX779" s="74"/>
      <c r="DY779" s="74"/>
      <c r="DZ779" s="8">
        <f t="shared" si="208"/>
        <v>0</v>
      </c>
      <c r="EA779" s="3">
        <f t="shared" si="209"/>
        <v>0</v>
      </c>
      <c r="EB779" s="2">
        <f t="shared" si="210"/>
        <v>0</v>
      </c>
      <c r="EC779" s="112">
        <f t="shared" si="204"/>
        <v>0</v>
      </c>
      <c r="ED779" s="29">
        <f t="shared" si="211"/>
        <v>0</v>
      </c>
      <c r="EE779" s="2">
        <f t="shared" si="212"/>
        <v>0</v>
      </c>
      <c r="EF779" s="46">
        <f t="shared" si="213"/>
        <v>0</v>
      </c>
      <c r="EG779" s="46">
        <f t="shared" si="214"/>
        <v>0</v>
      </c>
      <c r="EH779" s="2">
        <f t="shared" si="215"/>
        <v>0</v>
      </c>
      <c r="EI779" s="29">
        <f>IF(COUNT(I779:AD779)&lt;5,DZ779,SUMPRODUCT(LARGE(I779:AD779,{1,2,3,4,5}))/5)</f>
        <v>0</v>
      </c>
      <c r="EJ779" s="29">
        <f>IF(COUNT(I779:BE779)&lt;5,DZ779,SUMPRODUCT(LARGE(I779:BE779,{1,2,3,4,5}))/5)</f>
        <v>0</v>
      </c>
      <c r="EK779" s="29">
        <f t="shared" si="217"/>
        <v>0</v>
      </c>
      <c r="EL779" s="29">
        <f>(EK779*100)/101.28</f>
        <v>0</v>
      </c>
      <c r="EM779" s="116">
        <f t="shared" si="216"/>
        <v>0</v>
      </c>
      <c r="EQ779"/>
    </row>
    <row r="780" spans="1:147" x14ac:dyDescent="0.25">
      <c r="A780" s="59"/>
      <c r="B780" s="32"/>
      <c r="C780" s="5"/>
      <c r="D780" s="6"/>
      <c r="E780" s="6"/>
      <c r="F780" s="6"/>
      <c r="G780" s="5"/>
      <c r="H780" s="37"/>
      <c r="I780" s="10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227"/>
      <c r="Z780" s="228"/>
      <c r="AA780" s="7"/>
      <c r="AB780" s="7"/>
      <c r="AC780" s="7"/>
      <c r="AD780" s="74"/>
      <c r="AE780" s="74"/>
      <c r="AF780" s="7"/>
      <c r="AG780" s="7"/>
      <c r="AH780" s="7"/>
      <c r="AI780" s="7"/>
      <c r="AJ780" s="7"/>
      <c r="AK780" s="7"/>
      <c r="AL780" s="7"/>
      <c r="AM780" s="7"/>
      <c r="AN780" s="7"/>
      <c r="AO780" s="74"/>
      <c r="AP780" s="7"/>
      <c r="AQ780" s="74"/>
      <c r="AR780" s="70"/>
      <c r="AS780" s="7"/>
      <c r="AT780" s="70"/>
      <c r="AU780" s="7"/>
      <c r="AV780" s="70"/>
      <c r="AW780" s="7"/>
      <c r="AX780" s="183"/>
      <c r="AY780" s="107"/>
      <c r="AZ780" s="70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4"/>
      <c r="CH780" s="7"/>
      <c r="CI780" s="7"/>
      <c r="CJ780" s="7"/>
      <c r="CK780" s="101"/>
      <c r="CL780" s="74"/>
      <c r="CM780" s="74"/>
      <c r="CN780" s="74"/>
      <c r="CO780" s="70"/>
      <c r="CP780" s="74"/>
      <c r="CQ780" s="7"/>
      <c r="CR780" s="74"/>
      <c r="CS780" s="74"/>
      <c r="CT780" s="74"/>
      <c r="CU780" s="74"/>
      <c r="CV780" s="74"/>
      <c r="CW780" s="7"/>
      <c r="CX780" s="7"/>
      <c r="CY780" s="7"/>
      <c r="CZ780" s="7"/>
      <c r="DA780" s="7"/>
      <c r="DB780" s="7"/>
      <c r="DC780" s="7"/>
      <c r="DD780" s="7"/>
      <c r="DE780" s="74"/>
      <c r="DF780" s="74"/>
      <c r="DG780" s="74"/>
      <c r="DH780" s="74"/>
      <c r="DI780" s="74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8">
        <f t="shared" si="208"/>
        <v>0</v>
      </c>
      <c r="EA780" s="3">
        <f t="shared" si="209"/>
        <v>0</v>
      </c>
      <c r="EB780" s="2">
        <f t="shared" si="210"/>
        <v>0</v>
      </c>
      <c r="EC780" s="112">
        <f t="shared" si="204"/>
        <v>0</v>
      </c>
      <c r="ED780" s="29">
        <f t="shared" si="211"/>
        <v>0</v>
      </c>
      <c r="EE780" s="2">
        <f t="shared" si="212"/>
        <v>0</v>
      </c>
      <c r="EF780" s="46">
        <f t="shared" si="213"/>
        <v>0</v>
      </c>
      <c r="EG780" s="46">
        <f t="shared" si="214"/>
        <v>0</v>
      </c>
      <c r="EH780" s="2">
        <f t="shared" si="215"/>
        <v>0</v>
      </c>
      <c r="EI780" s="29">
        <f>IF(COUNT(I780:AD780)&lt;5,DZ780,SUMPRODUCT(LARGE(I780:AD780,{1,2,3,4,5}))/5)</f>
        <v>0</v>
      </c>
      <c r="EJ780" s="29">
        <f>IF(COUNT(I780:BE780)&lt;5,DZ780,SUMPRODUCT(LARGE(I780:BE780,{1,2,3,4,5}))/5)</f>
        <v>0</v>
      </c>
      <c r="EK780" s="29">
        <f t="shared" si="217"/>
        <v>0</v>
      </c>
      <c r="EL780" s="29">
        <f>(EK780*100)/101.59</f>
        <v>0</v>
      </c>
      <c r="EM780" s="116">
        <f t="shared" si="216"/>
        <v>0</v>
      </c>
      <c r="EQ780"/>
    </row>
    <row r="781" spans="1:147" x14ac:dyDescent="0.25">
      <c r="A781" s="59"/>
      <c r="B781" s="4"/>
      <c r="C781" s="5"/>
      <c r="D781" s="6"/>
      <c r="E781" s="6"/>
      <c r="F781" s="6"/>
      <c r="G781" s="5"/>
      <c r="H781" s="37"/>
      <c r="I781" s="107"/>
      <c r="J781" s="7"/>
      <c r="K781" s="74"/>
      <c r="L781" s="7"/>
      <c r="M781" s="74"/>
      <c r="N781" s="74"/>
      <c r="O781" s="7"/>
      <c r="P781" s="74"/>
      <c r="Q781" s="7"/>
      <c r="R781" s="74"/>
      <c r="S781" s="74"/>
      <c r="T781" s="7"/>
      <c r="U781" s="7"/>
      <c r="V781" s="74"/>
      <c r="W781" s="74"/>
      <c r="X781" s="74"/>
      <c r="Y781" s="227"/>
      <c r="Z781" s="228"/>
      <c r="AA781" s="74"/>
      <c r="AB781" s="74"/>
      <c r="AC781" s="74"/>
      <c r="AD781" s="74"/>
      <c r="AE781" s="7"/>
      <c r="AF781" s="74"/>
      <c r="AG781" s="74"/>
      <c r="AH781" s="7"/>
      <c r="AI781" s="7"/>
      <c r="AJ781" s="7"/>
      <c r="AK781" s="7"/>
      <c r="AL781" s="7"/>
      <c r="AM781" s="7"/>
      <c r="AN781" s="7"/>
      <c r="AO781" s="74"/>
      <c r="AP781" s="7"/>
      <c r="AQ781" s="74"/>
      <c r="AR781" s="101"/>
      <c r="AS781" s="7"/>
      <c r="AT781" s="101"/>
      <c r="AU781" s="7"/>
      <c r="AV781" s="101"/>
      <c r="AW781" s="7"/>
      <c r="AX781" s="8"/>
      <c r="AY781" s="36"/>
      <c r="AZ781" s="74"/>
      <c r="BA781" s="74"/>
      <c r="BB781" s="74"/>
      <c r="BC781" s="74"/>
      <c r="BD781" s="74"/>
      <c r="BE781" s="74"/>
      <c r="BF781" s="74"/>
      <c r="BG781" s="74"/>
      <c r="BH781" s="74"/>
      <c r="BI781" s="74"/>
      <c r="BJ781" s="74"/>
      <c r="BK781" s="7"/>
      <c r="BL781" s="74"/>
      <c r="BM781" s="7"/>
      <c r="BN781" s="74"/>
      <c r="BO781" s="74"/>
      <c r="BP781" s="74"/>
      <c r="BQ781" s="74"/>
      <c r="BR781" s="74"/>
      <c r="BS781" s="74"/>
      <c r="BT781" s="74"/>
      <c r="BU781" s="74"/>
      <c r="BV781" s="74"/>
      <c r="BW781" s="74"/>
      <c r="BX781" s="74"/>
      <c r="BY781" s="74"/>
      <c r="BZ781" s="74"/>
      <c r="CA781" s="74"/>
      <c r="CB781" s="74"/>
      <c r="CC781" s="74"/>
      <c r="CD781" s="74"/>
      <c r="CE781" s="7"/>
      <c r="CF781" s="74"/>
      <c r="CG781" s="74"/>
      <c r="CH781" s="7"/>
      <c r="CI781" s="74"/>
      <c r="CJ781" s="74"/>
      <c r="CK781" s="101"/>
      <c r="CL781" s="74"/>
      <c r="CM781" s="74"/>
      <c r="CN781" s="74"/>
      <c r="CO781" s="101"/>
      <c r="CP781" s="74"/>
      <c r="CQ781" s="74"/>
      <c r="CR781" s="74"/>
      <c r="CS781" s="74"/>
      <c r="CT781" s="74"/>
      <c r="CU781" s="74"/>
      <c r="CV781" s="74"/>
      <c r="CW781" s="74"/>
      <c r="CX781" s="74"/>
      <c r="CY781" s="74"/>
      <c r="CZ781" s="74"/>
      <c r="DA781" s="74"/>
      <c r="DB781" s="74"/>
      <c r="DC781" s="74"/>
      <c r="DD781" s="74"/>
      <c r="DE781" s="74"/>
      <c r="DF781" s="74"/>
      <c r="DG781" s="74"/>
      <c r="DH781" s="74"/>
      <c r="DI781" s="74"/>
      <c r="DJ781" s="74"/>
      <c r="DK781" s="74"/>
      <c r="DL781" s="74"/>
      <c r="DM781" s="74"/>
      <c r="DN781" s="74"/>
      <c r="DO781" s="74"/>
      <c r="DP781" s="74"/>
      <c r="DQ781" s="74"/>
      <c r="DR781" s="74"/>
      <c r="DS781" s="100"/>
      <c r="DT781" s="74"/>
      <c r="DU781" s="74"/>
      <c r="DV781" s="74"/>
      <c r="DW781" s="74"/>
      <c r="DX781" s="74"/>
      <c r="DY781" s="74"/>
      <c r="DZ781" s="8">
        <f t="shared" si="208"/>
        <v>0</v>
      </c>
      <c r="EA781" s="3">
        <f t="shared" si="209"/>
        <v>0</v>
      </c>
      <c r="EB781" s="2">
        <f t="shared" si="210"/>
        <v>0</v>
      </c>
      <c r="EC781" s="112">
        <f t="shared" si="204"/>
        <v>0</v>
      </c>
      <c r="ED781" s="29">
        <f t="shared" si="211"/>
        <v>0</v>
      </c>
      <c r="EE781" s="2">
        <f t="shared" si="212"/>
        <v>0</v>
      </c>
      <c r="EF781" s="46">
        <f t="shared" si="213"/>
        <v>0</v>
      </c>
      <c r="EG781" s="46">
        <f t="shared" si="214"/>
        <v>0</v>
      </c>
      <c r="EH781" s="29">
        <f t="shared" si="215"/>
        <v>0</v>
      </c>
      <c r="EI781" s="29">
        <f>IF(COUNT(I781:AD781)&lt;5,DZ781,SUMPRODUCT(LARGE(I781:AD781,{1,2,3,4,5}))/5)</f>
        <v>0</v>
      </c>
      <c r="EJ781" s="29">
        <f>IF(COUNT(I781:BE781)&lt;5,DZ781,SUMPRODUCT(LARGE(I781:BE781,{1,2,3,4,5}))/5)</f>
        <v>0</v>
      </c>
      <c r="EK781" s="29">
        <f t="shared" si="217"/>
        <v>0</v>
      </c>
      <c r="EL781" s="29">
        <f>(EK781*100)/101.28</f>
        <v>0</v>
      </c>
      <c r="EM781" s="116">
        <f t="shared" si="216"/>
        <v>0</v>
      </c>
      <c r="EQ781"/>
    </row>
    <row r="782" spans="1:147" x14ac:dyDescent="0.25">
      <c r="A782" s="59"/>
      <c r="B782" s="32"/>
      <c r="C782" s="5"/>
      <c r="D782" s="6"/>
      <c r="E782" s="6"/>
      <c r="F782" s="6"/>
      <c r="G782" s="5"/>
      <c r="H782" s="37"/>
      <c r="I782" s="107"/>
      <c r="J782" s="7"/>
      <c r="K782" s="74"/>
      <c r="L782" s="7"/>
      <c r="M782" s="74"/>
      <c r="N782" s="74"/>
      <c r="O782" s="7"/>
      <c r="P782" s="74"/>
      <c r="Q782" s="7"/>
      <c r="R782" s="74"/>
      <c r="S782" s="74"/>
      <c r="T782" s="7"/>
      <c r="U782" s="7"/>
      <c r="V782" s="74"/>
      <c r="W782" s="74"/>
      <c r="X782" s="74"/>
      <c r="Y782" s="227"/>
      <c r="Z782" s="228"/>
      <c r="AA782" s="100"/>
      <c r="AB782" s="74"/>
      <c r="AC782" s="74"/>
      <c r="AD782" s="74"/>
      <c r="AE782" s="7"/>
      <c r="AF782" s="74"/>
      <c r="AG782" s="74"/>
      <c r="AH782" s="7"/>
      <c r="AI782" s="7"/>
      <c r="AJ782" s="7"/>
      <c r="AK782" s="7"/>
      <c r="AL782" s="7"/>
      <c r="AM782" s="7"/>
      <c r="AN782" s="7"/>
      <c r="AO782" s="74"/>
      <c r="AP782" s="7"/>
      <c r="AQ782" s="74"/>
      <c r="AR782" s="101"/>
      <c r="AS782" s="7"/>
      <c r="AT782" s="101"/>
      <c r="AU782" s="7"/>
      <c r="AV782" s="101"/>
      <c r="AW782" s="7"/>
      <c r="AX782" s="183"/>
      <c r="AY782" s="107"/>
      <c r="AZ782" s="74"/>
      <c r="BA782" s="74"/>
      <c r="BB782" s="74"/>
      <c r="BC782" s="74"/>
      <c r="BD782" s="74"/>
      <c r="BE782" s="74"/>
      <c r="BF782" s="74"/>
      <c r="BG782" s="74"/>
      <c r="BH782" s="74"/>
      <c r="BI782" s="74"/>
      <c r="BJ782" s="74"/>
      <c r="BK782" s="7"/>
      <c r="BL782" s="74"/>
      <c r="BM782" s="7"/>
      <c r="BN782" s="74"/>
      <c r="BO782" s="74"/>
      <c r="BP782" s="74"/>
      <c r="BQ782" s="74"/>
      <c r="BR782" s="74"/>
      <c r="BS782" s="74"/>
      <c r="BT782" s="74"/>
      <c r="BU782" s="74"/>
      <c r="BV782" s="74"/>
      <c r="BW782" s="74"/>
      <c r="BX782" s="74"/>
      <c r="BY782" s="74"/>
      <c r="BZ782" s="74"/>
      <c r="CA782" s="74"/>
      <c r="CB782" s="74"/>
      <c r="CC782" s="74"/>
      <c r="CD782" s="74"/>
      <c r="CE782" s="7"/>
      <c r="CF782" s="74"/>
      <c r="CG782" s="74"/>
      <c r="CH782" s="7"/>
      <c r="CI782" s="74"/>
      <c r="CJ782" s="74"/>
      <c r="CK782" s="101"/>
      <c r="CL782" s="74"/>
      <c r="CM782" s="74"/>
      <c r="CN782" s="74"/>
      <c r="CO782" s="74"/>
      <c r="CP782" s="74"/>
      <c r="CQ782" s="74"/>
      <c r="CR782" s="74"/>
      <c r="CS782" s="74"/>
      <c r="CT782" s="74"/>
      <c r="CU782" s="74"/>
      <c r="CV782" s="74"/>
      <c r="CW782" s="74"/>
      <c r="CX782" s="74"/>
      <c r="CY782" s="74"/>
      <c r="CZ782" s="74"/>
      <c r="DA782" s="74"/>
      <c r="DB782" s="74"/>
      <c r="DC782" s="74"/>
      <c r="DD782" s="74"/>
      <c r="DE782" s="74"/>
      <c r="DF782" s="74"/>
      <c r="DG782" s="74"/>
      <c r="DH782" s="74"/>
      <c r="DI782" s="74"/>
      <c r="DJ782" s="74"/>
      <c r="DK782" s="74"/>
      <c r="DL782" s="74"/>
      <c r="DM782" s="74"/>
      <c r="DN782" s="74"/>
      <c r="DO782" s="74"/>
      <c r="DP782" s="74"/>
      <c r="DQ782" s="74"/>
      <c r="DR782" s="74"/>
      <c r="DS782" s="74"/>
      <c r="DT782" s="74"/>
      <c r="DU782" s="74"/>
      <c r="DV782" s="74"/>
      <c r="DW782" s="74"/>
      <c r="DX782" s="74"/>
      <c r="DY782" s="74"/>
      <c r="DZ782" s="8">
        <f t="shared" si="208"/>
        <v>0</v>
      </c>
      <c r="EA782" s="3">
        <f t="shared" si="209"/>
        <v>0</v>
      </c>
      <c r="EB782" s="2">
        <f t="shared" si="210"/>
        <v>0</v>
      </c>
      <c r="EC782" s="112">
        <f t="shared" ref="EC782:EC845" si="218">H782</f>
        <v>0</v>
      </c>
      <c r="ED782" s="29">
        <f t="shared" si="211"/>
        <v>0</v>
      </c>
      <c r="EE782" s="2">
        <f t="shared" si="212"/>
        <v>0</v>
      </c>
      <c r="EF782" s="46">
        <f t="shared" si="213"/>
        <v>0</v>
      </c>
      <c r="EG782" s="46">
        <f t="shared" si="214"/>
        <v>0</v>
      </c>
      <c r="EH782" s="29">
        <f t="shared" si="215"/>
        <v>0</v>
      </c>
      <c r="EI782" s="29">
        <f>IF(COUNT(I782:AD782)&lt;5,DZ782,SUMPRODUCT(LARGE(I782:AD782,{1,2,3,4,5}))/5)</f>
        <v>0</v>
      </c>
      <c r="EJ782" s="29">
        <f>IF(COUNT(I782:BE782)&lt;5,DZ782,SUMPRODUCT(LARGE(I782:BE782,{1,2,3,4,5}))/5)</f>
        <v>0</v>
      </c>
      <c r="EK782" s="29">
        <f t="shared" si="217"/>
        <v>0</v>
      </c>
      <c r="EL782" s="29">
        <f>(EK782*100)/101.28</f>
        <v>0</v>
      </c>
      <c r="EM782" s="116">
        <f t="shared" si="216"/>
        <v>0</v>
      </c>
      <c r="EQ782"/>
    </row>
    <row r="783" spans="1:147" x14ac:dyDescent="0.25">
      <c r="A783" s="59"/>
      <c r="B783" s="32"/>
      <c r="C783" s="5"/>
      <c r="D783" s="6"/>
      <c r="E783" s="6"/>
      <c r="F783" s="6"/>
      <c r="G783" s="5"/>
      <c r="H783" s="99"/>
      <c r="I783" s="36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227"/>
      <c r="Z783" s="228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4"/>
      <c r="AP783" s="7"/>
      <c r="AQ783" s="74"/>
      <c r="AR783" s="70"/>
      <c r="AS783" s="7"/>
      <c r="AT783" s="70"/>
      <c r="AU783" s="7"/>
      <c r="AV783" s="70"/>
      <c r="AW783" s="7"/>
      <c r="AX783" s="8"/>
      <c r="AY783" s="36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4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101"/>
      <c r="CL783" s="74"/>
      <c r="CM783" s="74"/>
      <c r="CN783" s="74"/>
      <c r="CO783" s="70"/>
      <c r="CP783" s="74"/>
      <c r="CQ783" s="7"/>
      <c r="CR783" s="74"/>
      <c r="CS783" s="74"/>
      <c r="CT783" s="74"/>
      <c r="CU783" s="74"/>
      <c r="CV783" s="7"/>
      <c r="CW783" s="7"/>
      <c r="CX783" s="7"/>
      <c r="CY783" s="7"/>
      <c r="CZ783" s="7"/>
      <c r="DA783" s="7"/>
      <c r="DB783" s="7"/>
      <c r="DC783" s="7"/>
      <c r="DD783" s="7"/>
      <c r="DE783" s="74"/>
      <c r="DF783" s="74"/>
      <c r="DG783" s="74"/>
      <c r="DH783" s="7"/>
      <c r="DI783" s="74"/>
      <c r="DJ783" s="7"/>
      <c r="DK783" s="7"/>
      <c r="DL783" s="74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8">
        <f t="shared" si="208"/>
        <v>0</v>
      </c>
      <c r="EA783" s="3">
        <f t="shared" si="209"/>
        <v>0</v>
      </c>
      <c r="EB783" s="2">
        <f t="shared" si="210"/>
        <v>0</v>
      </c>
      <c r="EC783" s="112">
        <f t="shared" si="218"/>
        <v>0</v>
      </c>
      <c r="ED783" s="29">
        <f t="shared" si="211"/>
        <v>0</v>
      </c>
      <c r="EE783" s="2">
        <f t="shared" si="212"/>
        <v>0</v>
      </c>
      <c r="EF783" s="46">
        <f t="shared" si="213"/>
        <v>0</v>
      </c>
      <c r="EG783" s="46">
        <f t="shared" si="214"/>
        <v>0</v>
      </c>
      <c r="EH783" s="2">
        <f t="shared" si="215"/>
        <v>0</v>
      </c>
      <c r="EI783" s="29">
        <f>IF(COUNT(I783:AD783)&lt;5,DZ783,SUMPRODUCT(LARGE(I783:AD783,{1,2,3,4,5}))/5)</f>
        <v>0</v>
      </c>
      <c r="EJ783" s="29">
        <f>IF(COUNT(I783:BE783)&lt;5,DZ783,SUMPRODUCT(LARGE(I783:BE783,{1,2,3,4,5}))/5)</f>
        <v>0</v>
      </c>
      <c r="EK783" s="29">
        <f t="shared" si="217"/>
        <v>0</v>
      </c>
      <c r="EL783" s="29">
        <f>(EK783*100)/101.59</f>
        <v>0</v>
      </c>
      <c r="EM783" s="116">
        <f t="shared" si="216"/>
        <v>0</v>
      </c>
      <c r="EQ783"/>
    </row>
    <row r="784" spans="1:147" x14ac:dyDescent="0.25">
      <c r="A784" s="59"/>
      <c r="B784" s="32"/>
      <c r="C784" s="5"/>
      <c r="D784" s="6"/>
      <c r="E784" s="6"/>
      <c r="F784" s="6"/>
      <c r="G784" s="5"/>
      <c r="H784" s="37"/>
      <c r="I784" s="107"/>
      <c r="J784" s="7"/>
      <c r="K784" s="74"/>
      <c r="L784" s="7"/>
      <c r="M784" s="74"/>
      <c r="N784" s="74"/>
      <c r="O784" s="7"/>
      <c r="P784" s="74"/>
      <c r="Q784" s="7"/>
      <c r="R784" s="74"/>
      <c r="S784" s="74"/>
      <c r="T784" s="7"/>
      <c r="U784" s="7"/>
      <c r="V784" s="74"/>
      <c r="W784" s="74"/>
      <c r="X784" s="74"/>
      <c r="Y784" s="227"/>
      <c r="Z784" s="228"/>
      <c r="AA784" s="74"/>
      <c r="AB784" s="74"/>
      <c r="AC784" s="74"/>
      <c r="AD784" s="74"/>
      <c r="AE784" s="7"/>
      <c r="AF784" s="74"/>
      <c r="AG784" s="74"/>
      <c r="AH784" s="7"/>
      <c r="AI784" s="7"/>
      <c r="AJ784" s="7"/>
      <c r="AK784" s="7"/>
      <c r="AL784" s="7"/>
      <c r="AM784" s="7"/>
      <c r="AN784" s="7"/>
      <c r="AO784" s="74"/>
      <c r="AP784" s="7"/>
      <c r="AQ784" s="74"/>
      <c r="AR784" s="101"/>
      <c r="AS784" s="7"/>
      <c r="AT784" s="101"/>
      <c r="AU784" s="7"/>
      <c r="AV784" s="101"/>
      <c r="AW784" s="7"/>
      <c r="AX784" s="183"/>
      <c r="AY784" s="107"/>
      <c r="AZ784" s="74"/>
      <c r="BA784" s="74"/>
      <c r="BB784" s="74"/>
      <c r="BC784" s="74"/>
      <c r="BD784" s="74"/>
      <c r="BE784" s="74"/>
      <c r="BF784" s="74"/>
      <c r="BG784" s="74"/>
      <c r="BH784" s="74"/>
      <c r="BI784" s="74"/>
      <c r="BJ784" s="74"/>
      <c r="BK784" s="7"/>
      <c r="BL784" s="74"/>
      <c r="BM784" s="7"/>
      <c r="BN784" s="74"/>
      <c r="BO784" s="74"/>
      <c r="BP784" s="74"/>
      <c r="BQ784" s="74"/>
      <c r="BR784" s="74"/>
      <c r="BS784" s="74"/>
      <c r="BT784" s="74"/>
      <c r="BU784" s="74"/>
      <c r="BV784" s="74"/>
      <c r="BW784" s="74"/>
      <c r="BX784" s="74"/>
      <c r="BY784" s="74"/>
      <c r="BZ784" s="74"/>
      <c r="CA784" s="74"/>
      <c r="CB784" s="74"/>
      <c r="CC784" s="74"/>
      <c r="CD784" s="74"/>
      <c r="CE784" s="7"/>
      <c r="CF784" s="74"/>
      <c r="CG784" s="74"/>
      <c r="CH784" s="7"/>
      <c r="CI784" s="74"/>
      <c r="CJ784" s="74"/>
      <c r="CK784" s="101"/>
      <c r="CL784" s="74"/>
      <c r="CM784" s="74"/>
      <c r="CN784" s="74"/>
      <c r="CO784" s="101"/>
      <c r="CP784" s="74"/>
      <c r="CQ784" s="74"/>
      <c r="CR784" s="74"/>
      <c r="CS784" s="74"/>
      <c r="CT784" s="74"/>
      <c r="CU784" s="74"/>
      <c r="CV784" s="74"/>
      <c r="CW784" s="74"/>
      <c r="CX784" s="74"/>
      <c r="CY784" s="74"/>
      <c r="CZ784" s="74"/>
      <c r="DA784" s="74"/>
      <c r="DB784" s="74"/>
      <c r="DC784" s="74"/>
      <c r="DD784" s="74"/>
      <c r="DE784" s="74"/>
      <c r="DF784" s="74"/>
      <c r="DG784" s="74"/>
      <c r="DH784" s="74"/>
      <c r="DI784" s="74"/>
      <c r="DJ784" s="74"/>
      <c r="DK784" s="74"/>
      <c r="DL784" s="74"/>
      <c r="DM784" s="74"/>
      <c r="DN784" s="74"/>
      <c r="DO784" s="74"/>
      <c r="DP784" s="74"/>
      <c r="DQ784" s="74"/>
      <c r="DR784" s="74"/>
      <c r="DS784" s="74"/>
      <c r="DT784" s="74"/>
      <c r="DU784" s="74"/>
      <c r="DV784" s="74"/>
      <c r="DW784" s="74"/>
      <c r="DX784" s="74"/>
      <c r="DY784" s="74"/>
      <c r="DZ784" s="8">
        <f t="shared" si="208"/>
        <v>0</v>
      </c>
      <c r="EA784" s="3">
        <f t="shared" si="209"/>
        <v>0</v>
      </c>
      <c r="EB784" s="2">
        <f t="shared" si="210"/>
        <v>0</v>
      </c>
      <c r="EC784" s="112">
        <f t="shared" si="218"/>
        <v>0</v>
      </c>
      <c r="ED784" s="29">
        <f t="shared" si="211"/>
        <v>0</v>
      </c>
      <c r="EE784" s="2">
        <f t="shared" si="212"/>
        <v>0</v>
      </c>
      <c r="EF784" s="46">
        <f t="shared" si="213"/>
        <v>0</v>
      </c>
      <c r="EG784" s="46">
        <f t="shared" si="214"/>
        <v>0</v>
      </c>
      <c r="EH784" s="29">
        <f t="shared" si="215"/>
        <v>0</v>
      </c>
      <c r="EI784" s="29">
        <f>IF(COUNT(I784:AD784)&lt;5,DZ784,SUMPRODUCT(LARGE(I784:AD784,{1,2,3,4,5}))/5)</f>
        <v>0</v>
      </c>
      <c r="EJ784" s="29">
        <f>IF(COUNT(I784:BE784)&lt;5,DZ784,SUMPRODUCT(LARGE(I784:BE784,{1,2,3,4,5}))/5)</f>
        <v>0</v>
      </c>
      <c r="EK784" s="29">
        <f t="shared" si="217"/>
        <v>0</v>
      </c>
      <c r="EL784" s="29">
        <f t="shared" ref="EL784:EL802" si="219">(EK784*100)/101.28</f>
        <v>0</v>
      </c>
      <c r="EM784" s="116">
        <f t="shared" si="216"/>
        <v>0</v>
      </c>
      <c r="EQ784"/>
    </row>
    <row r="785" spans="1:147" x14ac:dyDescent="0.25">
      <c r="A785" s="59"/>
      <c r="B785" s="32"/>
      <c r="C785" s="5"/>
      <c r="D785" s="6"/>
      <c r="E785" s="6"/>
      <c r="F785" s="6"/>
      <c r="G785" s="5"/>
      <c r="H785" s="37"/>
      <c r="I785" s="36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227"/>
      <c r="Z785" s="228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4"/>
      <c r="AP785" s="7"/>
      <c r="AQ785" s="74"/>
      <c r="AR785" s="70"/>
      <c r="AS785" s="7"/>
      <c r="AT785" s="70"/>
      <c r="AU785" s="7"/>
      <c r="AV785" s="70"/>
      <c r="AW785" s="7"/>
      <c r="AX785" s="183"/>
      <c r="AY785" s="10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4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101"/>
      <c r="CL785" s="74"/>
      <c r="CM785" s="74"/>
      <c r="CN785" s="74"/>
      <c r="CO785" s="70"/>
      <c r="CP785" s="74"/>
      <c r="CQ785" s="7"/>
      <c r="CR785" s="74"/>
      <c r="CS785" s="74"/>
      <c r="CT785" s="74"/>
      <c r="CU785" s="74"/>
      <c r="CV785" s="7"/>
      <c r="CW785" s="7"/>
      <c r="CX785" s="7"/>
      <c r="CY785" s="7"/>
      <c r="CZ785" s="7"/>
      <c r="DA785" s="7"/>
      <c r="DB785" s="7"/>
      <c r="DC785" s="7"/>
      <c r="DD785" s="7"/>
      <c r="DE785" s="74"/>
      <c r="DF785" s="74"/>
      <c r="DG785" s="74"/>
      <c r="DH785" s="7"/>
      <c r="DI785" s="7"/>
      <c r="DJ785" s="7"/>
      <c r="DK785" s="7"/>
      <c r="DL785" s="7"/>
      <c r="DM785" s="7"/>
      <c r="DN785" s="7"/>
      <c r="DO785" s="7"/>
      <c r="DP785" s="7"/>
      <c r="DQ785" s="74"/>
      <c r="DR785" s="74"/>
      <c r="DS785" s="7"/>
      <c r="DT785" s="7"/>
      <c r="DU785" s="7"/>
      <c r="DV785" s="74"/>
      <c r="DW785" s="7"/>
      <c r="DX785" s="7"/>
      <c r="DY785" s="7"/>
      <c r="DZ785" s="8">
        <f t="shared" si="208"/>
        <v>0</v>
      </c>
      <c r="EA785" s="3">
        <f t="shared" si="209"/>
        <v>0</v>
      </c>
      <c r="EB785" s="2">
        <f t="shared" si="210"/>
        <v>0</v>
      </c>
      <c r="EC785" s="112">
        <f t="shared" si="218"/>
        <v>0</v>
      </c>
      <c r="ED785" s="29">
        <f t="shared" si="211"/>
        <v>0</v>
      </c>
      <c r="EE785" s="2">
        <f t="shared" si="212"/>
        <v>0</v>
      </c>
      <c r="EF785" s="46">
        <f t="shared" si="213"/>
        <v>0</v>
      </c>
      <c r="EG785" s="46">
        <f t="shared" si="214"/>
        <v>0</v>
      </c>
      <c r="EH785" s="2">
        <f t="shared" si="215"/>
        <v>0</v>
      </c>
      <c r="EI785" s="29">
        <f>IF(COUNT(I785:AD785)&lt;5,DZ785,SUMPRODUCT(LARGE(I785:AD785,{1,2,3,4,5}))/5)</f>
        <v>0</v>
      </c>
      <c r="EJ785" s="29">
        <f>IF(COUNT(I785:BE785)&lt;5,DZ785,SUMPRODUCT(LARGE(I785:BE785,{1,2,3,4,5}))/5)</f>
        <v>0</v>
      </c>
      <c r="EK785" s="29">
        <f t="shared" si="217"/>
        <v>0</v>
      </c>
      <c r="EL785" s="29">
        <f t="shared" si="219"/>
        <v>0</v>
      </c>
      <c r="EM785" s="116">
        <f t="shared" si="216"/>
        <v>0</v>
      </c>
      <c r="EQ785"/>
    </row>
    <row r="786" spans="1:147" x14ac:dyDescent="0.25">
      <c r="A786" s="59"/>
      <c r="B786" s="4"/>
      <c r="C786" s="5"/>
      <c r="D786" s="6"/>
      <c r="E786" s="6"/>
      <c r="F786" s="6"/>
      <c r="G786" s="5"/>
      <c r="H786" s="99"/>
      <c r="I786" s="107"/>
      <c r="J786" s="7"/>
      <c r="K786" s="74"/>
      <c r="L786" s="7"/>
      <c r="M786" s="74"/>
      <c r="N786" s="74"/>
      <c r="O786" s="7"/>
      <c r="P786" s="74"/>
      <c r="Q786" s="7"/>
      <c r="R786" s="74"/>
      <c r="S786" s="74"/>
      <c r="T786" s="7"/>
      <c r="U786" s="7"/>
      <c r="V786" s="74"/>
      <c r="W786" s="74"/>
      <c r="X786" s="74"/>
      <c r="Y786" s="227"/>
      <c r="Z786" s="228"/>
      <c r="AA786" s="74"/>
      <c r="AB786" s="74"/>
      <c r="AC786" s="74"/>
      <c r="AD786" s="74"/>
      <c r="AE786" s="7"/>
      <c r="AF786" s="74"/>
      <c r="AG786" s="74"/>
      <c r="AH786" s="7"/>
      <c r="AI786" s="7"/>
      <c r="AJ786" s="7"/>
      <c r="AK786" s="7"/>
      <c r="AL786" s="7"/>
      <c r="AM786" s="7"/>
      <c r="AN786" s="7"/>
      <c r="AO786" s="74"/>
      <c r="AP786" s="7"/>
      <c r="AQ786" s="74"/>
      <c r="AR786" s="101"/>
      <c r="AS786" s="7"/>
      <c r="AT786" s="101"/>
      <c r="AU786" s="7"/>
      <c r="AV786" s="101"/>
      <c r="AW786" s="7"/>
      <c r="AX786" s="8"/>
      <c r="AY786" s="36"/>
      <c r="AZ786" s="74"/>
      <c r="BA786" s="74"/>
      <c r="BB786" s="74"/>
      <c r="BC786" s="74"/>
      <c r="BD786" s="74"/>
      <c r="BE786" s="74"/>
      <c r="BF786" s="74"/>
      <c r="BG786" s="74"/>
      <c r="BH786" s="74"/>
      <c r="BI786" s="74"/>
      <c r="BJ786" s="74"/>
      <c r="BK786" s="7"/>
      <c r="BL786" s="74"/>
      <c r="BM786" s="7"/>
      <c r="BN786" s="74"/>
      <c r="BO786" s="74"/>
      <c r="BP786" s="74"/>
      <c r="BQ786" s="74"/>
      <c r="BR786" s="74"/>
      <c r="BS786" s="74"/>
      <c r="BT786" s="74"/>
      <c r="BU786" s="74"/>
      <c r="BV786" s="74"/>
      <c r="BW786" s="74"/>
      <c r="BX786" s="74"/>
      <c r="BY786" s="74"/>
      <c r="BZ786" s="74"/>
      <c r="CA786" s="74"/>
      <c r="CB786" s="74"/>
      <c r="CC786" s="74"/>
      <c r="CD786" s="74"/>
      <c r="CE786" s="7"/>
      <c r="CF786" s="74"/>
      <c r="CG786" s="74"/>
      <c r="CH786" s="7"/>
      <c r="CI786" s="74"/>
      <c r="CJ786" s="74"/>
      <c r="CK786" s="101"/>
      <c r="CL786" s="74"/>
      <c r="CM786" s="74"/>
      <c r="CN786" s="74"/>
      <c r="CO786" s="101"/>
      <c r="CP786" s="74"/>
      <c r="CQ786" s="74"/>
      <c r="CR786" s="74"/>
      <c r="CS786" s="74"/>
      <c r="CT786" s="74"/>
      <c r="CU786" s="74"/>
      <c r="CV786" s="74"/>
      <c r="CW786" s="74"/>
      <c r="CX786" s="74"/>
      <c r="CY786" s="74"/>
      <c r="CZ786" s="74"/>
      <c r="DA786" s="74"/>
      <c r="DB786" s="74"/>
      <c r="DC786" s="74"/>
      <c r="DD786" s="74"/>
      <c r="DE786" s="74"/>
      <c r="DF786" s="74"/>
      <c r="DG786" s="74"/>
      <c r="DH786" s="74"/>
      <c r="DI786" s="74"/>
      <c r="DJ786" s="74"/>
      <c r="DK786" s="74"/>
      <c r="DL786" s="74"/>
      <c r="DM786" s="74"/>
      <c r="DN786" s="74"/>
      <c r="DO786" s="74"/>
      <c r="DP786" s="74"/>
      <c r="DQ786" s="74"/>
      <c r="DR786" s="74"/>
      <c r="DS786" s="74"/>
      <c r="DT786" s="74"/>
      <c r="DU786" s="74"/>
      <c r="DV786" s="74"/>
      <c r="DW786" s="74"/>
      <c r="DX786" s="74"/>
      <c r="DY786" s="74"/>
      <c r="DZ786" s="8">
        <f t="shared" si="208"/>
        <v>0</v>
      </c>
      <c r="EA786" s="3">
        <f t="shared" si="209"/>
        <v>0</v>
      </c>
      <c r="EB786" s="2">
        <f t="shared" si="210"/>
        <v>0</v>
      </c>
      <c r="EC786" s="112">
        <f t="shared" si="218"/>
        <v>0</v>
      </c>
      <c r="ED786" s="29">
        <f t="shared" si="211"/>
        <v>0</v>
      </c>
      <c r="EE786" s="2">
        <f t="shared" si="212"/>
        <v>0</v>
      </c>
      <c r="EF786" s="46">
        <f t="shared" si="213"/>
        <v>0</v>
      </c>
      <c r="EG786" s="46">
        <f t="shared" si="214"/>
        <v>0</v>
      </c>
      <c r="EH786" s="29">
        <f t="shared" si="215"/>
        <v>0</v>
      </c>
      <c r="EI786" s="29">
        <f>IF(COUNT(I786:AD786)&lt;5,DZ786,SUMPRODUCT(LARGE(I786:AD786,{1,2,3,4,5}))/5)</f>
        <v>0</v>
      </c>
      <c r="EJ786" s="29">
        <f>IF(COUNT(I786:BE786)&lt;5,DZ786,SUMPRODUCT(LARGE(I786:BE786,{1,2,3,4,5}))/5)</f>
        <v>0</v>
      </c>
      <c r="EK786" s="29">
        <f t="shared" si="217"/>
        <v>0</v>
      </c>
      <c r="EL786" s="29">
        <f t="shared" si="219"/>
        <v>0</v>
      </c>
      <c r="EM786" s="116">
        <f t="shared" si="216"/>
        <v>0</v>
      </c>
      <c r="EQ786"/>
    </row>
    <row r="787" spans="1:147" x14ac:dyDescent="0.25">
      <c r="A787" s="59"/>
      <c r="B787" s="32"/>
      <c r="C787" s="5"/>
      <c r="D787" s="6"/>
      <c r="E787" s="6"/>
      <c r="F787" s="6"/>
      <c r="G787" s="5"/>
      <c r="H787" s="37"/>
      <c r="I787" s="107"/>
      <c r="J787" s="7"/>
      <c r="K787" s="74"/>
      <c r="L787" s="7"/>
      <c r="M787" s="74"/>
      <c r="N787" s="74"/>
      <c r="O787" s="7"/>
      <c r="P787" s="74"/>
      <c r="Q787" s="7"/>
      <c r="R787" s="74"/>
      <c r="S787" s="74"/>
      <c r="T787" s="7"/>
      <c r="U787" s="7"/>
      <c r="V787" s="74"/>
      <c r="W787" s="74"/>
      <c r="X787" s="74"/>
      <c r="Y787" s="227"/>
      <c r="Z787" s="228"/>
      <c r="AA787" s="74"/>
      <c r="AB787" s="74"/>
      <c r="AC787" s="74"/>
      <c r="AD787" s="74"/>
      <c r="AE787" s="7"/>
      <c r="AF787" s="74"/>
      <c r="AG787" s="74"/>
      <c r="AH787" s="7"/>
      <c r="AI787" s="7"/>
      <c r="AJ787" s="7"/>
      <c r="AK787" s="7"/>
      <c r="AL787" s="7"/>
      <c r="AM787" s="7"/>
      <c r="AN787" s="7"/>
      <c r="AO787" s="74"/>
      <c r="AP787" s="7"/>
      <c r="AQ787" s="74"/>
      <c r="AR787" s="101"/>
      <c r="AS787" s="7"/>
      <c r="AT787" s="101"/>
      <c r="AU787" s="7"/>
      <c r="AV787" s="101"/>
      <c r="AW787" s="7"/>
      <c r="AX787" s="183"/>
      <c r="AY787" s="107"/>
      <c r="AZ787" s="74"/>
      <c r="BA787" s="74"/>
      <c r="BB787" s="74"/>
      <c r="BC787" s="74"/>
      <c r="BD787" s="74"/>
      <c r="BE787" s="74"/>
      <c r="BF787" s="74"/>
      <c r="BG787" s="74"/>
      <c r="BH787" s="74"/>
      <c r="BI787" s="74"/>
      <c r="BJ787" s="74"/>
      <c r="BK787" s="7"/>
      <c r="BL787" s="74"/>
      <c r="BM787" s="7"/>
      <c r="BN787" s="74"/>
      <c r="BO787" s="74"/>
      <c r="BP787" s="74"/>
      <c r="BQ787" s="74"/>
      <c r="BR787" s="74"/>
      <c r="BS787" s="74"/>
      <c r="BT787" s="74"/>
      <c r="BU787" s="74"/>
      <c r="BV787" s="74"/>
      <c r="BW787" s="74"/>
      <c r="BX787" s="74"/>
      <c r="BY787" s="74"/>
      <c r="BZ787" s="74"/>
      <c r="CA787" s="74"/>
      <c r="CB787" s="74"/>
      <c r="CC787" s="74"/>
      <c r="CD787" s="74"/>
      <c r="CE787" s="7"/>
      <c r="CF787" s="74"/>
      <c r="CG787" s="74"/>
      <c r="CH787" s="7"/>
      <c r="CI787" s="74"/>
      <c r="CJ787" s="74"/>
      <c r="CK787" s="101"/>
      <c r="CL787" s="74"/>
      <c r="CM787" s="74"/>
      <c r="CN787" s="74"/>
      <c r="CO787" s="101"/>
      <c r="CP787" s="74"/>
      <c r="CQ787" s="74"/>
      <c r="CR787" s="74"/>
      <c r="CS787" s="74"/>
      <c r="CT787" s="74"/>
      <c r="CU787" s="74"/>
      <c r="CV787" s="74"/>
      <c r="CW787" s="74"/>
      <c r="CX787" s="74"/>
      <c r="CY787" s="74"/>
      <c r="CZ787" s="74"/>
      <c r="DA787" s="74"/>
      <c r="DB787" s="74"/>
      <c r="DC787" s="74"/>
      <c r="DD787" s="74"/>
      <c r="DE787" s="74"/>
      <c r="DF787" s="74"/>
      <c r="DG787" s="74"/>
      <c r="DH787" s="74"/>
      <c r="DI787" s="74"/>
      <c r="DJ787" s="74"/>
      <c r="DK787" s="74"/>
      <c r="DL787" s="74"/>
      <c r="DM787" s="74"/>
      <c r="DN787" s="74"/>
      <c r="DO787" s="74"/>
      <c r="DP787" s="74"/>
      <c r="DQ787" s="74"/>
      <c r="DR787" s="74"/>
      <c r="DS787" s="74"/>
      <c r="DT787" s="74"/>
      <c r="DU787" s="74"/>
      <c r="DV787" s="74"/>
      <c r="DW787" s="74"/>
      <c r="DX787" s="74"/>
      <c r="DY787" s="100"/>
      <c r="DZ787" s="8">
        <f t="shared" si="208"/>
        <v>0</v>
      </c>
      <c r="EA787" s="3">
        <f t="shared" si="209"/>
        <v>0</v>
      </c>
      <c r="EB787" s="2">
        <f t="shared" si="210"/>
        <v>0</v>
      </c>
      <c r="EC787" s="112">
        <f t="shared" si="218"/>
        <v>0</v>
      </c>
      <c r="ED787" s="29">
        <f t="shared" si="211"/>
        <v>0</v>
      </c>
      <c r="EE787" s="2">
        <f t="shared" si="212"/>
        <v>0</v>
      </c>
      <c r="EF787" s="46">
        <f t="shared" si="213"/>
        <v>0</v>
      </c>
      <c r="EG787" s="46">
        <f t="shared" si="214"/>
        <v>0</v>
      </c>
      <c r="EH787" s="29">
        <f t="shared" si="215"/>
        <v>0</v>
      </c>
      <c r="EI787" s="29">
        <f>IF(COUNT(I787:AD787)&lt;5,DZ787,SUMPRODUCT(LARGE(I787:AD787,{1,2,3,4,5}))/5)</f>
        <v>0</v>
      </c>
      <c r="EJ787" s="29">
        <f>IF(COUNT(I787:BE787)&lt;5,DZ787,SUMPRODUCT(LARGE(I787:BE787,{1,2,3,4,5}))/5)</f>
        <v>0</v>
      </c>
      <c r="EK787" s="29">
        <f t="shared" si="217"/>
        <v>0</v>
      </c>
      <c r="EL787" s="29">
        <f t="shared" si="219"/>
        <v>0</v>
      </c>
      <c r="EM787" s="116">
        <f t="shared" si="216"/>
        <v>0</v>
      </c>
      <c r="EQ787"/>
    </row>
    <row r="788" spans="1:147" x14ac:dyDescent="0.25">
      <c r="A788" s="59"/>
      <c r="B788" s="32"/>
      <c r="C788" s="5"/>
      <c r="D788" s="6"/>
      <c r="E788" s="6"/>
      <c r="F788" s="6"/>
      <c r="G788" s="5"/>
      <c r="H788" s="37"/>
      <c r="I788" s="107"/>
      <c r="J788" s="7"/>
      <c r="K788" s="74"/>
      <c r="L788" s="7"/>
      <c r="M788" s="74"/>
      <c r="N788" s="74"/>
      <c r="O788" s="7"/>
      <c r="P788" s="74"/>
      <c r="Q788" s="7"/>
      <c r="R788" s="74"/>
      <c r="S788" s="74"/>
      <c r="T788" s="7"/>
      <c r="U788" s="7"/>
      <c r="V788" s="74"/>
      <c r="W788" s="74"/>
      <c r="X788" s="74"/>
      <c r="Y788" s="227"/>
      <c r="Z788" s="228"/>
      <c r="AA788" s="74"/>
      <c r="AB788" s="74"/>
      <c r="AC788" s="74"/>
      <c r="AD788" s="74"/>
      <c r="AE788" s="7"/>
      <c r="AF788" s="74"/>
      <c r="AG788" s="74"/>
      <c r="AH788" s="7"/>
      <c r="AI788" s="7"/>
      <c r="AJ788" s="7"/>
      <c r="AK788" s="7"/>
      <c r="AL788" s="7"/>
      <c r="AM788" s="7"/>
      <c r="AN788" s="7"/>
      <c r="AO788" s="74"/>
      <c r="AP788" s="7"/>
      <c r="AQ788" s="74"/>
      <c r="AR788" s="101"/>
      <c r="AS788" s="7"/>
      <c r="AT788" s="101"/>
      <c r="AU788" s="7"/>
      <c r="AV788" s="101"/>
      <c r="AW788" s="7"/>
      <c r="AX788" s="8"/>
      <c r="AY788" s="36"/>
      <c r="AZ788" s="74"/>
      <c r="BA788" s="74"/>
      <c r="BB788" s="74"/>
      <c r="BC788" s="74"/>
      <c r="BD788" s="74"/>
      <c r="BE788" s="74"/>
      <c r="BF788" s="74"/>
      <c r="BG788" s="74"/>
      <c r="BH788" s="74"/>
      <c r="BI788" s="74"/>
      <c r="BJ788" s="74"/>
      <c r="BK788" s="7"/>
      <c r="BL788" s="74"/>
      <c r="BM788" s="7"/>
      <c r="BN788" s="74"/>
      <c r="BO788" s="74"/>
      <c r="BP788" s="74"/>
      <c r="BQ788" s="74"/>
      <c r="BR788" s="74"/>
      <c r="BS788" s="74"/>
      <c r="BT788" s="74"/>
      <c r="BU788" s="74"/>
      <c r="BV788" s="74"/>
      <c r="BW788" s="74"/>
      <c r="BX788" s="74"/>
      <c r="BY788" s="74"/>
      <c r="BZ788" s="74"/>
      <c r="CA788" s="74"/>
      <c r="CB788" s="74"/>
      <c r="CC788" s="74"/>
      <c r="CD788" s="74"/>
      <c r="CE788" s="7"/>
      <c r="CF788" s="74"/>
      <c r="CG788" s="74"/>
      <c r="CH788" s="7"/>
      <c r="CI788" s="74"/>
      <c r="CJ788" s="74"/>
      <c r="CK788" s="101"/>
      <c r="CL788" s="74"/>
      <c r="CM788" s="74"/>
      <c r="CN788" s="74"/>
      <c r="CO788" s="101"/>
      <c r="CP788" s="74"/>
      <c r="CQ788" s="74"/>
      <c r="CR788" s="74"/>
      <c r="CS788" s="74"/>
      <c r="CT788" s="74"/>
      <c r="CU788" s="74"/>
      <c r="CV788" s="74"/>
      <c r="CW788" s="74"/>
      <c r="CX788" s="74"/>
      <c r="CY788" s="74"/>
      <c r="CZ788" s="74"/>
      <c r="DA788" s="74"/>
      <c r="DB788" s="74"/>
      <c r="DC788" s="74"/>
      <c r="DD788" s="74"/>
      <c r="DE788" s="74"/>
      <c r="DF788" s="74"/>
      <c r="DG788" s="74"/>
      <c r="DH788" s="74"/>
      <c r="DI788" s="74"/>
      <c r="DJ788" s="74"/>
      <c r="DK788" s="74"/>
      <c r="DL788" s="74"/>
      <c r="DM788" s="74"/>
      <c r="DN788" s="74"/>
      <c r="DO788" s="74"/>
      <c r="DP788" s="74"/>
      <c r="DQ788" s="74"/>
      <c r="DR788" s="74"/>
      <c r="DS788" s="74"/>
      <c r="DT788" s="74"/>
      <c r="DU788" s="74"/>
      <c r="DV788" s="74"/>
      <c r="DW788" s="74"/>
      <c r="DX788" s="74"/>
      <c r="DY788" s="74"/>
      <c r="DZ788" s="8">
        <f t="shared" si="208"/>
        <v>0</v>
      </c>
      <c r="EA788" s="3">
        <f t="shared" si="209"/>
        <v>0</v>
      </c>
      <c r="EB788" s="2">
        <f t="shared" si="210"/>
        <v>0</v>
      </c>
      <c r="EC788" s="112">
        <f t="shared" si="218"/>
        <v>0</v>
      </c>
      <c r="ED788" s="29">
        <f t="shared" si="211"/>
        <v>0</v>
      </c>
      <c r="EE788" s="2">
        <f t="shared" si="212"/>
        <v>0</v>
      </c>
      <c r="EF788" s="46">
        <f t="shared" si="213"/>
        <v>0</v>
      </c>
      <c r="EG788" s="46">
        <f t="shared" si="214"/>
        <v>0</v>
      </c>
      <c r="EH788" s="29">
        <f t="shared" si="215"/>
        <v>0</v>
      </c>
      <c r="EI788" s="29">
        <f>IF(COUNT(I788:AD788)&lt;5,DZ788,SUMPRODUCT(LARGE(I788:AD788,{1,2,3,4,5}))/5)</f>
        <v>0</v>
      </c>
      <c r="EJ788" s="29">
        <f>IF(COUNT(I788:BE788)&lt;5,DZ788,SUMPRODUCT(LARGE(I788:BE788,{1,2,3,4,5}))/5)</f>
        <v>0</v>
      </c>
      <c r="EK788" s="29">
        <f t="shared" si="217"/>
        <v>0</v>
      </c>
      <c r="EL788" s="29">
        <f t="shared" si="219"/>
        <v>0</v>
      </c>
      <c r="EM788" s="116">
        <f t="shared" si="216"/>
        <v>0</v>
      </c>
      <c r="EQ788"/>
    </row>
    <row r="789" spans="1:147" x14ac:dyDescent="0.25">
      <c r="A789" s="59"/>
      <c r="B789" s="4"/>
      <c r="C789" s="5"/>
      <c r="D789" s="6"/>
      <c r="E789" s="6"/>
      <c r="F789" s="6"/>
      <c r="G789" s="5"/>
      <c r="H789" s="99"/>
      <c r="I789" s="107"/>
      <c r="J789" s="7"/>
      <c r="K789" s="74"/>
      <c r="L789" s="7"/>
      <c r="M789" s="74"/>
      <c r="N789" s="74"/>
      <c r="O789" s="7"/>
      <c r="P789" s="74"/>
      <c r="Q789" s="7"/>
      <c r="R789" s="74"/>
      <c r="S789" s="74"/>
      <c r="T789" s="7"/>
      <c r="U789" s="7"/>
      <c r="V789" s="74"/>
      <c r="W789" s="74"/>
      <c r="X789" s="74"/>
      <c r="Y789" s="227"/>
      <c r="Z789" s="228"/>
      <c r="AA789" s="74"/>
      <c r="AB789" s="74"/>
      <c r="AC789" s="74"/>
      <c r="AD789" s="74"/>
      <c r="AE789" s="7"/>
      <c r="AF789" s="74"/>
      <c r="AG789" s="74"/>
      <c r="AH789" s="7"/>
      <c r="AI789" s="7"/>
      <c r="AJ789" s="7"/>
      <c r="AK789" s="7"/>
      <c r="AL789" s="7"/>
      <c r="AM789" s="7"/>
      <c r="AN789" s="7"/>
      <c r="AO789" s="74"/>
      <c r="AP789" s="7"/>
      <c r="AQ789" s="74"/>
      <c r="AR789" s="101"/>
      <c r="AS789" s="7"/>
      <c r="AT789" s="101"/>
      <c r="AU789" s="7"/>
      <c r="AV789" s="101"/>
      <c r="AW789" s="7"/>
      <c r="AX789" s="183"/>
      <c r="AY789" s="107"/>
      <c r="AZ789" s="74"/>
      <c r="BA789" s="74"/>
      <c r="BB789" s="74"/>
      <c r="BC789" s="74"/>
      <c r="BD789" s="74"/>
      <c r="BE789" s="74"/>
      <c r="BF789" s="74"/>
      <c r="BG789" s="74"/>
      <c r="BH789" s="74"/>
      <c r="BI789" s="74"/>
      <c r="BJ789" s="74"/>
      <c r="BK789" s="7"/>
      <c r="BL789" s="74"/>
      <c r="BM789" s="7"/>
      <c r="BN789" s="74"/>
      <c r="BO789" s="74"/>
      <c r="BP789" s="74"/>
      <c r="BQ789" s="74"/>
      <c r="BR789" s="74"/>
      <c r="BS789" s="74"/>
      <c r="BT789" s="74"/>
      <c r="BU789" s="74"/>
      <c r="BV789" s="74"/>
      <c r="BW789" s="74"/>
      <c r="BX789" s="74"/>
      <c r="BY789" s="74"/>
      <c r="BZ789" s="74"/>
      <c r="CA789" s="74"/>
      <c r="CB789" s="74"/>
      <c r="CC789" s="74"/>
      <c r="CD789" s="74"/>
      <c r="CE789" s="7"/>
      <c r="CF789" s="74"/>
      <c r="CG789" s="74"/>
      <c r="CH789" s="7"/>
      <c r="CI789" s="74"/>
      <c r="CJ789" s="74"/>
      <c r="CK789" s="101"/>
      <c r="CL789" s="74"/>
      <c r="CM789" s="74"/>
      <c r="CN789" s="74"/>
      <c r="CO789" s="101"/>
      <c r="CP789" s="74"/>
      <c r="CQ789" s="74"/>
      <c r="CR789" s="74"/>
      <c r="CS789" s="74"/>
      <c r="CT789" s="74"/>
      <c r="CU789" s="74"/>
      <c r="CV789" s="74"/>
      <c r="CW789" s="74"/>
      <c r="CX789" s="74"/>
      <c r="CY789" s="74"/>
      <c r="CZ789" s="74"/>
      <c r="DA789" s="74"/>
      <c r="DB789" s="74"/>
      <c r="DC789" s="74"/>
      <c r="DD789" s="74"/>
      <c r="DE789" s="74"/>
      <c r="DF789" s="74"/>
      <c r="DG789" s="74"/>
      <c r="DH789" s="74"/>
      <c r="DI789" s="74"/>
      <c r="DJ789" s="74"/>
      <c r="DK789" s="74"/>
      <c r="DL789" s="74"/>
      <c r="DM789" s="74"/>
      <c r="DN789" s="74"/>
      <c r="DO789" s="74"/>
      <c r="DP789" s="74"/>
      <c r="DQ789" s="74"/>
      <c r="DR789" s="74"/>
      <c r="DS789" s="74"/>
      <c r="DT789" s="74"/>
      <c r="DU789" s="74"/>
      <c r="DV789" s="74"/>
      <c r="DW789" s="74"/>
      <c r="DX789" s="74"/>
      <c r="DY789" s="74"/>
      <c r="DZ789" s="8">
        <f t="shared" si="208"/>
        <v>0</v>
      </c>
      <c r="EA789" s="3">
        <f t="shared" si="209"/>
        <v>0</v>
      </c>
      <c r="EB789" s="2">
        <f t="shared" si="210"/>
        <v>0</v>
      </c>
      <c r="EC789" s="112">
        <f t="shared" si="218"/>
        <v>0</v>
      </c>
      <c r="ED789" s="29">
        <f t="shared" si="211"/>
        <v>0</v>
      </c>
      <c r="EE789" s="2">
        <f t="shared" si="212"/>
        <v>0</v>
      </c>
      <c r="EF789" s="46">
        <f t="shared" si="213"/>
        <v>0</v>
      </c>
      <c r="EG789" s="46">
        <f t="shared" si="214"/>
        <v>0</v>
      </c>
      <c r="EH789" s="29">
        <f t="shared" si="215"/>
        <v>0</v>
      </c>
      <c r="EI789" s="29">
        <f>IF(COUNT(I789:AD789)&lt;5,DZ789,SUMPRODUCT(LARGE(I789:AD789,{1,2,3,4,5}))/5)</f>
        <v>0</v>
      </c>
      <c r="EJ789" s="29">
        <f>IF(COUNT(I789:BE789)&lt;5,DZ789,SUMPRODUCT(LARGE(I789:BE789,{1,2,3,4,5}))/5)</f>
        <v>0</v>
      </c>
      <c r="EK789" s="29">
        <f t="shared" si="217"/>
        <v>0</v>
      </c>
      <c r="EL789" s="29">
        <f t="shared" si="219"/>
        <v>0</v>
      </c>
      <c r="EM789" s="116">
        <f t="shared" si="216"/>
        <v>0</v>
      </c>
      <c r="EQ789"/>
    </row>
    <row r="790" spans="1:147" x14ac:dyDescent="0.25">
      <c r="A790" s="59"/>
      <c r="B790" s="32"/>
      <c r="C790" s="5"/>
      <c r="D790" s="6"/>
      <c r="E790" s="6"/>
      <c r="F790" s="6"/>
      <c r="G790" s="5"/>
      <c r="H790" s="37"/>
      <c r="I790" s="36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227"/>
      <c r="Z790" s="228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4"/>
      <c r="AP790" s="7"/>
      <c r="AQ790" s="74"/>
      <c r="AR790" s="70"/>
      <c r="AS790" s="7"/>
      <c r="AT790" s="70"/>
      <c r="AU790" s="7"/>
      <c r="AV790" s="70"/>
      <c r="AW790" s="7"/>
      <c r="AX790" s="183"/>
      <c r="AY790" s="10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4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0"/>
      <c r="CI790" s="7"/>
      <c r="CJ790" s="7"/>
      <c r="CK790" s="101"/>
      <c r="CL790" s="74"/>
      <c r="CM790" s="101"/>
      <c r="CN790" s="74"/>
      <c r="CO790" s="70"/>
      <c r="CP790" s="74"/>
      <c r="CQ790" s="70"/>
      <c r="CR790" s="74"/>
      <c r="CS790" s="74"/>
      <c r="CT790" s="74"/>
      <c r="CU790" s="74"/>
      <c r="CV790" s="7"/>
      <c r="CW790" s="7"/>
      <c r="CX790" s="7"/>
      <c r="CY790" s="7"/>
      <c r="CZ790" s="7"/>
      <c r="DA790" s="7"/>
      <c r="DB790" s="7"/>
      <c r="DC790" s="7"/>
      <c r="DD790" s="7"/>
      <c r="DE790" s="74"/>
      <c r="DF790" s="74"/>
      <c r="DG790" s="74"/>
      <c r="DH790" s="7"/>
      <c r="DI790" s="74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8">
        <f t="shared" si="208"/>
        <v>0</v>
      </c>
      <c r="EA790" s="22">
        <f t="shared" si="209"/>
        <v>0</v>
      </c>
      <c r="EB790" s="56">
        <f t="shared" si="210"/>
        <v>0</v>
      </c>
      <c r="EC790" s="112">
        <f t="shared" si="218"/>
        <v>0</v>
      </c>
      <c r="ED790" s="112">
        <f t="shared" si="211"/>
        <v>0</v>
      </c>
      <c r="EE790" s="56">
        <f t="shared" si="212"/>
        <v>0</v>
      </c>
      <c r="EF790" s="111">
        <f t="shared" si="213"/>
        <v>0</v>
      </c>
      <c r="EG790" s="111">
        <f t="shared" si="214"/>
        <v>0</v>
      </c>
      <c r="EH790" s="56">
        <f t="shared" si="215"/>
        <v>0</v>
      </c>
      <c r="EI790" s="112">
        <f>IF(COUNT(I790:AD790)&lt;5,DZ790,SUMPRODUCT(LARGE(I790:AD790,{1,2,3,4,5}))/5)</f>
        <v>0</v>
      </c>
      <c r="EJ790" s="112">
        <f>IF(COUNT(I790:BE790)&lt;5,DZ790,SUMPRODUCT(LARGE(I790:BE790,{1,2,3,4,5}))/5)</f>
        <v>0</v>
      </c>
      <c r="EK790" s="29">
        <f t="shared" si="217"/>
        <v>0</v>
      </c>
      <c r="EL790" s="112">
        <f t="shared" si="219"/>
        <v>0</v>
      </c>
      <c r="EM790" s="116">
        <f t="shared" si="216"/>
        <v>0</v>
      </c>
      <c r="EQ790"/>
    </row>
    <row r="791" spans="1:147" x14ac:dyDescent="0.25">
      <c r="A791" s="59"/>
      <c r="B791" s="32"/>
      <c r="C791" s="5"/>
      <c r="D791" s="6"/>
      <c r="E791" s="6"/>
      <c r="F791" s="6"/>
      <c r="G791" s="5"/>
      <c r="H791" s="99"/>
      <c r="I791" s="36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227"/>
      <c r="Z791" s="228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4"/>
      <c r="AP791" s="7"/>
      <c r="AQ791" s="74"/>
      <c r="AR791" s="70"/>
      <c r="AS791" s="7"/>
      <c r="AT791" s="70"/>
      <c r="AU791" s="7"/>
      <c r="AV791" s="70"/>
      <c r="AW791" s="7"/>
      <c r="AX791" s="183"/>
      <c r="AY791" s="10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4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0"/>
      <c r="CI791" s="7"/>
      <c r="CJ791" s="7"/>
      <c r="CK791" s="101"/>
      <c r="CL791" s="74"/>
      <c r="CM791" s="74"/>
      <c r="CN791" s="74"/>
      <c r="CO791" s="70"/>
      <c r="CP791" s="74"/>
      <c r="CQ791" s="7"/>
      <c r="CR791" s="74"/>
      <c r="CS791" s="74"/>
      <c r="CT791" s="74"/>
      <c r="CU791" s="74"/>
      <c r="CV791" s="7"/>
      <c r="CW791" s="7"/>
      <c r="CX791" s="7"/>
      <c r="CY791" s="7"/>
      <c r="CZ791" s="7"/>
      <c r="DA791" s="7"/>
      <c r="DB791" s="7"/>
      <c r="DC791" s="7"/>
      <c r="DD791" s="7"/>
      <c r="DE791" s="74"/>
      <c r="DF791" s="74"/>
      <c r="DG791" s="74"/>
      <c r="DH791" s="7"/>
      <c r="DI791" s="74"/>
      <c r="DJ791" s="7"/>
      <c r="DK791" s="7"/>
      <c r="DL791" s="74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8">
        <f t="shared" si="208"/>
        <v>0</v>
      </c>
      <c r="EA791" s="3">
        <f t="shared" si="209"/>
        <v>0</v>
      </c>
      <c r="EB791" s="2">
        <f t="shared" si="210"/>
        <v>0</v>
      </c>
      <c r="EC791" s="112">
        <f t="shared" si="218"/>
        <v>0</v>
      </c>
      <c r="ED791" s="29">
        <f t="shared" si="211"/>
        <v>0</v>
      </c>
      <c r="EE791" s="2">
        <f t="shared" si="212"/>
        <v>0</v>
      </c>
      <c r="EF791" s="46">
        <f t="shared" si="213"/>
        <v>0</v>
      </c>
      <c r="EG791" s="46">
        <f t="shared" si="214"/>
        <v>0</v>
      </c>
      <c r="EH791" s="2">
        <f t="shared" si="215"/>
        <v>0</v>
      </c>
      <c r="EI791" s="29">
        <f>IF(COUNT(I791:AD791)&lt;5,DZ791,SUMPRODUCT(LARGE(I791:AD791,{1,2,3,4,5}))/5)</f>
        <v>0</v>
      </c>
      <c r="EJ791" s="29">
        <f>IF(COUNT(I791:BE791)&lt;5,DZ791,SUMPRODUCT(LARGE(I791:BE791,{1,2,3,4,5}))/5)</f>
        <v>0</v>
      </c>
      <c r="EK791" s="29">
        <f t="shared" si="217"/>
        <v>0</v>
      </c>
      <c r="EL791" s="29">
        <f t="shared" si="219"/>
        <v>0</v>
      </c>
      <c r="EM791" s="116">
        <f t="shared" si="216"/>
        <v>0</v>
      </c>
      <c r="EQ791"/>
    </row>
    <row r="792" spans="1:147" x14ac:dyDescent="0.25">
      <c r="A792" s="59"/>
      <c r="B792" s="32"/>
      <c r="C792" s="5"/>
      <c r="D792" s="6"/>
      <c r="E792" s="6"/>
      <c r="F792" s="6"/>
      <c r="G792" s="5"/>
      <c r="H792" s="99"/>
      <c r="I792" s="36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227"/>
      <c r="Z792" s="228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4"/>
      <c r="AP792" s="7"/>
      <c r="AQ792" s="74"/>
      <c r="AR792" s="70"/>
      <c r="AS792" s="7"/>
      <c r="AT792" s="70"/>
      <c r="AU792" s="7"/>
      <c r="AV792" s="70"/>
      <c r="AW792" s="7"/>
      <c r="AX792" s="183"/>
      <c r="AY792" s="10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4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101"/>
      <c r="CL792" s="74"/>
      <c r="CM792" s="74"/>
      <c r="CN792" s="74"/>
      <c r="CO792" s="70"/>
      <c r="CP792" s="74"/>
      <c r="CQ792" s="7"/>
      <c r="CR792" s="74"/>
      <c r="CS792" s="74"/>
      <c r="CT792" s="74"/>
      <c r="CU792" s="74"/>
      <c r="CV792" s="7"/>
      <c r="CW792" s="7"/>
      <c r="CX792" s="7"/>
      <c r="CY792" s="7"/>
      <c r="CZ792" s="7"/>
      <c r="DA792" s="7"/>
      <c r="DB792" s="7"/>
      <c r="DC792" s="7"/>
      <c r="DD792" s="7"/>
      <c r="DE792" s="74"/>
      <c r="DF792" s="74"/>
      <c r="DG792" s="74"/>
      <c r="DH792" s="7"/>
      <c r="DI792" s="74"/>
      <c r="DJ792" s="7"/>
      <c r="DK792" s="7"/>
      <c r="DL792" s="74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8">
        <f t="shared" si="208"/>
        <v>0</v>
      </c>
      <c r="EA792" s="3">
        <f t="shared" si="209"/>
        <v>0</v>
      </c>
      <c r="EB792" s="2">
        <f t="shared" si="210"/>
        <v>0</v>
      </c>
      <c r="EC792" s="112">
        <f t="shared" si="218"/>
        <v>0</v>
      </c>
      <c r="ED792" s="29">
        <f t="shared" si="211"/>
        <v>0</v>
      </c>
      <c r="EE792" s="2">
        <f t="shared" si="212"/>
        <v>0</v>
      </c>
      <c r="EF792" s="46">
        <f t="shared" si="213"/>
        <v>0</v>
      </c>
      <c r="EG792" s="46">
        <f t="shared" si="214"/>
        <v>0</v>
      </c>
      <c r="EH792" s="2">
        <f t="shared" si="215"/>
        <v>0</v>
      </c>
      <c r="EI792" s="29">
        <f>IF(COUNT(I792:AD792)&lt;5,DZ792,SUMPRODUCT(LARGE(I792:AD792,{1,2,3,4,5}))/5)</f>
        <v>0</v>
      </c>
      <c r="EJ792" s="29">
        <f>IF(COUNT(I792:BE792)&lt;5,DZ792,SUMPRODUCT(LARGE(I792:BE792,{1,2,3,4,5}))/5)</f>
        <v>0</v>
      </c>
      <c r="EK792" s="29">
        <f t="shared" si="217"/>
        <v>0</v>
      </c>
      <c r="EL792" s="29">
        <f t="shared" si="219"/>
        <v>0</v>
      </c>
      <c r="EM792" s="116">
        <f t="shared" si="216"/>
        <v>0</v>
      </c>
      <c r="EQ792"/>
    </row>
    <row r="793" spans="1:147" x14ac:dyDescent="0.25">
      <c r="A793" s="59"/>
      <c r="B793" s="32"/>
      <c r="C793" s="5"/>
      <c r="D793" s="6"/>
      <c r="E793" s="6"/>
      <c r="F793" s="6"/>
      <c r="G793" s="5"/>
      <c r="H793" s="37"/>
      <c r="I793" s="107"/>
      <c r="J793" s="7"/>
      <c r="K793" s="74"/>
      <c r="L793" s="7"/>
      <c r="M793" s="74"/>
      <c r="N793" s="74"/>
      <c r="O793" s="7"/>
      <c r="P793" s="74"/>
      <c r="Q793" s="7"/>
      <c r="R793" s="74"/>
      <c r="S793" s="74"/>
      <c r="T793" s="7"/>
      <c r="U793" s="7"/>
      <c r="V793" s="74"/>
      <c r="W793" s="7"/>
      <c r="X793" s="74"/>
      <c r="Y793" s="227"/>
      <c r="Z793" s="228"/>
      <c r="AA793" s="74"/>
      <c r="AB793" s="74"/>
      <c r="AC793" s="74"/>
      <c r="AD793" s="74"/>
      <c r="AE793" s="7"/>
      <c r="AF793" s="74"/>
      <c r="AG793" s="74"/>
      <c r="AH793" s="7"/>
      <c r="AI793" s="7"/>
      <c r="AJ793" s="7"/>
      <c r="AK793" s="7"/>
      <c r="AL793" s="7"/>
      <c r="AM793" s="7"/>
      <c r="AN793" s="7"/>
      <c r="AO793" s="74"/>
      <c r="AP793" s="7"/>
      <c r="AQ793" s="74"/>
      <c r="AR793" s="101"/>
      <c r="AS793" s="7"/>
      <c r="AT793" s="101"/>
      <c r="AU793" s="7"/>
      <c r="AV793" s="101"/>
      <c r="AW793" s="7"/>
      <c r="AX793" s="8"/>
      <c r="AY793" s="36"/>
      <c r="AZ793" s="74"/>
      <c r="BA793" s="74"/>
      <c r="BB793" s="74"/>
      <c r="BC793" s="74"/>
      <c r="BD793" s="74"/>
      <c r="BE793" s="74"/>
      <c r="BF793" s="74"/>
      <c r="BG793" s="74"/>
      <c r="BH793" s="74"/>
      <c r="BI793" s="74"/>
      <c r="BJ793" s="74"/>
      <c r="BK793" s="7"/>
      <c r="BL793" s="74"/>
      <c r="BM793" s="7"/>
      <c r="BN793" s="74"/>
      <c r="BO793" s="74"/>
      <c r="BP793" s="74"/>
      <c r="BQ793" s="74"/>
      <c r="BR793" s="74"/>
      <c r="BS793" s="74"/>
      <c r="BT793" s="74"/>
      <c r="BU793" s="74"/>
      <c r="BV793" s="74"/>
      <c r="BW793" s="74"/>
      <c r="BX793" s="74"/>
      <c r="BY793" s="74"/>
      <c r="BZ793" s="74"/>
      <c r="CA793" s="74"/>
      <c r="CB793" s="74"/>
      <c r="CC793" s="74"/>
      <c r="CD793" s="74"/>
      <c r="CE793" s="7"/>
      <c r="CF793" s="74"/>
      <c r="CG793" s="74"/>
      <c r="CH793" s="7"/>
      <c r="CI793" s="101"/>
      <c r="CJ793" s="74"/>
      <c r="CK793" s="101"/>
      <c r="CL793" s="74"/>
      <c r="CM793" s="74"/>
      <c r="CN793" s="74"/>
      <c r="CO793" s="101"/>
      <c r="CP793" s="74"/>
      <c r="CQ793" s="74"/>
      <c r="CR793" s="74"/>
      <c r="CS793" s="74"/>
      <c r="CT793" s="74"/>
      <c r="CU793" s="74"/>
      <c r="CV793" s="74"/>
      <c r="CW793" s="74"/>
      <c r="CX793" s="74"/>
      <c r="CY793" s="74"/>
      <c r="CZ793" s="74"/>
      <c r="DA793" s="74"/>
      <c r="DB793" s="74"/>
      <c r="DC793" s="74"/>
      <c r="DD793" s="74"/>
      <c r="DE793" s="74"/>
      <c r="DF793" s="74"/>
      <c r="DG793" s="74"/>
      <c r="DH793" s="74"/>
      <c r="DI793" s="74"/>
      <c r="DJ793" s="74"/>
      <c r="DK793" s="74"/>
      <c r="DL793" s="74"/>
      <c r="DM793" s="74"/>
      <c r="DN793" s="74"/>
      <c r="DO793" s="74"/>
      <c r="DP793" s="74"/>
      <c r="DQ793" s="74"/>
      <c r="DR793" s="74"/>
      <c r="DS793" s="74"/>
      <c r="DT793" s="74"/>
      <c r="DU793" s="74"/>
      <c r="DV793" s="74"/>
      <c r="DW793" s="74"/>
      <c r="DX793" s="74"/>
      <c r="DY793" s="74"/>
      <c r="DZ793" s="8">
        <f t="shared" si="208"/>
        <v>0</v>
      </c>
      <c r="EA793" s="3">
        <f t="shared" si="209"/>
        <v>0</v>
      </c>
      <c r="EB793" s="2">
        <f t="shared" si="210"/>
        <v>0</v>
      </c>
      <c r="EC793" s="112">
        <f t="shared" si="218"/>
        <v>0</v>
      </c>
      <c r="ED793" s="29">
        <f t="shared" si="211"/>
        <v>0</v>
      </c>
      <c r="EE793" s="2">
        <f t="shared" si="212"/>
        <v>0</v>
      </c>
      <c r="EF793" s="46">
        <f t="shared" si="213"/>
        <v>0</v>
      </c>
      <c r="EG793" s="46">
        <f t="shared" si="214"/>
        <v>0</v>
      </c>
      <c r="EH793" s="2">
        <f t="shared" si="215"/>
        <v>0</v>
      </c>
      <c r="EI793" s="29">
        <f>IF(COUNT(I793:AD793)&lt;5,DZ793,SUMPRODUCT(LARGE(I793:AD793,{1,2,3,4,5}))/5)</f>
        <v>0</v>
      </c>
      <c r="EJ793" s="29">
        <f>IF(COUNT(I793:BE793)&lt;5,DZ793,SUMPRODUCT(LARGE(I793:BE793,{1,2,3,4,5}))/5)</f>
        <v>0</v>
      </c>
      <c r="EK793" s="29">
        <f t="shared" si="217"/>
        <v>0</v>
      </c>
      <c r="EL793" s="29">
        <f t="shared" si="219"/>
        <v>0</v>
      </c>
      <c r="EM793" s="116">
        <f t="shared" si="216"/>
        <v>0</v>
      </c>
      <c r="EQ793"/>
    </row>
    <row r="794" spans="1:147" x14ac:dyDescent="0.25">
      <c r="A794" s="59"/>
      <c r="B794" s="4"/>
      <c r="C794" s="5"/>
      <c r="D794" s="5"/>
      <c r="E794" s="6"/>
      <c r="F794" s="6"/>
      <c r="G794" s="5"/>
      <c r="H794" s="99"/>
      <c r="I794" s="36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227"/>
      <c r="Z794" s="228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4"/>
      <c r="AP794" s="7"/>
      <c r="AQ794" s="74"/>
      <c r="AR794" s="70"/>
      <c r="AS794" s="7"/>
      <c r="AT794" s="70"/>
      <c r="AU794" s="7"/>
      <c r="AV794" s="70"/>
      <c r="AW794" s="7"/>
      <c r="AX794" s="8"/>
      <c r="AY794" s="36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4"/>
      <c r="BK794" s="7"/>
      <c r="BL794" s="74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101"/>
      <c r="CL794" s="74"/>
      <c r="CM794" s="74"/>
      <c r="CN794" s="74"/>
      <c r="CO794" s="70"/>
      <c r="CP794" s="74"/>
      <c r="CQ794" s="7"/>
      <c r="CR794" s="74"/>
      <c r="CS794" s="74"/>
      <c r="CT794" s="74"/>
      <c r="CU794" s="74"/>
      <c r="CV794" s="74"/>
      <c r="CW794" s="7"/>
      <c r="CX794" s="7"/>
      <c r="CY794" s="7"/>
      <c r="CZ794" s="7"/>
      <c r="DA794" s="7"/>
      <c r="DB794" s="7"/>
      <c r="DC794" s="7"/>
      <c r="DD794" s="7"/>
      <c r="DE794" s="74"/>
      <c r="DF794" s="74"/>
      <c r="DG794" s="74"/>
      <c r="DH794" s="74"/>
      <c r="DI794" s="74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8">
        <f t="shared" si="208"/>
        <v>0</v>
      </c>
      <c r="EA794" s="3">
        <f t="shared" si="209"/>
        <v>0</v>
      </c>
      <c r="EB794" s="2">
        <f t="shared" si="210"/>
        <v>0</v>
      </c>
      <c r="EC794" s="112">
        <f t="shared" si="218"/>
        <v>0</v>
      </c>
      <c r="ED794" s="29">
        <f t="shared" si="211"/>
        <v>0</v>
      </c>
      <c r="EE794" s="2">
        <f t="shared" si="212"/>
        <v>0</v>
      </c>
      <c r="EF794" s="46">
        <f t="shared" si="213"/>
        <v>0</v>
      </c>
      <c r="EG794" s="46">
        <f t="shared" si="214"/>
        <v>0</v>
      </c>
      <c r="EH794" s="2">
        <f t="shared" si="215"/>
        <v>0</v>
      </c>
      <c r="EI794" s="29">
        <f>IF(COUNT(I794:AD794)&lt;5,DZ794,SUMPRODUCT(LARGE(I794:AD794,{1,2,3,4,5}))/5)</f>
        <v>0</v>
      </c>
      <c r="EJ794" s="29">
        <f>IF(COUNT(I794:BE794)&lt;5,DZ794,SUMPRODUCT(LARGE(I794:BE794,{1,2,3,4,5}))/5)</f>
        <v>0</v>
      </c>
      <c r="EK794" s="29">
        <f t="shared" si="217"/>
        <v>0</v>
      </c>
      <c r="EL794" s="29">
        <f t="shared" si="219"/>
        <v>0</v>
      </c>
      <c r="EM794" s="116">
        <f t="shared" si="216"/>
        <v>0</v>
      </c>
      <c r="EQ794"/>
    </row>
    <row r="795" spans="1:147" x14ac:dyDescent="0.25">
      <c r="A795" s="59"/>
      <c r="B795" s="32"/>
      <c r="C795" s="5"/>
      <c r="D795" s="6"/>
      <c r="E795" s="6"/>
      <c r="F795" s="6"/>
      <c r="G795" s="5"/>
      <c r="H795" s="37"/>
      <c r="I795" s="36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227"/>
      <c r="Z795" s="228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4"/>
      <c r="AP795" s="7"/>
      <c r="AQ795" s="74"/>
      <c r="AR795" s="70"/>
      <c r="AS795" s="7"/>
      <c r="AT795" s="70"/>
      <c r="AU795" s="7"/>
      <c r="AV795" s="70"/>
      <c r="AW795" s="7"/>
      <c r="AX795" s="8"/>
      <c r="AY795" s="36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4"/>
      <c r="BK795" s="7"/>
      <c r="BL795" s="74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101"/>
      <c r="CL795" s="74"/>
      <c r="CM795" s="74"/>
      <c r="CN795" s="74"/>
      <c r="CO795" s="70"/>
      <c r="CP795" s="74"/>
      <c r="CQ795" s="7"/>
      <c r="CR795" s="74"/>
      <c r="CS795" s="74"/>
      <c r="CT795" s="74"/>
      <c r="CU795" s="74"/>
      <c r="CV795" s="74"/>
      <c r="CW795" s="7"/>
      <c r="CX795" s="7"/>
      <c r="CY795" s="7"/>
      <c r="CZ795" s="7"/>
      <c r="DA795" s="7"/>
      <c r="DB795" s="7"/>
      <c r="DC795" s="7"/>
      <c r="DD795" s="7"/>
      <c r="DE795" s="74"/>
      <c r="DF795" s="74"/>
      <c r="DG795" s="74"/>
      <c r="DH795" s="74"/>
      <c r="DI795" s="74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8">
        <f t="shared" si="208"/>
        <v>0</v>
      </c>
      <c r="EA795" s="3">
        <f t="shared" si="209"/>
        <v>0</v>
      </c>
      <c r="EB795" s="2">
        <f t="shared" si="210"/>
        <v>0</v>
      </c>
      <c r="EC795" s="112">
        <f t="shared" si="218"/>
        <v>0</v>
      </c>
      <c r="ED795" s="29">
        <f t="shared" si="211"/>
        <v>0</v>
      </c>
      <c r="EE795" s="2">
        <f t="shared" si="212"/>
        <v>0</v>
      </c>
      <c r="EF795" s="46">
        <f t="shared" si="213"/>
        <v>0</v>
      </c>
      <c r="EG795" s="46">
        <f t="shared" si="214"/>
        <v>0</v>
      </c>
      <c r="EH795" s="2">
        <f t="shared" si="215"/>
        <v>0</v>
      </c>
      <c r="EI795" s="29">
        <f>IF(COUNT(I795:AD795)&lt;5,DZ795,SUMPRODUCT(LARGE(I795:AD795,{1,2,3,4,5}))/5)</f>
        <v>0</v>
      </c>
      <c r="EJ795" s="29">
        <f>IF(COUNT(I795:BE795)&lt;5,DZ795,SUMPRODUCT(LARGE(I795:BE795,{1,2,3,4,5}))/5)</f>
        <v>0</v>
      </c>
      <c r="EK795" s="29">
        <f t="shared" si="217"/>
        <v>0</v>
      </c>
      <c r="EL795" s="29">
        <f t="shared" si="219"/>
        <v>0</v>
      </c>
      <c r="EM795" s="116">
        <f t="shared" si="216"/>
        <v>0</v>
      </c>
      <c r="EQ795"/>
    </row>
    <row r="796" spans="1:147" x14ac:dyDescent="0.25">
      <c r="A796" s="59"/>
      <c r="B796" s="32"/>
      <c r="C796" s="5"/>
      <c r="D796" s="6"/>
      <c r="E796" s="6"/>
      <c r="F796" s="6"/>
      <c r="G796" s="5"/>
      <c r="H796" s="37"/>
      <c r="I796" s="107"/>
      <c r="J796" s="7"/>
      <c r="K796" s="74"/>
      <c r="L796" s="7"/>
      <c r="M796" s="74"/>
      <c r="N796" s="74"/>
      <c r="O796" s="7"/>
      <c r="P796" s="74"/>
      <c r="Q796" s="7"/>
      <c r="R796" s="74"/>
      <c r="S796" s="74"/>
      <c r="T796" s="7"/>
      <c r="U796" s="7"/>
      <c r="V796" s="74"/>
      <c r="W796" s="74"/>
      <c r="X796" s="74"/>
      <c r="Y796" s="227"/>
      <c r="Z796" s="228"/>
      <c r="AA796" s="74"/>
      <c r="AB796" s="74"/>
      <c r="AC796" s="74"/>
      <c r="AD796" s="74"/>
      <c r="AE796" s="7"/>
      <c r="AF796" s="74"/>
      <c r="AG796" s="74"/>
      <c r="AH796" s="7"/>
      <c r="AI796" s="7"/>
      <c r="AJ796" s="7"/>
      <c r="AK796" s="7"/>
      <c r="AL796" s="7"/>
      <c r="AM796" s="7"/>
      <c r="AN796" s="7"/>
      <c r="AO796" s="74"/>
      <c r="AP796" s="7"/>
      <c r="AQ796" s="74"/>
      <c r="AR796" s="101"/>
      <c r="AS796" s="7"/>
      <c r="AT796" s="101"/>
      <c r="AU796" s="7"/>
      <c r="AV796" s="101"/>
      <c r="AW796" s="7"/>
      <c r="AX796" s="183"/>
      <c r="AY796" s="107"/>
      <c r="AZ796" s="74"/>
      <c r="BA796" s="74"/>
      <c r="BB796" s="74"/>
      <c r="BC796" s="74"/>
      <c r="BD796" s="74"/>
      <c r="BE796" s="74"/>
      <c r="BF796" s="74"/>
      <c r="BG796" s="74"/>
      <c r="BH796" s="74"/>
      <c r="BI796" s="74"/>
      <c r="BJ796" s="74"/>
      <c r="BK796" s="7"/>
      <c r="BL796" s="74"/>
      <c r="BM796" s="7"/>
      <c r="BN796" s="74"/>
      <c r="BO796" s="74"/>
      <c r="BP796" s="74"/>
      <c r="BQ796" s="74"/>
      <c r="BR796" s="74"/>
      <c r="BS796" s="74"/>
      <c r="BT796" s="74"/>
      <c r="BU796" s="74"/>
      <c r="BV796" s="74"/>
      <c r="BW796" s="74"/>
      <c r="BX796" s="74"/>
      <c r="BY796" s="74"/>
      <c r="BZ796" s="74"/>
      <c r="CA796" s="74"/>
      <c r="CB796" s="74"/>
      <c r="CC796" s="74"/>
      <c r="CD796" s="74"/>
      <c r="CE796" s="7"/>
      <c r="CF796" s="74"/>
      <c r="CG796" s="74"/>
      <c r="CH796" s="7"/>
      <c r="CI796" s="74"/>
      <c r="CJ796" s="74"/>
      <c r="CK796" s="101"/>
      <c r="CL796" s="74"/>
      <c r="CM796" s="74"/>
      <c r="CN796" s="74"/>
      <c r="CO796" s="101"/>
      <c r="CP796" s="74"/>
      <c r="CQ796" s="74"/>
      <c r="CR796" s="74"/>
      <c r="CS796" s="74"/>
      <c r="CT796" s="74"/>
      <c r="CU796" s="74"/>
      <c r="CV796" s="74"/>
      <c r="CW796" s="74"/>
      <c r="CX796" s="74"/>
      <c r="CY796" s="74"/>
      <c r="CZ796" s="74"/>
      <c r="DA796" s="74"/>
      <c r="DB796" s="74"/>
      <c r="DC796" s="74"/>
      <c r="DD796" s="74"/>
      <c r="DE796" s="74"/>
      <c r="DF796" s="74"/>
      <c r="DG796" s="74"/>
      <c r="DH796" s="74"/>
      <c r="DI796" s="74"/>
      <c r="DJ796" s="74"/>
      <c r="DK796" s="74"/>
      <c r="DL796" s="74"/>
      <c r="DM796" s="74"/>
      <c r="DN796" s="74"/>
      <c r="DO796" s="74"/>
      <c r="DP796" s="74"/>
      <c r="DQ796" s="74"/>
      <c r="DR796" s="74"/>
      <c r="DS796" s="74"/>
      <c r="DT796" s="74"/>
      <c r="DU796" s="74"/>
      <c r="DV796" s="74"/>
      <c r="DW796" s="74"/>
      <c r="DX796" s="74"/>
      <c r="DY796" s="74"/>
      <c r="DZ796" s="8">
        <f t="shared" si="208"/>
        <v>0</v>
      </c>
      <c r="EA796" s="3">
        <f t="shared" si="209"/>
        <v>0</v>
      </c>
      <c r="EB796" s="2">
        <f t="shared" si="210"/>
        <v>0</v>
      </c>
      <c r="EC796" s="112">
        <f t="shared" si="218"/>
        <v>0</v>
      </c>
      <c r="ED796" s="29">
        <f t="shared" si="211"/>
        <v>0</v>
      </c>
      <c r="EE796" s="2">
        <f t="shared" si="212"/>
        <v>0</v>
      </c>
      <c r="EF796" s="46">
        <f t="shared" si="213"/>
        <v>0</v>
      </c>
      <c r="EG796" s="46">
        <f t="shared" si="214"/>
        <v>0</v>
      </c>
      <c r="EH796" s="29">
        <f t="shared" si="215"/>
        <v>0</v>
      </c>
      <c r="EI796" s="29">
        <f>IF(COUNT(I796:AD796)&lt;5,DZ796,SUMPRODUCT(LARGE(I796:AD796,{1,2,3,4,5}))/5)</f>
        <v>0</v>
      </c>
      <c r="EJ796" s="29">
        <f>IF(COUNT(I796:BE796)&lt;5,DZ796,SUMPRODUCT(LARGE(I796:BE796,{1,2,3,4,5}))/5)</f>
        <v>0</v>
      </c>
      <c r="EK796" s="29">
        <f t="shared" si="217"/>
        <v>0</v>
      </c>
      <c r="EL796" s="29">
        <f t="shared" si="219"/>
        <v>0</v>
      </c>
      <c r="EM796" s="116">
        <f t="shared" si="216"/>
        <v>0</v>
      </c>
      <c r="EQ796"/>
    </row>
    <row r="797" spans="1:147" x14ac:dyDescent="0.25">
      <c r="A797" s="59"/>
      <c r="B797" s="32"/>
      <c r="C797" s="5"/>
      <c r="D797" s="6"/>
      <c r="E797" s="6"/>
      <c r="F797" s="6"/>
      <c r="G797" s="5"/>
      <c r="H797" s="37"/>
      <c r="I797" s="107"/>
      <c r="J797" s="7"/>
      <c r="K797" s="74"/>
      <c r="L797" s="7"/>
      <c r="M797" s="74"/>
      <c r="N797" s="74"/>
      <c r="O797" s="7"/>
      <c r="P797" s="74"/>
      <c r="Q797" s="7"/>
      <c r="R797" s="74"/>
      <c r="S797" s="74"/>
      <c r="T797" s="7"/>
      <c r="U797" s="7"/>
      <c r="V797" s="74"/>
      <c r="W797" s="74"/>
      <c r="X797" s="74"/>
      <c r="Y797" s="227"/>
      <c r="Z797" s="228"/>
      <c r="AA797" s="74"/>
      <c r="AB797" s="74"/>
      <c r="AC797" s="74"/>
      <c r="AD797" s="74"/>
      <c r="AE797" s="7"/>
      <c r="AF797" s="74"/>
      <c r="AG797" s="74"/>
      <c r="AH797" s="7"/>
      <c r="AI797" s="7"/>
      <c r="AJ797" s="7"/>
      <c r="AK797" s="7"/>
      <c r="AL797" s="7"/>
      <c r="AM797" s="7"/>
      <c r="AN797" s="7"/>
      <c r="AO797" s="74"/>
      <c r="AP797" s="7"/>
      <c r="AQ797" s="74"/>
      <c r="AR797" s="101"/>
      <c r="AS797" s="7"/>
      <c r="AT797" s="101"/>
      <c r="AU797" s="7"/>
      <c r="AV797" s="101"/>
      <c r="AW797" s="7"/>
      <c r="AX797" s="8"/>
      <c r="AY797" s="36"/>
      <c r="AZ797" s="74"/>
      <c r="BA797" s="74"/>
      <c r="BB797" s="74"/>
      <c r="BC797" s="74"/>
      <c r="BD797" s="74"/>
      <c r="BE797" s="74"/>
      <c r="BF797" s="74"/>
      <c r="BG797" s="74"/>
      <c r="BH797" s="74"/>
      <c r="BI797" s="74"/>
      <c r="BJ797" s="74"/>
      <c r="BK797" s="7"/>
      <c r="BL797" s="74"/>
      <c r="BM797" s="7"/>
      <c r="BN797" s="74"/>
      <c r="BO797" s="74"/>
      <c r="BP797" s="74"/>
      <c r="BQ797" s="74"/>
      <c r="BR797" s="74"/>
      <c r="BS797" s="74"/>
      <c r="BT797" s="74"/>
      <c r="BU797" s="74"/>
      <c r="BV797" s="74"/>
      <c r="BW797" s="74"/>
      <c r="BX797" s="74"/>
      <c r="BY797" s="74"/>
      <c r="BZ797" s="74"/>
      <c r="CA797" s="74"/>
      <c r="CB797" s="74"/>
      <c r="CC797" s="74"/>
      <c r="CD797" s="74"/>
      <c r="CE797" s="7"/>
      <c r="CF797" s="74"/>
      <c r="CG797" s="74"/>
      <c r="CH797" s="7"/>
      <c r="CI797" s="74"/>
      <c r="CJ797" s="74"/>
      <c r="CK797" s="101"/>
      <c r="CL797" s="74"/>
      <c r="CM797" s="74"/>
      <c r="CN797" s="74"/>
      <c r="CO797" s="101"/>
      <c r="CP797" s="74"/>
      <c r="CQ797" s="74"/>
      <c r="CR797" s="74"/>
      <c r="CS797" s="74"/>
      <c r="CT797" s="74"/>
      <c r="CU797" s="74"/>
      <c r="CV797" s="74"/>
      <c r="CW797" s="74"/>
      <c r="CX797" s="74"/>
      <c r="CY797" s="74"/>
      <c r="CZ797" s="74"/>
      <c r="DA797" s="74"/>
      <c r="DB797" s="74"/>
      <c r="DC797" s="74"/>
      <c r="DD797" s="74"/>
      <c r="DE797" s="74"/>
      <c r="DF797" s="74"/>
      <c r="DG797" s="74"/>
      <c r="DH797" s="74"/>
      <c r="DI797" s="74"/>
      <c r="DJ797" s="74"/>
      <c r="DK797" s="74"/>
      <c r="DL797" s="74"/>
      <c r="DM797" s="74"/>
      <c r="DN797" s="74"/>
      <c r="DO797" s="74"/>
      <c r="DP797" s="74"/>
      <c r="DQ797" s="74"/>
      <c r="DR797" s="74"/>
      <c r="DS797" s="74"/>
      <c r="DT797" s="74"/>
      <c r="DU797" s="74"/>
      <c r="DV797" s="74"/>
      <c r="DW797" s="74"/>
      <c r="DX797" s="74"/>
      <c r="DY797" s="74"/>
      <c r="DZ797" s="8">
        <f t="shared" si="208"/>
        <v>0</v>
      </c>
      <c r="EA797" s="3">
        <f t="shared" si="209"/>
        <v>0</v>
      </c>
      <c r="EB797" s="2">
        <f t="shared" si="210"/>
        <v>0</v>
      </c>
      <c r="EC797" s="112">
        <f t="shared" si="218"/>
        <v>0</v>
      </c>
      <c r="ED797" s="29">
        <f t="shared" si="211"/>
        <v>0</v>
      </c>
      <c r="EE797" s="2">
        <f t="shared" si="212"/>
        <v>0</v>
      </c>
      <c r="EF797" s="46">
        <f t="shared" si="213"/>
        <v>0</v>
      </c>
      <c r="EG797" s="46">
        <f t="shared" si="214"/>
        <v>0</v>
      </c>
      <c r="EH797" s="29">
        <f t="shared" si="215"/>
        <v>0</v>
      </c>
      <c r="EI797" s="29">
        <f>IF(COUNT(I797:AD797)&lt;5,DZ797,SUMPRODUCT(LARGE(I797:AD797,{1,2,3,4,5}))/5)</f>
        <v>0</v>
      </c>
      <c r="EJ797" s="29">
        <f>IF(COUNT(I797:BE797)&lt;5,DZ797,SUMPRODUCT(LARGE(I797:BE797,{1,2,3,4,5}))/5)</f>
        <v>0</v>
      </c>
      <c r="EK797" s="29">
        <f t="shared" si="217"/>
        <v>0</v>
      </c>
      <c r="EL797" s="29">
        <f t="shared" si="219"/>
        <v>0</v>
      </c>
      <c r="EM797" s="116">
        <f t="shared" si="216"/>
        <v>0</v>
      </c>
      <c r="EQ797"/>
    </row>
    <row r="798" spans="1:147" x14ac:dyDescent="0.25">
      <c r="A798" s="59"/>
      <c r="B798" s="32"/>
      <c r="C798" s="5"/>
      <c r="D798" s="6"/>
      <c r="E798" s="6"/>
      <c r="F798" s="6"/>
      <c r="G798" s="5"/>
      <c r="H798" s="99"/>
      <c r="I798" s="36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227"/>
      <c r="Z798" s="228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4"/>
      <c r="AP798" s="7"/>
      <c r="AQ798" s="74"/>
      <c r="AR798" s="70"/>
      <c r="AS798" s="7"/>
      <c r="AT798" s="70"/>
      <c r="AU798" s="7"/>
      <c r="AV798" s="70"/>
      <c r="AW798" s="7"/>
      <c r="AX798" s="8"/>
      <c r="AY798" s="36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4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101"/>
      <c r="CL798" s="74"/>
      <c r="CM798" s="74"/>
      <c r="CN798" s="74"/>
      <c r="CO798" s="70"/>
      <c r="CP798" s="74"/>
      <c r="CQ798" s="7"/>
      <c r="CR798" s="74"/>
      <c r="CS798" s="74"/>
      <c r="CT798" s="74"/>
      <c r="CU798" s="74"/>
      <c r="CV798" s="7"/>
      <c r="CW798" s="7"/>
      <c r="CX798" s="7"/>
      <c r="CY798" s="7"/>
      <c r="CZ798" s="7"/>
      <c r="DA798" s="7"/>
      <c r="DB798" s="7"/>
      <c r="DC798" s="7"/>
      <c r="DD798" s="7"/>
      <c r="DE798" s="74"/>
      <c r="DF798" s="74"/>
      <c r="DG798" s="74"/>
      <c r="DH798" s="7"/>
      <c r="DI798" s="74"/>
      <c r="DJ798" s="7"/>
      <c r="DK798" s="7"/>
      <c r="DL798" s="74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8">
        <f t="shared" si="208"/>
        <v>0</v>
      </c>
      <c r="EA798" s="3">
        <f t="shared" si="209"/>
        <v>0</v>
      </c>
      <c r="EB798" s="2">
        <f t="shared" si="210"/>
        <v>0</v>
      </c>
      <c r="EC798" s="112">
        <f t="shared" si="218"/>
        <v>0</v>
      </c>
      <c r="ED798" s="29">
        <f t="shared" si="211"/>
        <v>0</v>
      </c>
      <c r="EE798" s="2">
        <f t="shared" si="212"/>
        <v>0</v>
      </c>
      <c r="EF798" s="46">
        <f t="shared" si="213"/>
        <v>0</v>
      </c>
      <c r="EG798" s="46">
        <f t="shared" si="214"/>
        <v>0</v>
      </c>
      <c r="EH798" s="2">
        <f t="shared" si="215"/>
        <v>0</v>
      </c>
      <c r="EI798" s="29">
        <f>IF(COUNT(I798:AD798)&lt;5,DZ798,SUMPRODUCT(LARGE(I798:AD798,{1,2,3,4,5}))/5)</f>
        <v>0</v>
      </c>
      <c r="EJ798" s="29">
        <f>IF(COUNT(I798:BE798)&lt;5,DZ798,SUMPRODUCT(LARGE(I798:BE798,{1,2,3,4,5}))/5)</f>
        <v>0</v>
      </c>
      <c r="EK798" s="29">
        <f t="shared" si="217"/>
        <v>0</v>
      </c>
      <c r="EL798" s="29">
        <f t="shared" si="219"/>
        <v>0</v>
      </c>
      <c r="EM798" s="116">
        <f t="shared" si="216"/>
        <v>0</v>
      </c>
      <c r="EQ798"/>
    </row>
    <row r="799" spans="1:147" x14ac:dyDescent="0.25">
      <c r="A799" s="59"/>
      <c r="B799" s="32"/>
      <c r="C799" s="5"/>
      <c r="D799" s="6"/>
      <c r="E799" s="6"/>
      <c r="F799" s="6"/>
      <c r="G799" s="5"/>
      <c r="H799" s="37"/>
      <c r="I799" s="107"/>
      <c r="J799" s="7"/>
      <c r="K799" s="74"/>
      <c r="L799" s="7"/>
      <c r="M799" s="74"/>
      <c r="N799" s="74"/>
      <c r="O799" s="7"/>
      <c r="P799" s="74"/>
      <c r="Q799" s="7"/>
      <c r="R799" s="74"/>
      <c r="S799" s="74"/>
      <c r="T799" s="7"/>
      <c r="U799" s="7"/>
      <c r="V799" s="74"/>
      <c r="W799" s="74"/>
      <c r="X799" s="74"/>
      <c r="Y799" s="227"/>
      <c r="Z799" s="228"/>
      <c r="AA799" s="74"/>
      <c r="AB799" s="74"/>
      <c r="AC799" s="74"/>
      <c r="AD799" s="74"/>
      <c r="AE799" s="7"/>
      <c r="AF799" s="74"/>
      <c r="AG799" s="74"/>
      <c r="AH799" s="7"/>
      <c r="AI799" s="7"/>
      <c r="AJ799" s="7"/>
      <c r="AK799" s="7"/>
      <c r="AL799" s="7"/>
      <c r="AM799" s="7"/>
      <c r="AN799" s="7"/>
      <c r="AO799" s="74"/>
      <c r="AP799" s="7"/>
      <c r="AQ799" s="74"/>
      <c r="AR799" s="101"/>
      <c r="AS799" s="7"/>
      <c r="AT799" s="101"/>
      <c r="AU799" s="7"/>
      <c r="AV799" s="101"/>
      <c r="AW799" s="7"/>
      <c r="AX799" s="183"/>
      <c r="AY799" s="107"/>
      <c r="AZ799" s="74"/>
      <c r="BA799" s="74"/>
      <c r="BB799" s="74"/>
      <c r="BC799" s="74"/>
      <c r="BD799" s="74"/>
      <c r="BE799" s="74"/>
      <c r="BF799" s="74"/>
      <c r="BG799" s="74"/>
      <c r="BH799" s="74"/>
      <c r="BI799" s="74"/>
      <c r="BJ799" s="74"/>
      <c r="BK799" s="7"/>
      <c r="BL799" s="74"/>
      <c r="BM799" s="7"/>
      <c r="BN799" s="74"/>
      <c r="BO799" s="74"/>
      <c r="BP799" s="74"/>
      <c r="BQ799" s="74"/>
      <c r="BR799" s="74"/>
      <c r="BS799" s="74"/>
      <c r="BT799" s="74"/>
      <c r="BU799" s="74"/>
      <c r="BV799" s="74"/>
      <c r="BW799" s="74"/>
      <c r="BX799" s="74"/>
      <c r="BY799" s="74"/>
      <c r="BZ799" s="74"/>
      <c r="CA799" s="74"/>
      <c r="CB799" s="74"/>
      <c r="CC799" s="74"/>
      <c r="CD799" s="74"/>
      <c r="CE799" s="7"/>
      <c r="CF799" s="74"/>
      <c r="CG799" s="74"/>
      <c r="CH799" s="7"/>
      <c r="CI799" s="74"/>
      <c r="CJ799" s="74"/>
      <c r="CK799" s="101"/>
      <c r="CL799" s="74"/>
      <c r="CM799" s="74"/>
      <c r="CN799" s="74"/>
      <c r="CO799" s="101"/>
      <c r="CP799" s="74"/>
      <c r="CQ799" s="74"/>
      <c r="CR799" s="74"/>
      <c r="CS799" s="74"/>
      <c r="CT799" s="74"/>
      <c r="CU799" s="74"/>
      <c r="CV799" s="74"/>
      <c r="CW799" s="74"/>
      <c r="CX799" s="74"/>
      <c r="CY799" s="74"/>
      <c r="CZ799" s="74"/>
      <c r="DA799" s="74"/>
      <c r="DB799" s="74"/>
      <c r="DC799" s="74"/>
      <c r="DD799" s="74"/>
      <c r="DE799" s="74"/>
      <c r="DF799" s="74"/>
      <c r="DG799" s="74"/>
      <c r="DH799" s="74"/>
      <c r="DI799" s="74"/>
      <c r="DJ799" s="74"/>
      <c r="DK799" s="74"/>
      <c r="DL799" s="74"/>
      <c r="DM799" s="74"/>
      <c r="DN799" s="74"/>
      <c r="DO799" s="74"/>
      <c r="DP799" s="74"/>
      <c r="DQ799" s="74"/>
      <c r="DR799" s="74"/>
      <c r="DS799" s="74"/>
      <c r="DT799" s="74"/>
      <c r="DU799" s="74"/>
      <c r="DV799" s="74"/>
      <c r="DW799" s="74"/>
      <c r="DX799" s="74"/>
      <c r="DY799" s="74"/>
      <c r="DZ799" s="8">
        <f t="shared" si="208"/>
        <v>0</v>
      </c>
      <c r="EA799" s="3">
        <f t="shared" si="209"/>
        <v>0</v>
      </c>
      <c r="EB799" s="2">
        <f t="shared" si="210"/>
        <v>0</v>
      </c>
      <c r="EC799" s="112">
        <f t="shared" si="218"/>
        <v>0</v>
      </c>
      <c r="ED799" s="29">
        <f t="shared" si="211"/>
        <v>0</v>
      </c>
      <c r="EE799" s="2">
        <f t="shared" si="212"/>
        <v>0</v>
      </c>
      <c r="EF799" s="46">
        <f t="shared" si="213"/>
        <v>0</v>
      </c>
      <c r="EG799" s="46">
        <f t="shared" si="214"/>
        <v>0</v>
      </c>
      <c r="EH799" s="29">
        <f t="shared" si="215"/>
        <v>0</v>
      </c>
      <c r="EI799" s="29">
        <f>IF(COUNT(I799:AD799)&lt;5,DZ799,SUMPRODUCT(LARGE(I799:AD799,{1,2,3,4,5}))/5)</f>
        <v>0</v>
      </c>
      <c r="EJ799" s="29">
        <f>IF(COUNT(I799:BE799)&lt;5,DZ799,SUMPRODUCT(LARGE(I799:BE799,{1,2,3,4,5}))/5)</f>
        <v>0</v>
      </c>
      <c r="EK799" s="29">
        <f t="shared" si="217"/>
        <v>0</v>
      </c>
      <c r="EL799" s="29">
        <f t="shared" si="219"/>
        <v>0</v>
      </c>
      <c r="EM799" s="116">
        <f t="shared" si="216"/>
        <v>0</v>
      </c>
      <c r="EQ799"/>
    </row>
    <row r="800" spans="1:147" x14ac:dyDescent="0.25">
      <c r="A800" s="59"/>
      <c r="B800" s="32"/>
      <c r="C800" s="5"/>
      <c r="D800" s="6"/>
      <c r="E800" s="6"/>
      <c r="F800" s="6"/>
      <c r="G800" s="5"/>
      <c r="H800" s="37"/>
      <c r="I800" s="107"/>
      <c r="J800" s="7"/>
      <c r="K800" s="74"/>
      <c r="L800" s="7"/>
      <c r="M800" s="74"/>
      <c r="N800" s="74"/>
      <c r="O800" s="7"/>
      <c r="P800" s="74"/>
      <c r="Q800" s="7"/>
      <c r="R800" s="74"/>
      <c r="S800" s="74"/>
      <c r="T800" s="7"/>
      <c r="U800" s="7"/>
      <c r="V800" s="74"/>
      <c r="W800" s="74"/>
      <c r="X800" s="74"/>
      <c r="Y800" s="227"/>
      <c r="Z800" s="228"/>
      <c r="AA800" s="74"/>
      <c r="AB800" s="74"/>
      <c r="AC800" s="74"/>
      <c r="AD800" s="74"/>
      <c r="AE800" s="7"/>
      <c r="AF800" s="74"/>
      <c r="AG800" s="74"/>
      <c r="AH800" s="7"/>
      <c r="AI800" s="7"/>
      <c r="AJ800" s="7"/>
      <c r="AK800" s="7"/>
      <c r="AL800" s="7"/>
      <c r="AM800" s="7"/>
      <c r="AN800" s="7"/>
      <c r="AO800" s="74"/>
      <c r="AP800" s="7"/>
      <c r="AQ800" s="74"/>
      <c r="AR800" s="101"/>
      <c r="AS800" s="7"/>
      <c r="AT800" s="101"/>
      <c r="AU800" s="7"/>
      <c r="AV800" s="101"/>
      <c r="AW800" s="7"/>
      <c r="AX800" s="183"/>
      <c r="AY800" s="107"/>
      <c r="AZ800" s="74"/>
      <c r="BA800" s="74"/>
      <c r="BB800" s="74"/>
      <c r="BC800" s="74"/>
      <c r="BD800" s="74"/>
      <c r="BE800" s="74"/>
      <c r="BF800" s="74"/>
      <c r="BG800" s="74"/>
      <c r="BH800" s="101"/>
      <c r="BI800" s="74"/>
      <c r="BJ800" s="74"/>
      <c r="BK800" s="7"/>
      <c r="BL800" s="74"/>
      <c r="BM800" s="7"/>
      <c r="BN800" s="74"/>
      <c r="BO800" s="74"/>
      <c r="BP800" s="74"/>
      <c r="BQ800" s="74"/>
      <c r="BR800" s="74"/>
      <c r="BS800" s="74"/>
      <c r="BT800" s="74"/>
      <c r="BU800" s="74"/>
      <c r="BV800" s="74"/>
      <c r="BW800" s="74"/>
      <c r="BX800" s="74"/>
      <c r="BY800" s="101"/>
      <c r="BZ800" s="74"/>
      <c r="CA800" s="74"/>
      <c r="CB800" s="74"/>
      <c r="CC800" s="74"/>
      <c r="CD800" s="74"/>
      <c r="CE800" s="7"/>
      <c r="CF800" s="74"/>
      <c r="CG800" s="74"/>
      <c r="CH800" s="7"/>
      <c r="CI800" s="74"/>
      <c r="CJ800" s="74"/>
      <c r="CK800" s="101"/>
      <c r="CL800" s="74"/>
      <c r="CM800" s="74"/>
      <c r="CN800" s="74"/>
      <c r="CO800" s="101"/>
      <c r="CP800" s="74"/>
      <c r="CQ800" s="74"/>
      <c r="CR800" s="74"/>
      <c r="CS800" s="74"/>
      <c r="CT800" s="74"/>
      <c r="CU800" s="74"/>
      <c r="CV800" s="74"/>
      <c r="CW800" s="74"/>
      <c r="CX800" s="74"/>
      <c r="CY800" s="74"/>
      <c r="CZ800" s="74"/>
      <c r="DA800" s="74"/>
      <c r="DB800" s="74"/>
      <c r="DC800" s="74"/>
      <c r="DD800" s="74"/>
      <c r="DE800" s="74"/>
      <c r="DF800" s="74"/>
      <c r="DG800" s="74"/>
      <c r="DH800" s="74"/>
      <c r="DI800" s="74"/>
      <c r="DJ800" s="74"/>
      <c r="DK800" s="74"/>
      <c r="DL800" s="74"/>
      <c r="DM800" s="74"/>
      <c r="DN800" s="74"/>
      <c r="DO800" s="74"/>
      <c r="DP800" s="74"/>
      <c r="DQ800" s="74"/>
      <c r="DR800" s="74"/>
      <c r="DS800" s="74"/>
      <c r="DT800" s="74"/>
      <c r="DU800" s="74"/>
      <c r="DV800" s="74"/>
      <c r="DW800" s="74"/>
      <c r="DX800" s="74"/>
      <c r="DY800" s="74"/>
      <c r="DZ800" s="8">
        <f t="shared" si="208"/>
        <v>0</v>
      </c>
      <c r="EA800" s="3">
        <f t="shared" si="209"/>
        <v>0</v>
      </c>
      <c r="EB800" s="2">
        <f t="shared" si="210"/>
        <v>0</v>
      </c>
      <c r="EC800" s="112">
        <f t="shared" si="218"/>
        <v>0</v>
      </c>
      <c r="ED800" s="29">
        <f t="shared" si="211"/>
        <v>0</v>
      </c>
      <c r="EE800" s="2">
        <f t="shared" si="212"/>
        <v>0</v>
      </c>
      <c r="EF800" s="46">
        <f t="shared" si="213"/>
        <v>0</v>
      </c>
      <c r="EG800" s="46">
        <f t="shared" si="214"/>
        <v>0</v>
      </c>
      <c r="EH800" s="29">
        <f t="shared" si="215"/>
        <v>0</v>
      </c>
      <c r="EI800" s="29">
        <f>IF(COUNT(I800:AD800)&lt;5,DZ800,SUMPRODUCT(LARGE(I800:AD800,{1,2,3,4,5}))/5)</f>
        <v>0</v>
      </c>
      <c r="EJ800" s="29">
        <f>IF(COUNT(I800:BE800)&lt;5,DZ800,SUMPRODUCT(LARGE(I800:BE800,{1,2,3,4,5}))/5)</f>
        <v>0</v>
      </c>
      <c r="EK800" s="29">
        <f t="shared" si="217"/>
        <v>0</v>
      </c>
      <c r="EL800" s="29">
        <f t="shared" si="219"/>
        <v>0</v>
      </c>
      <c r="EM800" s="116">
        <f t="shared" si="216"/>
        <v>0</v>
      </c>
      <c r="EQ800"/>
    </row>
    <row r="801" spans="1:147" x14ac:dyDescent="0.25">
      <c r="A801" s="59"/>
      <c r="B801" s="4"/>
      <c r="C801" s="5"/>
      <c r="D801" s="5"/>
      <c r="E801" s="6"/>
      <c r="F801" s="6"/>
      <c r="G801" s="5"/>
      <c r="H801" s="99"/>
      <c r="I801" s="36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227"/>
      <c r="Z801" s="228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4"/>
      <c r="AP801" s="7"/>
      <c r="AQ801" s="74"/>
      <c r="AR801" s="70"/>
      <c r="AS801" s="7"/>
      <c r="AT801" s="70"/>
      <c r="AU801" s="7"/>
      <c r="AV801" s="70"/>
      <c r="AW801" s="7"/>
      <c r="AX801" s="8"/>
      <c r="AY801" s="36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101"/>
      <c r="CL801" s="74"/>
      <c r="CM801" s="74"/>
      <c r="CN801" s="74"/>
      <c r="CO801" s="70"/>
      <c r="CP801" s="74"/>
      <c r="CQ801" s="7"/>
      <c r="CR801" s="74"/>
      <c r="CS801" s="74"/>
      <c r="CT801" s="74"/>
      <c r="CU801" s="74"/>
      <c r="CV801" s="74"/>
      <c r="CW801" s="7"/>
      <c r="CX801" s="7"/>
      <c r="CY801" s="7"/>
      <c r="CZ801" s="7"/>
      <c r="DA801" s="7"/>
      <c r="DB801" s="7"/>
      <c r="DC801" s="7"/>
      <c r="DD801" s="7"/>
      <c r="DE801" s="74"/>
      <c r="DF801" s="74"/>
      <c r="DG801" s="74"/>
      <c r="DH801" s="74"/>
      <c r="DI801" s="74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8">
        <f t="shared" si="208"/>
        <v>0</v>
      </c>
      <c r="EA801" s="3">
        <f t="shared" si="209"/>
        <v>0</v>
      </c>
      <c r="EB801" s="2">
        <f t="shared" si="210"/>
        <v>0</v>
      </c>
      <c r="EC801" s="112">
        <f t="shared" si="218"/>
        <v>0</v>
      </c>
      <c r="ED801" s="29">
        <f t="shared" si="211"/>
        <v>0</v>
      </c>
      <c r="EE801" s="2">
        <f t="shared" si="212"/>
        <v>0</v>
      </c>
      <c r="EF801" s="46">
        <f t="shared" si="213"/>
        <v>0</v>
      </c>
      <c r="EG801" s="46">
        <f t="shared" si="214"/>
        <v>0</v>
      </c>
      <c r="EH801" s="2">
        <f t="shared" si="215"/>
        <v>0</v>
      </c>
      <c r="EI801" s="29">
        <f>IF(COUNT(I801:AD801)&lt;5,DZ801,SUMPRODUCT(LARGE(I801:AD801,{1,2,3,4,5}))/5)</f>
        <v>0</v>
      </c>
      <c r="EJ801" s="29">
        <f>IF(COUNT(I801:BE801)&lt;5,DZ801,SUMPRODUCT(LARGE(I801:BE801,{1,2,3,4,5}))/5)</f>
        <v>0</v>
      </c>
      <c r="EK801" s="29">
        <f t="shared" si="217"/>
        <v>0</v>
      </c>
      <c r="EL801" s="29">
        <f t="shared" si="219"/>
        <v>0</v>
      </c>
      <c r="EM801" s="116">
        <f t="shared" si="216"/>
        <v>0</v>
      </c>
      <c r="EQ801"/>
    </row>
    <row r="802" spans="1:147" x14ac:dyDescent="0.25">
      <c r="A802" s="59"/>
      <c r="B802" s="32"/>
      <c r="C802" s="5"/>
      <c r="D802" s="6"/>
      <c r="E802" s="6"/>
      <c r="F802" s="6"/>
      <c r="G802" s="5"/>
      <c r="H802" s="99"/>
      <c r="I802" s="36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227"/>
      <c r="Z802" s="228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4"/>
      <c r="AP802" s="7"/>
      <c r="AQ802" s="74"/>
      <c r="AR802" s="70"/>
      <c r="AS802" s="7"/>
      <c r="AT802" s="70"/>
      <c r="AU802" s="7"/>
      <c r="AV802" s="70"/>
      <c r="AW802" s="7"/>
      <c r="AX802" s="183"/>
      <c r="AY802" s="10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4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101"/>
      <c r="CL802" s="74"/>
      <c r="CM802" s="74"/>
      <c r="CN802" s="74"/>
      <c r="CO802" s="70"/>
      <c r="CP802" s="74"/>
      <c r="CQ802" s="7"/>
      <c r="CR802" s="74"/>
      <c r="CS802" s="74"/>
      <c r="CT802" s="74"/>
      <c r="CU802" s="74"/>
      <c r="CV802" s="7"/>
      <c r="CW802" s="7"/>
      <c r="CX802" s="7"/>
      <c r="CY802" s="7"/>
      <c r="CZ802" s="7"/>
      <c r="DA802" s="7"/>
      <c r="DB802" s="7"/>
      <c r="DC802" s="7"/>
      <c r="DD802" s="7"/>
      <c r="DE802" s="74"/>
      <c r="DF802" s="74"/>
      <c r="DG802" s="74"/>
      <c r="DH802" s="7"/>
      <c r="DI802" s="74"/>
      <c r="DJ802" s="7"/>
      <c r="DK802" s="7"/>
      <c r="DL802" s="74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8">
        <f t="shared" si="208"/>
        <v>0</v>
      </c>
      <c r="EA802" s="3">
        <f t="shared" si="209"/>
        <v>0</v>
      </c>
      <c r="EB802" s="2">
        <f t="shared" si="210"/>
        <v>0</v>
      </c>
      <c r="EC802" s="112">
        <f t="shared" si="218"/>
        <v>0</v>
      </c>
      <c r="ED802" s="29">
        <f t="shared" si="211"/>
        <v>0</v>
      </c>
      <c r="EE802" s="2">
        <f t="shared" si="212"/>
        <v>0</v>
      </c>
      <c r="EF802" s="46">
        <f t="shared" si="213"/>
        <v>0</v>
      </c>
      <c r="EG802" s="46">
        <f t="shared" si="214"/>
        <v>0</v>
      </c>
      <c r="EH802" s="2">
        <f t="shared" si="215"/>
        <v>0</v>
      </c>
      <c r="EI802" s="29">
        <f>IF(COUNT(I802:AD802)&lt;5,DZ802,SUMPRODUCT(LARGE(I802:AD802,{1,2,3,4,5}))/5)</f>
        <v>0</v>
      </c>
      <c r="EJ802" s="29">
        <f>IF(COUNT(I802:BE802)&lt;5,DZ802,SUMPRODUCT(LARGE(I802:BE802,{1,2,3,4,5}))/5)</f>
        <v>0</v>
      </c>
      <c r="EK802" s="29">
        <f t="shared" si="217"/>
        <v>0</v>
      </c>
      <c r="EL802" s="29">
        <f t="shared" si="219"/>
        <v>0</v>
      </c>
      <c r="EM802" s="116">
        <f t="shared" si="216"/>
        <v>0</v>
      </c>
      <c r="EQ802"/>
    </row>
    <row r="803" spans="1:147" x14ac:dyDescent="0.25">
      <c r="A803" s="59"/>
      <c r="B803" s="128"/>
      <c r="C803" s="5"/>
      <c r="D803" s="6"/>
      <c r="E803" s="6"/>
      <c r="F803" s="6"/>
      <c r="G803" s="5"/>
      <c r="H803" s="37"/>
      <c r="I803" s="36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227"/>
      <c r="Z803" s="228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4"/>
      <c r="AP803" s="7"/>
      <c r="AQ803" s="74"/>
      <c r="AR803" s="70"/>
      <c r="AS803" s="7"/>
      <c r="AT803" s="70"/>
      <c r="AU803" s="7"/>
      <c r="AV803" s="70"/>
      <c r="AW803" s="7"/>
      <c r="AX803" s="183"/>
      <c r="AY803" s="10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4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4"/>
      <c r="CG803" s="7"/>
      <c r="CH803" s="7"/>
      <c r="CI803" s="7"/>
      <c r="CJ803" s="7"/>
      <c r="CK803" s="101"/>
      <c r="CL803" s="74"/>
      <c r="CM803" s="74"/>
      <c r="CN803" s="74"/>
      <c r="CO803" s="70"/>
      <c r="CP803" s="74"/>
      <c r="CQ803" s="7"/>
      <c r="CR803" s="74"/>
      <c r="CS803" s="74"/>
      <c r="CT803" s="74"/>
      <c r="CU803" s="74"/>
      <c r="CV803" s="7"/>
      <c r="CW803" s="7"/>
      <c r="CX803" s="7"/>
      <c r="CY803" s="7"/>
      <c r="CZ803" s="7"/>
      <c r="DA803" s="7"/>
      <c r="DB803" s="7"/>
      <c r="DC803" s="7"/>
      <c r="DD803" s="7"/>
      <c r="DE803" s="74"/>
      <c r="DF803" s="74"/>
      <c r="DG803" s="74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8">
        <f t="shared" si="208"/>
        <v>0</v>
      </c>
      <c r="EA803" s="3">
        <f t="shared" si="209"/>
        <v>0</v>
      </c>
      <c r="EB803" s="2">
        <f t="shared" si="210"/>
        <v>0</v>
      </c>
      <c r="EC803" s="112">
        <f t="shared" si="218"/>
        <v>0</v>
      </c>
      <c r="ED803" s="29">
        <f t="shared" si="211"/>
        <v>0</v>
      </c>
      <c r="EE803" s="2">
        <f t="shared" si="212"/>
        <v>0</v>
      </c>
      <c r="EF803" s="46">
        <f t="shared" si="213"/>
        <v>0</v>
      </c>
      <c r="EG803" s="46">
        <f t="shared" si="214"/>
        <v>0</v>
      </c>
      <c r="EH803" s="2">
        <f t="shared" si="215"/>
        <v>0</v>
      </c>
      <c r="EI803" s="29">
        <f>IF(COUNT(I803:AD803)&lt;5,DZ803,SUMPRODUCT(LARGE(I803:AD803,{1,2,3,4,5}))/5)</f>
        <v>0</v>
      </c>
      <c r="EJ803" s="29">
        <f>IF(COUNT(I803:BE803)&lt;5,DZ803,SUMPRODUCT(LARGE(I803:BE803,{1,2,3,4,5}))/5)</f>
        <v>0</v>
      </c>
      <c r="EK803" s="29">
        <f t="shared" si="217"/>
        <v>0</v>
      </c>
      <c r="EL803" s="29">
        <f>(EK803*100)/101.59</f>
        <v>0</v>
      </c>
      <c r="EM803" s="116">
        <f t="shared" si="216"/>
        <v>0</v>
      </c>
      <c r="EQ803"/>
    </row>
    <row r="804" spans="1:147" x14ac:dyDescent="0.25">
      <c r="A804" s="59"/>
      <c r="B804" s="32"/>
      <c r="C804" s="5"/>
      <c r="D804" s="6"/>
      <c r="E804" s="6"/>
      <c r="F804" s="6"/>
      <c r="G804" s="5"/>
      <c r="H804" s="37"/>
      <c r="I804" s="107"/>
      <c r="J804" s="7"/>
      <c r="K804" s="74"/>
      <c r="L804" s="7"/>
      <c r="M804" s="74"/>
      <c r="N804" s="74"/>
      <c r="O804" s="7"/>
      <c r="P804" s="74"/>
      <c r="Q804" s="7"/>
      <c r="R804" s="74"/>
      <c r="S804" s="74"/>
      <c r="T804" s="7"/>
      <c r="U804" s="7"/>
      <c r="V804" s="74"/>
      <c r="W804" s="74"/>
      <c r="X804" s="74"/>
      <c r="Y804" s="227"/>
      <c r="Z804" s="228"/>
      <c r="AA804" s="74"/>
      <c r="AB804" s="74"/>
      <c r="AC804" s="74"/>
      <c r="AD804" s="74"/>
      <c r="AE804" s="7"/>
      <c r="AF804" s="74"/>
      <c r="AG804" s="74"/>
      <c r="AH804" s="7"/>
      <c r="AI804" s="7"/>
      <c r="AJ804" s="7"/>
      <c r="AK804" s="7"/>
      <c r="AL804" s="7"/>
      <c r="AM804" s="7"/>
      <c r="AN804" s="7"/>
      <c r="AO804" s="74"/>
      <c r="AP804" s="7"/>
      <c r="AQ804" s="74"/>
      <c r="AR804" s="101"/>
      <c r="AS804" s="7"/>
      <c r="AT804" s="101"/>
      <c r="AU804" s="7"/>
      <c r="AV804" s="101"/>
      <c r="AW804" s="7"/>
      <c r="AX804" s="8"/>
      <c r="AY804" s="36"/>
      <c r="AZ804" s="74"/>
      <c r="BA804" s="74"/>
      <c r="BB804" s="74"/>
      <c r="BC804" s="74"/>
      <c r="BD804" s="74"/>
      <c r="BE804" s="74"/>
      <c r="BF804" s="74"/>
      <c r="BG804" s="74"/>
      <c r="BH804" s="74"/>
      <c r="BI804" s="74"/>
      <c r="BJ804" s="74"/>
      <c r="BK804" s="7"/>
      <c r="BL804" s="74"/>
      <c r="BM804" s="7"/>
      <c r="BN804" s="74"/>
      <c r="BO804" s="74"/>
      <c r="BP804" s="74"/>
      <c r="BQ804" s="74"/>
      <c r="BR804" s="74"/>
      <c r="BS804" s="74"/>
      <c r="BT804" s="74"/>
      <c r="BU804" s="74"/>
      <c r="BV804" s="74"/>
      <c r="BW804" s="74"/>
      <c r="BX804" s="74"/>
      <c r="BY804" s="74"/>
      <c r="BZ804" s="74"/>
      <c r="CA804" s="74"/>
      <c r="CB804" s="74"/>
      <c r="CC804" s="74"/>
      <c r="CD804" s="74"/>
      <c r="CE804" s="7"/>
      <c r="CF804" s="74"/>
      <c r="CG804" s="74"/>
      <c r="CH804" s="7"/>
      <c r="CI804" s="74"/>
      <c r="CJ804" s="74"/>
      <c r="CK804" s="101"/>
      <c r="CL804" s="74"/>
      <c r="CM804" s="74"/>
      <c r="CN804" s="74"/>
      <c r="CO804" s="101"/>
      <c r="CP804" s="74"/>
      <c r="CQ804" s="74"/>
      <c r="CR804" s="74"/>
      <c r="CS804" s="74"/>
      <c r="CT804" s="74"/>
      <c r="CU804" s="74"/>
      <c r="CV804" s="74"/>
      <c r="CW804" s="74"/>
      <c r="CX804" s="74"/>
      <c r="CY804" s="74"/>
      <c r="CZ804" s="74"/>
      <c r="DA804" s="74"/>
      <c r="DB804" s="74"/>
      <c r="DC804" s="74"/>
      <c r="DD804" s="74"/>
      <c r="DE804" s="74"/>
      <c r="DF804" s="74"/>
      <c r="DG804" s="74"/>
      <c r="DH804" s="74"/>
      <c r="DI804" s="74"/>
      <c r="DJ804" s="74"/>
      <c r="DK804" s="74"/>
      <c r="DL804" s="74"/>
      <c r="DM804" s="74"/>
      <c r="DN804" s="74"/>
      <c r="DO804" s="74"/>
      <c r="DP804" s="74"/>
      <c r="DQ804" s="74"/>
      <c r="DR804" s="74"/>
      <c r="DS804" s="74"/>
      <c r="DT804" s="74"/>
      <c r="DU804" s="74"/>
      <c r="DV804" s="74"/>
      <c r="DW804" s="74"/>
      <c r="DX804" s="74"/>
      <c r="DY804" s="74"/>
      <c r="DZ804" s="8">
        <f t="shared" si="208"/>
        <v>0</v>
      </c>
      <c r="EA804" s="3">
        <f t="shared" si="209"/>
        <v>0</v>
      </c>
      <c r="EB804" s="2">
        <f t="shared" si="210"/>
        <v>0</v>
      </c>
      <c r="EC804" s="112">
        <f t="shared" si="218"/>
        <v>0</v>
      </c>
      <c r="ED804" s="29">
        <f t="shared" si="211"/>
        <v>0</v>
      </c>
      <c r="EE804" s="2">
        <f t="shared" si="212"/>
        <v>0</v>
      </c>
      <c r="EF804" s="46">
        <f t="shared" si="213"/>
        <v>0</v>
      </c>
      <c r="EG804" s="46">
        <f t="shared" si="214"/>
        <v>0</v>
      </c>
      <c r="EH804" s="29">
        <f t="shared" si="215"/>
        <v>0</v>
      </c>
      <c r="EI804" s="29">
        <f>IF(COUNT(I804:AD804)&lt;5,DZ804,SUMPRODUCT(LARGE(I804:AD804,{1,2,3,4,5}))/5)</f>
        <v>0</v>
      </c>
      <c r="EJ804" s="29">
        <f>IF(COUNT(I804:BE804)&lt;5,DZ804,SUMPRODUCT(LARGE(I804:BE804,{1,2,3,4,5}))/5)</f>
        <v>0</v>
      </c>
      <c r="EK804" s="29">
        <f t="shared" si="217"/>
        <v>0</v>
      </c>
      <c r="EL804" s="29">
        <f>(EK804*100)/101.28</f>
        <v>0</v>
      </c>
      <c r="EM804" s="116">
        <f t="shared" si="216"/>
        <v>0</v>
      </c>
      <c r="EQ804"/>
    </row>
    <row r="805" spans="1:147" x14ac:dyDescent="0.25">
      <c r="A805" s="59"/>
      <c r="B805" s="32"/>
      <c r="C805" s="5"/>
      <c r="D805" s="6"/>
      <c r="E805" s="6"/>
      <c r="F805" s="6"/>
      <c r="G805" s="5"/>
      <c r="H805" s="37"/>
      <c r="I805" s="36"/>
      <c r="J805" s="7"/>
      <c r="K805" s="7"/>
      <c r="L805" s="7"/>
      <c r="M805" s="74"/>
      <c r="N805" s="74"/>
      <c r="O805" s="7"/>
      <c r="P805" s="74"/>
      <c r="Q805" s="7"/>
      <c r="R805" s="74"/>
      <c r="S805" s="74"/>
      <c r="T805" s="7"/>
      <c r="U805" s="7"/>
      <c r="V805" s="74"/>
      <c r="W805" s="74"/>
      <c r="X805" s="74"/>
      <c r="Y805" s="227"/>
      <c r="Z805" s="228"/>
      <c r="AA805" s="74"/>
      <c r="AB805" s="74"/>
      <c r="AC805" s="74"/>
      <c r="AD805" s="74"/>
      <c r="AE805" s="7"/>
      <c r="AF805" s="74"/>
      <c r="AG805" s="74"/>
      <c r="AH805" s="7"/>
      <c r="AI805" s="7"/>
      <c r="AJ805" s="7"/>
      <c r="AK805" s="7"/>
      <c r="AL805" s="7"/>
      <c r="AM805" s="7"/>
      <c r="AN805" s="7"/>
      <c r="AO805" s="74"/>
      <c r="AP805" s="7"/>
      <c r="AQ805" s="74"/>
      <c r="AR805" s="101"/>
      <c r="AS805" s="7"/>
      <c r="AT805" s="101"/>
      <c r="AU805" s="7"/>
      <c r="AV805" s="101"/>
      <c r="AW805" s="7"/>
      <c r="AX805" s="8"/>
      <c r="AY805" s="36"/>
      <c r="AZ805" s="74"/>
      <c r="BA805" s="74"/>
      <c r="BB805" s="74"/>
      <c r="BC805" s="74"/>
      <c r="BD805" s="74"/>
      <c r="BE805" s="74"/>
      <c r="BF805" s="74"/>
      <c r="BG805" s="74"/>
      <c r="BH805" s="74"/>
      <c r="BI805" s="74"/>
      <c r="BJ805" s="74"/>
      <c r="BK805" s="7"/>
      <c r="BL805" s="74"/>
      <c r="BM805" s="7"/>
      <c r="BN805" s="74"/>
      <c r="BO805" s="74"/>
      <c r="BP805" s="74"/>
      <c r="BQ805" s="74"/>
      <c r="BR805" s="74"/>
      <c r="BS805" s="74"/>
      <c r="BT805" s="74"/>
      <c r="BU805" s="74"/>
      <c r="BV805" s="74"/>
      <c r="BW805" s="74"/>
      <c r="BX805" s="74"/>
      <c r="BY805" s="74"/>
      <c r="BZ805" s="74"/>
      <c r="CA805" s="74"/>
      <c r="CB805" s="74"/>
      <c r="CC805" s="74"/>
      <c r="CD805" s="74"/>
      <c r="CE805" s="7"/>
      <c r="CF805" s="74"/>
      <c r="CG805" s="74"/>
      <c r="CH805" s="7"/>
      <c r="CI805" s="74"/>
      <c r="CJ805" s="74"/>
      <c r="CK805" s="101"/>
      <c r="CL805" s="74"/>
      <c r="CM805" s="74"/>
      <c r="CN805" s="74"/>
      <c r="CO805" s="101"/>
      <c r="CP805" s="74"/>
      <c r="CQ805" s="74"/>
      <c r="CR805" s="74"/>
      <c r="CS805" s="74"/>
      <c r="CT805" s="74"/>
      <c r="CU805" s="74"/>
      <c r="CV805" s="74"/>
      <c r="CW805" s="74"/>
      <c r="CX805" s="74"/>
      <c r="CY805" s="74"/>
      <c r="CZ805" s="74"/>
      <c r="DA805" s="74"/>
      <c r="DB805" s="74"/>
      <c r="DC805" s="74"/>
      <c r="DD805" s="74"/>
      <c r="DE805" s="74"/>
      <c r="DF805" s="74"/>
      <c r="DG805" s="74"/>
      <c r="DH805" s="74"/>
      <c r="DI805" s="74"/>
      <c r="DJ805" s="74"/>
      <c r="DK805" s="74"/>
      <c r="DL805" s="74"/>
      <c r="DM805" s="74"/>
      <c r="DN805" s="74"/>
      <c r="DO805" s="74"/>
      <c r="DP805" s="74"/>
      <c r="DQ805" s="74"/>
      <c r="DR805" s="74"/>
      <c r="DS805" s="74"/>
      <c r="DT805" s="74"/>
      <c r="DU805" s="74"/>
      <c r="DV805" s="74"/>
      <c r="DW805" s="74"/>
      <c r="DX805" s="74"/>
      <c r="DY805" s="74"/>
      <c r="DZ805" s="8">
        <f t="shared" si="208"/>
        <v>0</v>
      </c>
      <c r="EA805" s="3">
        <f t="shared" si="209"/>
        <v>0</v>
      </c>
      <c r="EB805" s="2">
        <f t="shared" si="210"/>
        <v>0</v>
      </c>
      <c r="EC805" s="112">
        <f t="shared" si="218"/>
        <v>0</v>
      </c>
      <c r="ED805" s="29">
        <f t="shared" si="211"/>
        <v>0</v>
      </c>
      <c r="EE805" s="2">
        <f t="shared" si="212"/>
        <v>0</v>
      </c>
      <c r="EF805" s="46">
        <f t="shared" si="213"/>
        <v>0</v>
      </c>
      <c r="EG805" s="46">
        <f t="shared" si="214"/>
        <v>0</v>
      </c>
      <c r="EH805" s="29">
        <f t="shared" si="215"/>
        <v>0</v>
      </c>
      <c r="EI805" s="29">
        <f>IF(COUNT(I805:AD805)&lt;5,DZ805,SUMPRODUCT(LARGE(I805:AD805,{1,2,3,4,5}))/5)</f>
        <v>0</v>
      </c>
      <c r="EJ805" s="29">
        <f>IF(COUNT(I805:BE805)&lt;5,DZ805,SUMPRODUCT(LARGE(I805:BE805,{1,2,3,4,5}))/5)</f>
        <v>0</v>
      </c>
      <c r="EK805" s="29">
        <f t="shared" si="217"/>
        <v>0</v>
      </c>
      <c r="EL805" s="29">
        <f>(EK805*100)/101.28</f>
        <v>0</v>
      </c>
      <c r="EM805" s="116">
        <f t="shared" si="216"/>
        <v>0</v>
      </c>
      <c r="EQ805"/>
    </row>
    <row r="806" spans="1:147" x14ac:dyDescent="0.25">
      <c r="A806" s="59"/>
      <c r="B806" s="32"/>
      <c r="C806" s="5"/>
      <c r="D806" s="6"/>
      <c r="E806" s="6"/>
      <c r="F806" s="6"/>
      <c r="G806" s="5"/>
      <c r="H806" s="99"/>
      <c r="I806" s="36"/>
      <c r="J806" s="7"/>
      <c r="K806" s="7"/>
      <c r="L806" s="7"/>
      <c r="M806" s="74"/>
      <c r="N806" s="74"/>
      <c r="O806" s="7"/>
      <c r="P806" s="74"/>
      <c r="Q806" s="7"/>
      <c r="R806" s="74"/>
      <c r="S806" s="74"/>
      <c r="T806" s="7"/>
      <c r="U806" s="7"/>
      <c r="V806" s="74"/>
      <c r="W806" s="74"/>
      <c r="X806" s="74"/>
      <c r="Y806" s="227"/>
      <c r="Z806" s="228"/>
      <c r="AA806" s="74"/>
      <c r="AB806" s="74"/>
      <c r="AC806" s="74"/>
      <c r="AD806" s="74"/>
      <c r="AE806" s="7"/>
      <c r="AF806" s="74"/>
      <c r="AG806" s="74"/>
      <c r="AH806" s="7"/>
      <c r="AI806" s="7"/>
      <c r="AJ806" s="7"/>
      <c r="AK806" s="7"/>
      <c r="AL806" s="7"/>
      <c r="AM806" s="7"/>
      <c r="AN806" s="7"/>
      <c r="AO806" s="74"/>
      <c r="AP806" s="7"/>
      <c r="AQ806" s="74"/>
      <c r="AR806" s="101"/>
      <c r="AS806" s="7"/>
      <c r="AT806" s="101"/>
      <c r="AU806" s="7"/>
      <c r="AV806" s="101"/>
      <c r="AW806" s="7"/>
      <c r="AX806" s="8"/>
      <c r="AY806" s="36"/>
      <c r="AZ806" s="74"/>
      <c r="BA806" s="74"/>
      <c r="BB806" s="74"/>
      <c r="BC806" s="74"/>
      <c r="BD806" s="74"/>
      <c r="BE806" s="74"/>
      <c r="BF806" s="74"/>
      <c r="BG806" s="74"/>
      <c r="BH806" s="74"/>
      <c r="BI806" s="74"/>
      <c r="BJ806" s="74"/>
      <c r="BK806" s="7"/>
      <c r="BL806" s="74"/>
      <c r="BM806" s="7"/>
      <c r="BN806" s="74"/>
      <c r="BO806" s="74"/>
      <c r="BP806" s="74"/>
      <c r="BQ806" s="74"/>
      <c r="BR806" s="74"/>
      <c r="BS806" s="74"/>
      <c r="BT806" s="74"/>
      <c r="BU806" s="74"/>
      <c r="BV806" s="74"/>
      <c r="BW806" s="74"/>
      <c r="BX806" s="74"/>
      <c r="BY806" s="74"/>
      <c r="BZ806" s="74"/>
      <c r="CA806" s="74"/>
      <c r="CB806" s="74"/>
      <c r="CC806" s="74"/>
      <c r="CD806" s="74"/>
      <c r="CE806" s="7"/>
      <c r="CF806" s="74"/>
      <c r="CG806" s="74"/>
      <c r="CH806" s="7"/>
      <c r="CI806" s="74"/>
      <c r="CJ806" s="74"/>
      <c r="CK806" s="101"/>
      <c r="CL806" s="74"/>
      <c r="CM806" s="74"/>
      <c r="CN806" s="74"/>
      <c r="CO806" s="101"/>
      <c r="CP806" s="74"/>
      <c r="CQ806" s="74"/>
      <c r="CR806" s="74"/>
      <c r="CS806" s="74"/>
      <c r="CT806" s="74"/>
      <c r="CU806" s="74"/>
      <c r="CV806" s="74"/>
      <c r="CW806" s="74"/>
      <c r="CX806" s="74"/>
      <c r="CY806" s="74"/>
      <c r="CZ806" s="74"/>
      <c r="DA806" s="74"/>
      <c r="DB806" s="74"/>
      <c r="DC806" s="74"/>
      <c r="DD806" s="74"/>
      <c r="DE806" s="74"/>
      <c r="DF806" s="74"/>
      <c r="DG806" s="74"/>
      <c r="DH806" s="74"/>
      <c r="DI806" s="74"/>
      <c r="DJ806" s="74"/>
      <c r="DK806" s="74"/>
      <c r="DL806" s="74"/>
      <c r="DM806" s="74"/>
      <c r="DN806" s="74"/>
      <c r="DO806" s="74"/>
      <c r="DP806" s="74"/>
      <c r="DQ806" s="74"/>
      <c r="DR806" s="74"/>
      <c r="DS806" s="74"/>
      <c r="DT806" s="74"/>
      <c r="DU806" s="74"/>
      <c r="DV806" s="74"/>
      <c r="DW806" s="74"/>
      <c r="DX806" s="74"/>
      <c r="DY806" s="74"/>
      <c r="DZ806" s="8">
        <f t="shared" si="208"/>
        <v>0</v>
      </c>
      <c r="EA806" s="3">
        <f t="shared" si="209"/>
        <v>0</v>
      </c>
      <c r="EB806" s="2">
        <f t="shared" si="210"/>
        <v>0</v>
      </c>
      <c r="EC806" s="112">
        <f t="shared" si="218"/>
        <v>0</v>
      </c>
      <c r="ED806" s="29">
        <f t="shared" si="211"/>
        <v>0</v>
      </c>
      <c r="EE806" s="2">
        <f t="shared" si="212"/>
        <v>0</v>
      </c>
      <c r="EF806" s="46">
        <f t="shared" si="213"/>
        <v>0</v>
      </c>
      <c r="EG806" s="46">
        <f t="shared" si="214"/>
        <v>0</v>
      </c>
      <c r="EH806" s="29">
        <f t="shared" si="215"/>
        <v>0</v>
      </c>
      <c r="EI806" s="29">
        <f>IF(COUNT(I806:AD806)&lt;5,DZ806,SUMPRODUCT(LARGE(I806:AD806,{1,2,3,4,5}))/5)</f>
        <v>0</v>
      </c>
      <c r="EJ806" s="29">
        <f>IF(COUNT(I806:BE806)&lt;5,DZ806,SUMPRODUCT(LARGE(I806:BE806,{1,2,3,4,5}))/5)</f>
        <v>0</v>
      </c>
      <c r="EK806" s="29">
        <f t="shared" si="217"/>
        <v>0</v>
      </c>
      <c r="EL806" s="29">
        <f>(EK806*100)/101.28</f>
        <v>0</v>
      </c>
      <c r="EM806" s="116">
        <f t="shared" si="216"/>
        <v>0</v>
      </c>
      <c r="EQ806"/>
    </row>
    <row r="807" spans="1:147" x14ac:dyDescent="0.25">
      <c r="A807" s="59"/>
      <c r="B807" s="32"/>
      <c r="C807" s="5"/>
      <c r="D807" s="6"/>
      <c r="E807" s="6"/>
      <c r="F807" s="6"/>
      <c r="G807" s="5"/>
      <c r="H807" s="37"/>
      <c r="I807" s="36"/>
      <c r="J807" s="7"/>
      <c r="K807" s="7"/>
      <c r="L807" s="7"/>
      <c r="M807" s="74"/>
      <c r="N807" s="74"/>
      <c r="O807" s="7"/>
      <c r="P807" s="74"/>
      <c r="Q807" s="7"/>
      <c r="R807" s="74"/>
      <c r="S807" s="74"/>
      <c r="T807" s="7"/>
      <c r="U807" s="7"/>
      <c r="V807" s="74"/>
      <c r="W807" s="74"/>
      <c r="X807" s="74"/>
      <c r="Y807" s="227"/>
      <c r="Z807" s="228"/>
      <c r="AA807" s="74"/>
      <c r="AB807" s="74"/>
      <c r="AC807" s="74"/>
      <c r="AD807" s="74"/>
      <c r="AE807" s="7"/>
      <c r="AF807" s="74"/>
      <c r="AG807" s="74"/>
      <c r="AH807" s="7"/>
      <c r="AI807" s="7"/>
      <c r="AJ807" s="7"/>
      <c r="AK807" s="7"/>
      <c r="AL807" s="7"/>
      <c r="AM807" s="7"/>
      <c r="AN807" s="7"/>
      <c r="AO807" s="74"/>
      <c r="AP807" s="7"/>
      <c r="AQ807" s="74"/>
      <c r="AR807" s="101"/>
      <c r="AS807" s="7"/>
      <c r="AT807" s="101"/>
      <c r="AU807" s="7"/>
      <c r="AV807" s="101"/>
      <c r="AW807" s="7"/>
      <c r="AX807" s="183"/>
      <c r="AY807" s="107"/>
      <c r="AZ807" s="74"/>
      <c r="BA807" s="74"/>
      <c r="BB807" s="74"/>
      <c r="BC807" s="74"/>
      <c r="BD807" s="74"/>
      <c r="BE807" s="74"/>
      <c r="BF807" s="74"/>
      <c r="BG807" s="74"/>
      <c r="BH807" s="74"/>
      <c r="BI807" s="74"/>
      <c r="BJ807" s="74"/>
      <c r="BK807" s="7"/>
      <c r="BL807" s="74"/>
      <c r="BM807" s="7"/>
      <c r="BN807" s="74"/>
      <c r="BO807" s="74"/>
      <c r="BP807" s="74"/>
      <c r="BQ807" s="74"/>
      <c r="BR807" s="74"/>
      <c r="BS807" s="74"/>
      <c r="BT807" s="74"/>
      <c r="BU807" s="74"/>
      <c r="BV807" s="74"/>
      <c r="BW807" s="74"/>
      <c r="BX807" s="74"/>
      <c r="BY807" s="74"/>
      <c r="BZ807" s="74"/>
      <c r="CA807" s="74"/>
      <c r="CB807" s="74"/>
      <c r="CC807" s="74"/>
      <c r="CD807" s="74"/>
      <c r="CE807" s="7"/>
      <c r="CF807" s="74"/>
      <c r="CG807" s="74"/>
      <c r="CH807" s="7"/>
      <c r="CI807" s="74"/>
      <c r="CJ807" s="74"/>
      <c r="CK807" s="101"/>
      <c r="CL807" s="74"/>
      <c r="CM807" s="74"/>
      <c r="CN807" s="74"/>
      <c r="CO807" s="101"/>
      <c r="CP807" s="74"/>
      <c r="CQ807" s="74"/>
      <c r="CR807" s="74"/>
      <c r="CS807" s="74"/>
      <c r="CT807" s="74"/>
      <c r="CU807" s="74"/>
      <c r="CV807" s="74"/>
      <c r="CW807" s="74"/>
      <c r="CX807" s="74"/>
      <c r="CY807" s="74"/>
      <c r="CZ807" s="74"/>
      <c r="DA807" s="74"/>
      <c r="DB807" s="74"/>
      <c r="DC807" s="74"/>
      <c r="DD807" s="74"/>
      <c r="DE807" s="74"/>
      <c r="DF807" s="74"/>
      <c r="DG807" s="74"/>
      <c r="DH807" s="74"/>
      <c r="DI807" s="74"/>
      <c r="DJ807" s="74"/>
      <c r="DK807" s="74"/>
      <c r="DL807" s="74"/>
      <c r="DM807" s="74"/>
      <c r="DN807" s="74"/>
      <c r="DO807" s="74"/>
      <c r="DP807" s="74"/>
      <c r="DQ807" s="74"/>
      <c r="DR807" s="74"/>
      <c r="DS807" s="74"/>
      <c r="DT807" s="74"/>
      <c r="DU807" s="74"/>
      <c r="DV807" s="74"/>
      <c r="DW807" s="74"/>
      <c r="DX807" s="74"/>
      <c r="DY807" s="74"/>
      <c r="DZ807" s="8">
        <f t="shared" si="208"/>
        <v>0</v>
      </c>
      <c r="EA807" s="3">
        <f t="shared" si="209"/>
        <v>0</v>
      </c>
      <c r="EB807" s="2">
        <f t="shared" si="210"/>
        <v>0</v>
      </c>
      <c r="EC807" s="112">
        <f t="shared" si="218"/>
        <v>0</v>
      </c>
      <c r="ED807" s="29">
        <f t="shared" si="211"/>
        <v>0</v>
      </c>
      <c r="EE807" s="2">
        <f t="shared" si="212"/>
        <v>0</v>
      </c>
      <c r="EF807" s="46">
        <f t="shared" si="213"/>
        <v>0</v>
      </c>
      <c r="EG807" s="46">
        <f t="shared" si="214"/>
        <v>0</v>
      </c>
      <c r="EH807" s="29">
        <f t="shared" si="215"/>
        <v>0</v>
      </c>
      <c r="EI807" s="29">
        <f>IF(COUNT(I807:AD807)&lt;5,DZ807,SUMPRODUCT(LARGE(I807:AD807,{1,2,3,4,5}))/5)</f>
        <v>0</v>
      </c>
      <c r="EJ807" s="29">
        <f>IF(COUNT(I807:BE807)&lt;5,DZ807,SUMPRODUCT(LARGE(I807:BE807,{1,2,3,4,5}))/5)</f>
        <v>0</v>
      </c>
      <c r="EK807" s="29">
        <f t="shared" si="217"/>
        <v>0</v>
      </c>
      <c r="EL807" s="29">
        <f>(EK807*100)/101.28</f>
        <v>0</v>
      </c>
      <c r="EM807" s="116">
        <f t="shared" si="216"/>
        <v>0</v>
      </c>
      <c r="EQ807"/>
    </row>
    <row r="808" spans="1:147" x14ac:dyDescent="0.25">
      <c r="A808" s="59"/>
      <c r="B808" s="4"/>
      <c r="C808" s="5"/>
      <c r="D808" s="5"/>
      <c r="E808" s="6"/>
      <c r="F808" s="6"/>
      <c r="G808" s="5"/>
      <c r="H808" s="37"/>
      <c r="I808" s="36"/>
      <c r="J808" s="7"/>
      <c r="K808" s="7"/>
      <c r="L808" s="7"/>
      <c r="M808" s="74"/>
      <c r="N808" s="74"/>
      <c r="O808" s="7"/>
      <c r="P808" s="74"/>
      <c r="Q808" s="7"/>
      <c r="R808" s="74"/>
      <c r="S808" s="74"/>
      <c r="T808" s="7"/>
      <c r="U808" s="7"/>
      <c r="V808" s="74"/>
      <c r="W808" s="74"/>
      <c r="X808" s="74"/>
      <c r="Y808" s="227"/>
      <c r="Z808" s="228"/>
      <c r="AA808" s="100"/>
      <c r="AB808" s="74"/>
      <c r="AC808" s="74"/>
      <c r="AD808" s="74"/>
      <c r="AE808" s="7"/>
      <c r="AF808" s="74"/>
      <c r="AG808" s="74"/>
      <c r="AH808" s="7"/>
      <c r="AI808" s="7"/>
      <c r="AJ808" s="7"/>
      <c r="AK808" s="7"/>
      <c r="AL808" s="7"/>
      <c r="AM808" s="7"/>
      <c r="AN808" s="7"/>
      <c r="AO808" s="74"/>
      <c r="AP808" s="7"/>
      <c r="AQ808" s="74"/>
      <c r="AR808" s="101"/>
      <c r="AS808" s="7"/>
      <c r="AT808" s="101"/>
      <c r="AU808" s="7"/>
      <c r="AV808" s="101"/>
      <c r="AW808" s="7"/>
      <c r="AX808" s="183"/>
      <c r="AY808" s="107"/>
      <c r="AZ808" s="74"/>
      <c r="BA808" s="74"/>
      <c r="BB808" s="74"/>
      <c r="BC808" s="74"/>
      <c r="BD808" s="74"/>
      <c r="BE808" s="74"/>
      <c r="BF808" s="74"/>
      <c r="BG808" s="74"/>
      <c r="BH808" s="74"/>
      <c r="BI808" s="74"/>
      <c r="BJ808" s="74"/>
      <c r="BK808" s="7"/>
      <c r="BL808" s="74"/>
      <c r="BM808" s="7"/>
      <c r="BN808" s="74"/>
      <c r="BO808" s="74"/>
      <c r="BP808" s="74"/>
      <c r="BQ808" s="74"/>
      <c r="BR808" s="74"/>
      <c r="BS808" s="74"/>
      <c r="BT808" s="74"/>
      <c r="BU808" s="74"/>
      <c r="BV808" s="74"/>
      <c r="BW808" s="74"/>
      <c r="BX808" s="74"/>
      <c r="BY808" s="74"/>
      <c r="BZ808" s="74"/>
      <c r="CA808" s="74"/>
      <c r="CB808" s="74"/>
      <c r="CC808" s="74"/>
      <c r="CD808" s="74"/>
      <c r="CE808" s="7"/>
      <c r="CF808" s="74"/>
      <c r="CG808" s="74"/>
      <c r="CH808" s="7"/>
      <c r="CI808" s="74"/>
      <c r="CJ808" s="74"/>
      <c r="CK808" s="101"/>
      <c r="CL808" s="74"/>
      <c r="CM808" s="7"/>
      <c r="CN808" s="74"/>
      <c r="CO808" s="101"/>
      <c r="CP808" s="74"/>
      <c r="CQ808" s="74"/>
      <c r="CR808" s="74"/>
      <c r="CS808" s="74"/>
      <c r="CT808" s="74"/>
      <c r="CU808" s="74"/>
      <c r="CV808" s="74"/>
      <c r="CW808" s="74"/>
      <c r="CX808" s="74"/>
      <c r="CY808" s="74"/>
      <c r="CZ808" s="74"/>
      <c r="DA808" s="74"/>
      <c r="DB808" s="74"/>
      <c r="DC808" s="74"/>
      <c r="DD808" s="74"/>
      <c r="DE808" s="74"/>
      <c r="DF808" s="74"/>
      <c r="DG808" s="74"/>
      <c r="DH808" s="74"/>
      <c r="DI808" s="74"/>
      <c r="DJ808" s="74"/>
      <c r="DK808" s="74"/>
      <c r="DL808" s="74"/>
      <c r="DM808" s="74"/>
      <c r="DN808" s="74"/>
      <c r="DO808" s="74"/>
      <c r="DP808" s="74"/>
      <c r="DQ808" s="74"/>
      <c r="DR808" s="74"/>
      <c r="DS808" s="74"/>
      <c r="DT808" s="100"/>
      <c r="DU808" s="74"/>
      <c r="DV808" s="74"/>
      <c r="DW808" s="74"/>
      <c r="DX808" s="74"/>
      <c r="DY808" s="74"/>
      <c r="DZ808" s="8">
        <f t="shared" si="208"/>
        <v>0</v>
      </c>
      <c r="EA808" s="3">
        <f t="shared" si="209"/>
        <v>0</v>
      </c>
      <c r="EB808" s="2">
        <f t="shared" si="210"/>
        <v>0</v>
      </c>
      <c r="EC808" s="112">
        <f t="shared" si="218"/>
        <v>0</v>
      </c>
      <c r="ED808" s="29">
        <f t="shared" si="211"/>
        <v>0</v>
      </c>
      <c r="EE808" s="2">
        <f t="shared" si="212"/>
        <v>0</v>
      </c>
      <c r="EF808" s="46">
        <f t="shared" si="213"/>
        <v>0</v>
      </c>
      <c r="EG808" s="46">
        <f t="shared" si="214"/>
        <v>0</v>
      </c>
      <c r="EH808" s="29">
        <f t="shared" si="215"/>
        <v>0</v>
      </c>
      <c r="EI808" s="29">
        <f>IF(COUNT(I808:AD808)&lt;5,DZ808,SUMPRODUCT(LARGE(I808:AD808,{1,2,3,4,5}))/5)</f>
        <v>0</v>
      </c>
      <c r="EJ808" s="29">
        <f>IF(COUNT(I808:BE808)&lt;5,DZ808,SUMPRODUCT(LARGE(I808:BE808,{1,2,3,4,5}))/5)</f>
        <v>0</v>
      </c>
      <c r="EK808" s="29">
        <f t="shared" si="217"/>
        <v>0</v>
      </c>
      <c r="EL808" s="29">
        <f>(EK808*100)/101.28</f>
        <v>0</v>
      </c>
      <c r="EM808" s="116">
        <f t="shared" si="216"/>
        <v>0</v>
      </c>
      <c r="EQ808"/>
    </row>
    <row r="809" spans="1:147" x14ac:dyDescent="0.25">
      <c r="A809" s="59"/>
      <c r="B809" s="32"/>
      <c r="C809" s="5"/>
      <c r="D809" s="6"/>
      <c r="E809" s="6"/>
      <c r="F809" s="6"/>
      <c r="G809" s="5"/>
      <c r="H809" s="37"/>
      <c r="I809" s="36"/>
      <c r="J809" s="7"/>
      <c r="K809" s="7"/>
      <c r="L809" s="7"/>
      <c r="M809" s="74"/>
      <c r="N809" s="74"/>
      <c r="O809" s="7"/>
      <c r="P809" s="74"/>
      <c r="Q809" s="7"/>
      <c r="R809" s="74"/>
      <c r="S809" s="74"/>
      <c r="T809" s="7"/>
      <c r="U809" s="7"/>
      <c r="V809" s="74"/>
      <c r="W809" s="74"/>
      <c r="X809" s="74"/>
      <c r="Y809" s="227"/>
      <c r="Z809" s="228"/>
      <c r="AA809" s="74"/>
      <c r="AB809" s="74"/>
      <c r="AC809" s="74"/>
      <c r="AD809" s="74"/>
      <c r="AE809" s="7"/>
      <c r="AF809" s="74"/>
      <c r="AG809" s="74"/>
      <c r="AH809" s="7"/>
      <c r="AI809" s="7"/>
      <c r="AJ809" s="7"/>
      <c r="AK809" s="7"/>
      <c r="AL809" s="7"/>
      <c r="AM809" s="7"/>
      <c r="AN809" s="7"/>
      <c r="AO809" s="74"/>
      <c r="AP809" s="7"/>
      <c r="AQ809" s="74"/>
      <c r="AR809" s="101"/>
      <c r="AS809" s="7"/>
      <c r="AT809" s="101"/>
      <c r="AU809" s="7"/>
      <c r="AV809" s="101"/>
      <c r="AW809" s="7"/>
      <c r="AX809" s="183"/>
      <c r="AY809" s="107"/>
      <c r="AZ809" s="74"/>
      <c r="BA809" s="74"/>
      <c r="BB809" s="74"/>
      <c r="BC809" s="74"/>
      <c r="BD809" s="74"/>
      <c r="BE809" s="74"/>
      <c r="BF809" s="74"/>
      <c r="BG809" s="74"/>
      <c r="BH809" s="74"/>
      <c r="BI809" s="74"/>
      <c r="BJ809" s="74"/>
      <c r="BK809" s="7"/>
      <c r="BL809" s="74"/>
      <c r="BM809" s="7"/>
      <c r="BN809" s="74"/>
      <c r="BO809" s="74"/>
      <c r="BP809" s="74"/>
      <c r="BQ809" s="74"/>
      <c r="BR809" s="74"/>
      <c r="BS809" s="74"/>
      <c r="BT809" s="74"/>
      <c r="BU809" s="74"/>
      <c r="BV809" s="74"/>
      <c r="BW809" s="74"/>
      <c r="BX809" s="74"/>
      <c r="BY809" s="74"/>
      <c r="BZ809" s="74"/>
      <c r="CA809" s="74"/>
      <c r="CB809" s="74"/>
      <c r="CC809" s="74"/>
      <c r="CD809" s="74"/>
      <c r="CE809" s="7"/>
      <c r="CF809" s="74"/>
      <c r="CG809" s="74"/>
      <c r="CH809" s="7"/>
      <c r="CI809" s="74"/>
      <c r="CJ809" s="74"/>
      <c r="CK809" s="101"/>
      <c r="CL809" s="74"/>
      <c r="CM809" s="74"/>
      <c r="CN809" s="74"/>
      <c r="CO809" s="101"/>
      <c r="CP809" s="74"/>
      <c r="CQ809" s="74"/>
      <c r="CR809" s="74"/>
      <c r="CS809" s="74"/>
      <c r="CT809" s="74"/>
      <c r="CU809" s="74"/>
      <c r="CV809" s="74"/>
      <c r="CW809" s="74"/>
      <c r="CX809" s="74"/>
      <c r="CY809" s="74"/>
      <c r="CZ809" s="74"/>
      <c r="DA809" s="74"/>
      <c r="DB809" s="74"/>
      <c r="DC809" s="74"/>
      <c r="DD809" s="74"/>
      <c r="DE809" s="74"/>
      <c r="DF809" s="74"/>
      <c r="DG809" s="74"/>
      <c r="DH809" s="74"/>
      <c r="DI809" s="74"/>
      <c r="DJ809" s="74"/>
      <c r="DK809" s="74"/>
      <c r="DL809" s="74"/>
      <c r="DM809" s="74"/>
      <c r="DN809" s="74"/>
      <c r="DO809" s="74"/>
      <c r="DP809" s="74"/>
      <c r="DQ809" s="74"/>
      <c r="DR809" s="74"/>
      <c r="DS809" s="74"/>
      <c r="DT809" s="74"/>
      <c r="DU809" s="74"/>
      <c r="DV809" s="74"/>
      <c r="DW809" s="74"/>
      <c r="DX809" s="74"/>
      <c r="DY809" s="74"/>
      <c r="DZ809" s="8">
        <f t="shared" si="208"/>
        <v>0</v>
      </c>
      <c r="EA809" s="3">
        <f t="shared" si="209"/>
        <v>0</v>
      </c>
      <c r="EB809" s="2">
        <f t="shared" si="210"/>
        <v>0</v>
      </c>
      <c r="EC809" s="112">
        <f t="shared" si="218"/>
        <v>0</v>
      </c>
      <c r="ED809" s="29">
        <f t="shared" si="211"/>
        <v>0</v>
      </c>
      <c r="EE809" s="2">
        <f t="shared" si="212"/>
        <v>0</v>
      </c>
      <c r="EF809" s="46">
        <f t="shared" si="213"/>
        <v>0</v>
      </c>
      <c r="EG809" s="46">
        <f t="shared" si="214"/>
        <v>0</v>
      </c>
      <c r="EH809" s="29">
        <f t="shared" si="215"/>
        <v>0</v>
      </c>
      <c r="EI809" s="29">
        <f>IF(COUNT(I809:AD809)&lt;5,DZ809,SUMPRODUCT(LARGE(I809:AD809,{1,2,3,4,5}))/5)</f>
        <v>0</v>
      </c>
      <c r="EJ809" s="29">
        <f>IF(COUNT(I809:BE809)&lt;5,DZ809,SUMPRODUCT(LARGE(I809:BE809,{1,2,3,4,5}))/5)</f>
        <v>0</v>
      </c>
      <c r="EK809" s="29">
        <f t="shared" si="217"/>
        <v>0</v>
      </c>
      <c r="EL809" s="29">
        <f>(EK809*100)/101.59</f>
        <v>0</v>
      </c>
      <c r="EM809" s="116">
        <f t="shared" si="216"/>
        <v>0</v>
      </c>
      <c r="EQ809"/>
    </row>
    <row r="810" spans="1:147" x14ac:dyDescent="0.25">
      <c r="A810" s="59"/>
      <c r="B810" s="32"/>
      <c r="C810" s="5"/>
      <c r="D810" s="6"/>
      <c r="E810" s="6"/>
      <c r="F810" s="6"/>
      <c r="G810" s="5"/>
      <c r="H810" s="99"/>
      <c r="I810" s="36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227"/>
      <c r="Z810" s="228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4"/>
      <c r="AP810" s="7"/>
      <c r="AQ810" s="74"/>
      <c r="AR810" s="70"/>
      <c r="AS810" s="7"/>
      <c r="AT810" s="70"/>
      <c r="AU810" s="7"/>
      <c r="AV810" s="70"/>
      <c r="AW810" s="7"/>
      <c r="AX810" s="183"/>
      <c r="AY810" s="10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4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101"/>
      <c r="CL810" s="74"/>
      <c r="CM810" s="74"/>
      <c r="CN810" s="74"/>
      <c r="CO810" s="70"/>
      <c r="CP810" s="74"/>
      <c r="CQ810" s="7"/>
      <c r="CR810" s="74"/>
      <c r="CS810" s="74"/>
      <c r="CT810" s="74"/>
      <c r="CU810" s="74"/>
      <c r="CV810" s="7"/>
      <c r="CW810" s="7"/>
      <c r="CX810" s="7"/>
      <c r="CY810" s="7"/>
      <c r="CZ810" s="7"/>
      <c r="DA810" s="7"/>
      <c r="DB810" s="7"/>
      <c r="DC810" s="7"/>
      <c r="DD810" s="7"/>
      <c r="DE810" s="74"/>
      <c r="DF810" s="74"/>
      <c r="DG810" s="74"/>
      <c r="DH810" s="7"/>
      <c r="DI810" s="74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8">
        <f t="shared" si="208"/>
        <v>0</v>
      </c>
      <c r="EA810" s="3">
        <f t="shared" si="209"/>
        <v>0</v>
      </c>
      <c r="EB810" s="2">
        <f t="shared" si="210"/>
        <v>0</v>
      </c>
      <c r="EC810" s="112">
        <f t="shared" si="218"/>
        <v>0</v>
      </c>
      <c r="ED810" s="29">
        <f t="shared" si="211"/>
        <v>0</v>
      </c>
      <c r="EE810" s="2">
        <f t="shared" si="212"/>
        <v>0</v>
      </c>
      <c r="EF810" s="46">
        <f t="shared" si="213"/>
        <v>0</v>
      </c>
      <c r="EG810" s="46">
        <f t="shared" si="214"/>
        <v>0</v>
      </c>
      <c r="EH810" s="2">
        <f t="shared" si="215"/>
        <v>0</v>
      </c>
      <c r="EI810" s="29">
        <f>IF(COUNT(I810:AD810)&lt;5,DZ810,SUMPRODUCT(LARGE(I810:AD810,{1,2,3,4,5}))/5)</f>
        <v>0</v>
      </c>
      <c r="EJ810" s="29">
        <f>IF(COUNT(I810:BE810)&lt;5,DZ810,SUMPRODUCT(LARGE(I810:BE810,{1,2,3,4,5}))/5)</f>
        <v>0</v>
      </c>
      <c r="EK810" s="29">
        <f t="shared" si="217"/>
        <v>0</v>
      </c>
      <c r="EL810" s="29">
        <f t="shared" ref="EL810:EL824" si="220">(EK810*100)/101.28</f>
        <v>0</v>
      </c>
      <c r="EM810" s="116">
        <f t="shared" si="216"/>
        <v>0</v>
      </c>
      <c r="EQ810"/>
    </row>
    <row r="811" spans="1:147" x14ac:dyDescent="0.25">
      <c r="A811" s="59"/>
      <c r="B811" s="32"/>
      <c r="C811" s="5"/>
      <c r="D811" s="6"/>
      <c r="E811" s="6"/>
      <c r="F811" s="6"/>
      <c r="G811" s="5"/>
      <c r="H811" s="37"/>
      <c r="I811" s="36"/>
      <c r="J811" s="7"/>
      <c r="K811" s="7"/>
      <c r="L811" s="7"/>
      <c r="M811" s="74"/>
      <c r="N811" s="74"/>
      <c r="O811" s="7"/>
      <c r="P811" s="74"/>
      <c r="Q811" s="7"/>
      <c r="R811" s="74"/>
      <c r="S811" s="74"/>
      <c r="T811" s="7"/>
      <c r="U811" s="7"/>
      <c r="V811" s="74"/>
      <c r="W811" s="74"/>
      <c r="X811" s="74"/>
      <c r="Y811" s="227"/>
      <c r="Z811" s="228"/>
      <c r="AA811" s="74"/>
      <c r="AB811" s="74"/>
      <c r="AC811" s="74"/>
      <c r="AD811" s="74"/>
      <c r="AE811" s="7"/>
      <c r="AF811" s="74"/>
      <c r="AG811" s="74"/>
      <c r="AH811" s="7"/>
      <c r="AI811" s="7"/>
      <c r="AJ811" s="7"/>
      <c r="AK811" s="7"/>
      <c r="AL811" s="7"/>
      <c r="AM811" s="7"/>
      <c r="AN811" s="7"/>
      <c r="AO811" s="74"/>
      <c r="AP811" s="7"/>
      <c r="AQ811" s="74"/>
      <c r="AR811" s="101"/>
      <c r="AS811" s="7"/>
      <c r="AT811" s="101"/>
      <c r="AU811" s="7"/>
      <c r="AV811" s="101"/>
      <c r="AW811" s="7"/>
      <c r="AX811" s="183"/>
      <c r="AY811" s="107"/>
      <c r="AZ811" s="74"/>
      <c r="BA811" s="74"/>
      <c r="BB811" s="74"/>
      <c r="BC811" s="74"/>
      <c r="BD811" s="74"/>
      <c r="BE811" s="74"/>
      <c r="BF811" s="74"/>
      <c r="BG811" s="74"/>
      <c r="BH811" s="74"/>
      <c r="BI811" s="74"/>
      <c r="BJ811" s="74"/>
      <c r="BK811" s="7"/>
      <c r="BL811" s="74"/>
      <c r="BM811" s="7"/>
      <c r="BN811" s="74"/>
      <c r="BO811" s="74"/>
      <c r="BP811" s="74"/>
      <c r="BQ811" s="74"/>
      <c r="BR811" s="74"/>
      <c r="BS811" s="74"/>
      <c r="BT811" s="74"/>
      <c r="BU811" s="74"/>
      <c r="BV811" s="74"/>
      <c r="BW811" s="74"/>
      <c r="BX811" s="74"/>
      <c r="BY811" s="74"/>
      <c r="BZ811" s="74"/>
      <c r="CA811" s="74"/>
      <c r="CB811" s="74"/>
      <c r="CC811" s="74"/>
      <c r="CD811" s="74"/>
      <c r="CE811" s="7"/>
      <c r="CF811" s="74"/>
      <c r="CG811" s="74"/>
      <c r="CH811" s="7"/>
      <c r="CI811" s="74"/>
      <c r="CJ811" s="74"/>
      <c r="CK811" s="101"/>
      <c r="CL811" s="74"/>
      <c r="CM811" s="74"/>
      <c r="CN811" s="74"/>
      <c r="CO811" s="101"/>
      <c r="CP811" s="74"/>
      <c r="CQ811" s="74"/>
      <c r="CR811" s="74"/>
      <c r="CS811" s="74"/>
      <c r="CT811" s="74"/>
      <c r="CU811" s="74"/>
      <c r="CV811" s="74"/>
      <c r="CW811" s="74"/>
      <c r="CX811" s="74"/>
      <c r="CY811" s="74"/>
      <c r="CZ811" s="74"/>
      <c r="DA811" s="74"/>
      <c r="DB811" s="74"/>
      <c r="DC811" s="74"/>
      <c r="DD811" s="74"/>
      <c r="DE811" s="74"/>
      <c r="DF811" s="74"/>
      <c r="DG811" s="74"/>
      <c r="DH811" s="74"/>
      <c r="DI811" s="74"/>
      <c r="DJ811" s="74"/>
      <c r="DK811" s="74"/>
      <c r="DL811" s="74"/>
      <c r="DM811" s="74"/>
      <c r="DN811" s="74"/>
      <c r="DO811" s="74"/>
      <c r="DP811" s="74"/>
      <c r="DQ811" s="74"/>
      <c r="DR811" s="74"/>
      <c r="DS811" s="74"/>
      <c r="DT811" s="74"/>
      <c r="DU811" s="74"/>
      <c r="DV811" s="74"/>
      <c r="DW811" s="74"/>
      <c r="DX811" s="74"/>
      <c r="DY811" s="74"/>
      <c r="DZ811" s="8">
        <f t="shared" si="208"/>
        <v>0</v>
      </c>
      <c r="EA811" s="3">
        <f t="shared" si="209"/>
        <v>0</v>
      </c>
      <c r="EB811" s="2">
        <f t="shared" si="210"/>
        <v>0</v>
      </c>
      <c r="EC811" s="112">
        <f t="shared" si="218"/>
        <v>0</v>
      </c>
      <c r="ED811" s="29">
        <f t="shared" si="211"/>
        <v>0</v>
      </c>
      <c r="EE811" s="2">
        <f t="shared" si="212"/>
        <v>0</v>
      </c>
      <c r="EF811" s="46">
        <f t="shared" si="213"/>
        <v>0</v>
      </c>
      <c r="EG811" s="46">
        <f t="shared" si="214"/>
        <v>0</v>
      </c>
      <c r="EH811" s="29">
        <f t="shared" si="215"/>
        <v>0</v>
      </c>
      <c r="EI811" s="29">
        <f>IF(COUNT(I811:AD811)&lt;5,DZ811,SUMPRODUCT(LARGE(I811:AD811,{1,2,3,4,5}))/5)</f>
        <v>0</v>
      </c>
      <c r="EJ811" s="29">
        <f>IF(COUNT(I811:BE811)&lt;5,DZ811,SUMPRODUCT(LARGE(I811:BE811,{1,2,3,4,5}))/5)</f>
        <v>0</v>
      </c>
      <c r="EK811" s="29">
        <f t="shared" si="217"/>
        <v>0</v>
      </c>
      <c r="EL811" s="29">
        <f t="shared" si="220"/>
        <v>0</v>
      </c>
      <c r="EM811" s="116">
        <f t="shared" si="216"/>
        <v>0</v>
      </c>
      <c r="EQ811"/>
    </row>
    <row r="812" spans="1:147" x14ac:dyDescent="0.25">
      <c r="A812" s="59"/>
      <c r="B812" s="32"/>
      <c r="C812" s="5"/>
      <c r="D812" s="6"/>
      <c r="E812" s="6"/>
      <c r="F812" s="6"/>
      <c r="G812" s="5"/>
      <c r="H812" s="37"/>
      <c r="I812" s="107"/>
      <c r="J812" s="7"/>
      <c r="K812" s="74"/>
      <c r="L812" s="7"/>
      <c r="M812" s="74"/>
      <c r="N812" s="74"/>
      <c r="O812" s="7"/>
      <c r="P812" s="74"/>
      <c r="Q812" s="7"/>
      <c r="R812" s="74"/>
      <c r="S812" s="74"/>
      <c r="T812" s="7"/>
      <c r="U812" s="7"/>
      <c r="V812" s="74"/>
      <c r="W812" s="7"/>
      <c r="X812" s="74"/>
      <c r="Y812" s="227"/>
      <c r="Z812" s="228"/>
      <c r="AA812" s="74"/>
      <c r="AB812" s="74"/>
      <c r="AC812" s="74"/>
      <c r="AD812" s="74"/>
      <c r="AE812" s="7"/>
      <c r="AF812" s="74"/>
      <c r="AG812" s="74"/>
      <c r="AH812" s="7"/>
      <c r="AI812" s="7"/>
      <c r="AJ812" s="7"/>
      <c r="AK812" s="7"/>
      <c r="AL812" s="7"/>
      <c r="AM812" s="7"/>
      <c r="AN812" s="7"/>
      <c r="AO812" s="74"/>
      <c r="AP812" s="7"/>
      <c r="AQ812" s="74"/>
      <c r="AR812" s="101"/>
      <c r="AS812" s="7"/>
      <c r="AT812" s="101"/>
      <c r="AU812" s="7"/>
      <c r="AV812" s="101"/>
      <c r="AW812" s="7"/>
      <c r="AX812" s="183"/>
      <c r="AY812" s="107"/>
      <c r="AZ812" s="74"/>
      <c r="BA812" s="74"/>
      <c r="BB812" s="74"/>
      <c r="BC812" s="74"/>
      <c r="BD812" s="74"/>
      <c r="BE812" s="74"/>
      <c r="BF812" s="74"/>
      <c r="BG812" s="74"/>
      <c r="BH812" s="74"/>
      <c r="BI812" s="74"/>
      <c r="BJ812" s="7"/>
      <c r="BK812" s="7"/>
      <c r="BL812" s="7"/>
      <c r="BM812" s="7"/>
      <c r="BN812" s="74"/>
      <c r="BO812" s="74"/>
      <c r="BP812" s="74"/>
      <c r="BQ812" s="74"/>
      <c r="BR812" s="74"/>
      <c r="BS812" s="74"/>
      <c r="BT812" s="74"/>
      <c r="BU812" s="74"/>
      <c r="BV812" s="74"/>
      <c r="BW812" s="74"/>
      <c r="BX812" s="74"/>
      <c r="BY812" s="74"/>
      <c r="BZ812" s="7"/>
      <c r="CA812" s="74"/>
      <c r="CB812" s="74"/>
      <c r="CC812" s="74"/>
      <c r="CD812" s="74"/>
      <c r="CE812" s="7"/>
      <c r="CF812" s="74"/>
      <c r="CG812" s="74"/>
      <c r="CH812" s="7"/>
      <c r="CI812" s="74"/>
      <c r="CJ812" s="74"/>
      <c r="CK812" s="101"/>
      <c r="CL812" s="74"/>
      <c r="CM812" s="74"/>
      <c r="CN812" s="74"/>
      <c r="CO812" s="101"/>
      <c r="CP812" s="74"/>
      <c r="CQ812" s="74"/>
      <c r="CR812" s="74"/>
      <c r="CS812" s="74"/>
      <c r="CT812" s="74"/>
      <c r="CU812" s="74"/>
      <c r="CV812" s="74"/>
      <c r="CW812" s="74"/>
      <c r="CX812" s="74"/>
      <c r="CY812" s="74"/>
      <c r="CZ812" s="74"/>
      <c r="DA812" s="74"/>
      <c r="DB812" s="74"/>
      <c r="DC812" s="74"/>
      <c r="DD812" s="74"/>
      <c r="DE812" s="74"/>
      <c r="DF812" s="74"/>
      <c r="DG812" s="74"/>
      <c r="DH812" s="74"/>
      <c r="DI812" s="74"/>
      <c r="DJ812" s="74"/>
      <c r="DK812" s="74"/>
      <c r="DL812" s="74"/>
      <c r="DM812" s="74"/>
      <c r="DN812" s="74"/>
      <c r="DO812" s="74"/>
      <c r="DP812" s="74"/>
      <c r="DQ812" s="74"/>
      <c r="DR812" s="74"/>
      <c r="DS812" s="74"/>
      <c r="DT812" s="74"/>
      <c r="DU812" s="74"/>
      <c r="DV812" s="74"/>
      <c r="DW812" s="74"/>
      <c r="DX812" s="74"/>
      <c r="DY812" s="74"/>
      <c r="DZ812" s="8">
        <f t="shared" si="208"/>
        <v>0</v>
      </c>
      <c r="EA812" s="3">
        <f t="shared" si="209"/>
        <v>0</v>
      </c>
      <c r="EB812" s="2">
        <f t="shared" si="210"/>
        <v>0</v>
      </c>
      <c r="EC812" s="112">
        <f t="shared" si="218"/>
        <v>0</v>
      </c>
      <c r="ED812" s="29">
        <f t="shared" si="211"/>
        <v>0</v>
      </c>
      <c r="EE812" s="2">
        <f t="shared" si="212"/>
        <v>0</v>
      </c>
      <c r="EF812" s="46">
        <f t="shared" si="213"/>
        <v>0</v>
      </c>
      <c r="EG812" s="46">
        <f t="shared" si="214"/>
        <v>0</v>
      </c>
      <c r="EH812" s="29">
        <f t="shared" si="215"/>
        <v>0</v>
      </c>
      <c r="EI812" s="29">
        <f>IF(COUNT(I812:AD812)&lt;5,DZ812,SUMPRODUCT(LARGE(I812:AD812,{1,2,3,4,5}))/5)</f>
        <v>0</v>
      </c>
      <c r="EJ812" s="29">
        <f>IF(COUNT(I812:BE812)&lt;5,DZ812,SUMPRODUCT(LARGE(I812:BE812,{1,2,3,4,5}))/5)</f>
        <v>0</v>
      </c>
      <c r="EK812" s="29">
        <f t="shared" si="217"/>
        <v>0</v>
      </c>
      <c r="EL812" s="29">
        <f t="shared" si="220"/>
        <v>0</v>
      </c>
      <c r="EM812" s="116">
        <f t="shared" si="216"/>
        <v>0</v>
      </c>
      <c r="EQ812"/>
    </row>
    <row r="813" spans="1:147" x14ac:dyDescent="0.25">
      <c r="A813" s="59"/>
      <c r="B813" s="32"/>
      <c r="C813" s="5"/>
      <c r="D813" s="6"/>
      <c r="E813" s="6"/>
      <c r="F813" s="6"/>
      <c r="G813" s="5"/>
      <c r="H813" s="99"/>
      <c r="I813" s="36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227"/>
      <c r="Z813" s="228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4"/>
      <c r="AP813" s="7"/>
      <c r="AQ813" s="74"/>
      <c r="AR813" s="70"/>
      <c r="AS813" s="7"/>
      <c r="AT813" s="70"/>
      <c r="AU813" s="7"/>
      <c r="AV813" s="70"/>
      <c r="AW813" s="7"/>
      <c r="AX813" s="8"/>
      <c r="AY813" s="36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101"/>
      <c r="CL813" s="74"/>
      <c r="CM813" s="74"/>
      <c r="CN813" s="74"/>
      <c r="CO813" s="70"/>
      <c r="CP813" s="74"/>
      <c r="CQ813" s="7"/>
      <c r="CR813" s="74"/>
      <c r="CS813" s="74"/>
      <c r="CT813" s="74"/>
      <c r="CU813" s="74"/>
      <c r="CV813" s="74"/>
      <c r="CW813" s="7"/>
      <c r="CX813" s="7"/>
      <c r="CY813" s="7"/>
      <c r="CZ813" s="74"/>
      <c r="DA813" s="7"/>
      <c r="DB813" s="7"/>
      <c r="DC813" s="7"/>
      <c r="DD813" s="7"/>
      <c r="DE813" s="74"/>
      <c r="DF813" s="74"/>
      <c r="DG813" s="74"/>
      <c r="DH813" s="74"/>
      <c r="DI813" s="74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8">
        <f t="shared" si="208"/>
        <v>0</v>
      </c>
      <c r="EA813" s="3">
        <f t="shared" si="209"/>
        <v>0</v>
      </c>
      <c r="EB813" s="2">
        <f t="shared" si="210"/>
        <v>0</v>
      </c>
      <c r="EC813" s="112">
        <f t="shared" si="218"/>
        <v>0</v>
      </c>
      <c r="ED813" s="29">
        <f t="shared" si="211"/>
        <v>0</v>
      </c>
      <c r="EE813" s="2">
        <f t="shared" si="212"/>
        <v>0</v>
      </c>
      <c r="EF813" s="46">
        <f t="shared" si="213"/>
        <v>0</v>
      </c>
      <c r="EG813" s="46">
        <f t="shared" si="214"/>
        <v>0</v>
      </c>
      <c r="EH813" s="2">
        <f t="shared" si="215"/>
        <v>0</v>
      </c>
      <c r="EI813" s="29">
        <f>IF(COUNT(I813:AD813)&lt;5,DZ813,SUMPRODUCT(LARGE(I813:AD813,{1,2,3,4,5}))/5)</f>
        <v>0</v>
      </c>
      <c r="EJ813" s="29">
        <f>IF(COUNT(I813:BE813)&lt;5,DZ813,SUMPRODUCT(LARGE(I813:BE813,{1,2,3,4,5}))/5)</f>
        <v>0</v>
      </c>
      <c r="EK813" s="29">
        <f t="shared" si="217"/>
        <v>0</v>
      </c>
      <c r="EL813" s="29">
        <f t="shared" si="220"/>
        <v>0</v>
      </c>
      <c r="EM813" s="116">
        <f t="shared" si="216"/>
        <v>0</v>
      </c>
      <c r="EQ813"/>
    </row>
    <row r="814" spans="1:147" x14ac:dyDescent="0.25">
      <c r="A814" s="59"/>
      <c r="B814" s="32"/>
      <c r="C814" s="5"/>
      <c r="D814" s="6"/>
      <c r="E814" s="6"/>
      <c r="F814" s="6"/>
      <c r="G814" s="5"/>
      <c r="H814" s="37"/>
      <c r="I814" s="36"/>
      <c r="J814" s="7"/>
      <c r="K814" s="7"/>
      <c r="L814" s="7"/>
      <c r="M814" s="74"/>
      <c r="N814" s="74"/>
      <c r="O814" s="7"/>
      <c r="P814" s="74"/>
      <c r="Q814" s="7"/>
      <c r="R814" s="74"/>
      <c r="S814" s="74"/>
      <c r="T814" s="7"/>
      <c r="U814" s="7"/>
      <c r="V814" s="74"/>
      <c r="W814" s="74"/>
      <c r="X814" s="74"/>
      <c r="Y814" s="227"/>
      <c r="Z814" s="228"/>
      <c r="AA814" s="74"/>
      <c r="AB814" s="74"/>
      <c r="AC814" s="74"/>
      <c r="AD814" s="74"/>
      <c r="AE814" s="7"/>
      <c r="AF814" s="74"/>
      <c r="AG814" s="74"/>
      <c r="AH814" s="7"/>
      <c r="AI814" s="7"/>
      <c r="AJ814" s="7"/>
      <c r="AK814" s="7"/>
      <c r="AL814" s="7"/>
      <c r="AM814" s="7"/>
      <c r="AN814" s="7"/>
      <c r="AO814" s="74"/>
      <c r="AP814" s="7"/>
      <c r="AQ814" s="74"/>
      <c r="AR814" s="101"/>
      <c r="AS814" s="7"/>
      <c r="AT814" s="101"/>
      <c r="AU814" s="7"/>
      <c r="AV814" s="101"/>
      <c r="AW814" s="7"/>
      <c r="AX814" s="183"/>
      <c r="AY814" s="107"/>
      <c r="AZ814" s="74"/>
      <c r="BA814" s="74"/>
      <c r="BB814" s="74"/>
      <c r="BC814" s="74"/>
      <c r="BD814" s="74"/>
      <c r="BE814" s="74"/>
      <c r="BF814" s="74"/>
      <c r="BG814" s="74"/>
      <c r="BH814" s="74"/>
      <c r="BI814" s="74"/>
      <c r="BJ814" s="74"/>
      <c r="BK814" s="7"/>
      <c r="BL814" s="74"/>
      <c r="BM814" s="7"/>
      <c r="BN814" s="74"/>
      <c r="BO814" s="74"/>
      <c r="BP814" s="74"/>
      <c r="BQ814" s="74"/>
      <c r="BR814" s="74"/>
      <c r="BS814" s="74"/>
      <c r="BT814" s="74"/>
      <c r="BU814" s="74"/>
      <c r="BV814" s="74"/>
      <c r="BW814" s="74"/>
      <c r="BX814" s="74"/>
      <c r="BY814" s="74"/>
      <c r="BZ814" s="74"/>
      <c r="CA814" s="74"/>
      <c r="CB814" s="74"/>
      <c r="CC814" s="74"/>
      <c r="CD814" s="74"/>
      <c r="CE814" s="7"/>
      <c r="CF814" s="74"/>
      <c r="CG814" s="74"/>
      <c r="CH814" s="7"/>
      <c r="CI814" s="74"/>
      <c r="CJ814" s="74"/>
      <c r="CK814" s="101"/>
      <c r="CL814" s="74"/>
      <c r="CM814" s="74"/>
      <c r="CN814" s="74"/>
      <c r="CO814" s="101"/>
      <c r="CP814" s="74"/>
      <c r="CQ814" s="74"/>
      <c r="CR814" s="74"/>
      <c r="CS814" s="74"/>
      <c r="CT814" s="74"/>
      <c r="CU814" s="74"/>
      <c r="CV814" s="74"/>
      <c r="CW814" s="74"/>
      <c r="CX814" s="74"/>
      <c r="CY814" s="74"/>
      <c r="CZ814" s="74"/>
      <c r="DA814" s="74"/>
      <c r="DB814" s="74"/>
      <c r="DC814" s="74"/>
      <c r="DD814" s="74"/>
      <c r="DE814" s="74"/>
      <c r="DF814" s="74"/>
      <c r="DG814" s="74"/>
      <c r="DH814" s="74"/>
      <c r="DI814" s="74"/>
      <c r="DJ814" s="74"/>
      <c r="DK814" s="74"/>
      <c r="DL814" s="74"/>
      <c r="DM814" s="74"/>
      <c r="DN814" s="74"/>
      <c r="DO814" s="74"/>
      <c r="DP814" s="74"/>
      <c r="DQ814" s="74"/>
      <c r="DR814" s="74"/>
      <c r="DS814" s="74"/>
      <c r="DT814" s="74"/>
      <c r="DU814" s="74"/>
      <c r="DV814" s="74"/>
      <c r="DW814" s="74"/>
      <c r="DX814" s="74"/>
      <c r="DY814" s="74"/>
      <c r="DZ814" s="8">
        <f t="shared" si="208"/>
        <v>0</v>
      </c>
      <c r="EA814" s="3">
        <f t="shared" si="209"/>
        <v>0</v>
      </c>
      <c r="EB814" s="2">
        <f t="shared" si="210"/>
        <v>0</v>
      </c>
      <c r="EC814" s="112">
        <f t="shared" si="218"/>
        <v>0</v>
      </c>
      <c r="ED814" s="29">
        <f t="shared" si="211"/>
        <v>0</v>
      </c>
      <c r="EE814" s="2">
        <f t="shared" si="212"/>
        <v>0</v>
      </c>
      <c r="EF814" s="46">
        <f t="shared" si="213"/>
        <v>0</v>
      </c>
      <c r="EG814" s="46">
        <f t="shared" si="214"/>
        <v>0</v>
      </c>
      <c r="EH814" s="29">
        <f t="shared" si="215"/>
        <v>0</v>
      </c>
      <c r="EI814" s="29">
        <f>IF(COUNT(I814:AD814)&lt;5,DZ814,SUMPRODUCT(LARGE(I814:AD814,{1,2,3,4,5}))/5)</f>
        <v>0</v>
      </c>
      <c r="EJ814" s="29">
        <f>IF(COUNT(I814:BE814)&lt;5,DZ814,SUMPRODUCT(LARGE(I814:BE814,{1,2,3,4,5}))/5)</f>
        <v>0</v>
      </c>
      <c r="EK814" s="29">
        <f t="shared" si="217"/>
        <v>0</v>
      </c>
      <c r="EL814" s="29">
        <f t="shared" si="220"/>
        <v>0</v>
      </c>
      <c r="EM814" s="116">
        <f t="shared" si="216"/>
        <v>0</v>
      </c>
      <c r="EQ814"/>
    </row>
    <row r="815" spans="1:147" x14ac:dyDescent="0.25">
      <c r="A815" s="59"/>
      <c r="B815" s="32"/>
      <c r="C815" s="5"/>
      <c r="D815" s="6"/>
      <c r="E815" s="6"/>
      <c r="F815" s="6"/>
      <c r="G815" s="5"/>
      <c r="H815" s="99"/>
      <c r="I815" s="36"/>
      <c r="J815" s="7"/>
      <c r="K815" s="7"/>
      <c r="L815" s="7"/>
      <c r="M815" s="74"/>
      <c r="N815" s="74"/>
      <c r="O815" s="7"/>
      <c r="P815" s="74"/>
      <c r="Q815" s="7"/>
      <c r="R815" s="74"/>
      <c r="S815" s="74"/>
      <c r="T815" s="7"/>
      <c r="U815" s="7"/>
      <c r="V815" s="74"/>
      <c r="W815" s="74"/>
      <c r="X815" s="74"/>
      <c r="Y815" s="227"/>
      <c r="Z815" s="228"/>
      <c r="AA815" s="74"/>
      <c r="AB815" s="74"/>
      <c r="AC815" s="74"/>
      <c r="AD815" s="74"/>
      <c r="AE815" s="7"/>
      <c r="AF815" s="74"/>
      <c r="AG815" s="74"/>
      <c r="AH815" s="7"/>
      <c r="AI815" s="7"/>
      <c r="AJ815" s="7"/>
      <c r="AK815" s="7"/>
      <c r="AL815" s="7"/>
      <c r="AM815" s="7"/>
      <c r="AN815" s="7"/>
      <c r="AO815" s="74"/>
      <c r="AP815" s="7"/>
      <c r="AQ815" s="74"/>
      <c r="AR815" s="101"/>
      <c r="AS815" s="7"/>
      <c r="AT815" s="101"/>
      <c r="AU815" s="7"/>
      <c r="AV815" s="101"/>
      <c r="AW815" s="7"/>
      <c r="AX815" s="183"/>
      <c r="AY815" s="107"/>
      <c r="AZ815" s="74"/>
      <c r="BA815" s="74"/>
      <c r="BB815" s="74"/>
      <c r="BC815" s="74"/>
      <c r="BD815" s="74"/>
      <c r="BE815" s="74"/>
      <c r="BF815" s="74"/>
      <c r="BG815" s="74"/>
      <c r="BH815" s="74"/>
      <c r="BI815" s="74"/>
      <c r="BJ815" s="74"/>
      <c r="BK815" s="7"/>
      <c r="BL815" s="74"/>
      <c r="BM815" s="7"/>
      <c r="BN815" s="74"/>
      <c r="BO815" s="74"/>
      <c r="BP815" s="74"/>
      <c r="BQ815" s="74"/>
      <c r="BR815" s="74"/>
      <c r="BS815" s="74"/>
      <c r="BT815" s="74"/>
      <c r="BU815" s="74"/>
      <c r="BV815" s="74"/>
      <c r="BW815" s="74"/>
      <c r="BX815" s="74"/>
      <c r="BY815" s="74"/>
      <c r="BZ815" s="74"/>
      <c r="CA815" s="74"/>
      <c r="CB815" s="74"/>
      <c r="CC815" s="74"/>
      <c r="CD815" s="74"/>
      <c r="CE815" s="7"/>
      <c r="CF815" s="74"/>
      <c r="CG815" s="74"/>
      <c r="CH815" s="7"/>
      <c r="CI815" s="74"/>
      <c r="CJ815" s="74"/>
      <c r="CK815" s="101"/>
      <c r="CL815" s="74"/>
      <c r="CM815" s="74"/>
      <c r="CN815" s="74"/>
      <c r="CO815" s="101"/>
      <c r="CP815" s="74"/>
      <c r="CQ815" s="74"/>
      <c r="CR815" s="74"/>
      <c r="CS815" s="74"/>
      <c r="CT815" s="74"/>
      <c r="CU815" s="74"/>
      <c r="CV815" s="74"/>
      <c r="CW815" s="74"/>
      <c r="CX815" s="74"/>
      <c r="CY815" s="74"/>
      <c r="CZ815" s="74"/>
      <c r="DA815" s="74"/>
      <c r="DB815" s="74"/>
      <c r="DC815" s="74"/>
      <c r="DD815" s="74"/>
      <c r="DE815" s="74"/>
      <c r="DF815" s="74"/>
      <c r="DG815" s="74"/>
      <c r="DH815" s="74"/>
      <c r="DI815" s="74"/>
      <c r="DJ815" s="74"/>
      <c r="DK815" s="74"/>
      <c r="DL815" s="74"/>
      <c r="DM815" s="74"/>
      <c r="DN815" s="74"/>
      <c r="DO815" s="74"/>
      <c r="DP815" s="74"/>
      <c r="DQ815" s="74"/>
      <c r="DR815" s="74"/>
      <c r="DS815" s="74"/>
      <c r="DT815" s="74"/>
      <c r="DU815" s="74"/>
      <c r="DV815" s="74"/>
      <c r="DW815" s="74"/>
      <c r="DX815" s="74"/>
      <c r="DY815" s="74"/>
      <c r="DZ815" s="8">
        <f t="shared" si="208"/>
        <v>0</v>
      </c>
      <c r="EA815" s="3">
        <f t="shared" si="209"/>
        <v>0</v>
      </c>
      <c r="EB815" s="2">
        <f t="shared" si="210"/>
        <v>0</v>
      </c>
      <c r="EC815" s="112">
        <f t="shared" si="218"/>
        <v>0</v>
      </c>
      <c r="ED815" s="29">
        <f t="shared" si="211"/>
        <v>0</v>
      </c>
      <c r="EE815" s="2">
        <f t="shared" si="212"/>
        <v>0</v>
      </c>
      <c r="EF815" s="46">
        <f t="shared" si="213"/>
        <v>0</v>
      </c>
      <c r="EG815" s="46">
        <f t="shared" si="214"/>
        <v>0</v>
      </c>
      <c r="EH815" s="29">
        <f t="shared" si="215"/>
        <v>0</v>
      </c>
      <c r="EI815" s="29">
        <f>IF(COUNT(I815:AD815)&lt;5,DZ815,SUMPRODUCT(LARGE(I815:AD815,{1,2,3,4,5}))/5)</f>
        <v>0</v>
      </c>
      <c r="EJ815" s="29">
        <f>IF(COUNT(I815:BE815)&lt;5,DZ815,SUMPRODUCT(LARGE(I815:BE815,{1,2,3,4,5}))/5)</f>
        <v>0</v>
      </c>
      <c r="EK815" s="29">
        <f t="shared" si="217"/>
        <v>0</v>
      </c>
      <c r="EL815" s="29">
        <f t="shared" si="220"/>
        <v>0</v>
      </c>
      <c r="EM815" s="116">
        <f t="shared" si="216"/>
        <v>0</v>
      </c>
      <c r="EQ815"/>
    </row>
    <row r="816" spans="1:147" x14ac:dyDescent="0.25">
      <c r="A816" s="59"/>
      <c r="B816" s="32"/>
      <c r="C816" s="5"/>
      <c r="D816" s="6"/>
      <c r="E816" s="6"/>
      <c r="F816" s="6"/>
      <c r="G816" s="5"/>
      <c r="H816" s="37"/>
      <c r="I816" s="36"/>
      <c r="J816" s="7"/>
      <c r="K816" s="7"/>
      <c r="L816" s="7"/>
      <c r="M816" s="74"/>
      <c r="N816" s="74"/>
      <c r="O816" s="7"/>
      <c r="P816" s="74"/>
      <c r="Q816" s="7"/>
      <c r="R816" s="74"/>
      <c r="S816" s="74"/>
      <c r="T816" s="7"/>
      <c r="U816" s="7"/>
      <c r="V816" s="74"/>
      <c r="W816" s="74"/>
      <c r="X816" s="74"/>
      <c r="Y816" s="227"/>
      <c r="Z816" s="228"/>
      <c r="AA816" s="74"/>
      <c r="AB816" s="74"/>
      <c r="AC816" s="74"/>
      <c r="AD816" s="74"/>
      <c r="AE816" s="7"/>
      <c r="AF816" s="74"/>
      <c r="AG816" s="74"/>
      <c r="AH816" s="7"/>
      <c r="AI816" s="7"/>
      <c r="AJ816" s="7"/>
      <c r="AK816" s="7"/>
      <c r="AL816" s="7"/>
      <c r="AM816" s="7"/>
      <c r="AN816" s="7"/>
      <c r="AO816" s="74"/>
      <c r="AP816" s="7"/>
      <c r="AQ816" s="74"/>
      <c r="AR816" s="101"/>
      <c r="AS816" s="7"/>
      <c r="AT816" s="101"/>
      <c r="AU816" s="7"/>
      <c r="AV816" s="101"/>
      <c r="AW816" s="7"/>
      <c r="AX816" s="8"/>
      <c r="AY816" s="36"/>
      <c r="AZ816" s="74"/>
      <c r="BA816" s="74"/>
      <c r="BB816" s="74"/>
      <c r="BC816" s="74"/>
      <c r="BD816" s="74"/>
      <c r="BE816" s="74"/>
      <c r="BF816" s="74"/>
      <c r="BG816" s="74"/>
      <c r="BH816" s="74"/>
      <c r="BI816" s="74"/>
      <c r="BJ816" s="74"/>
      <c r="BK816" s="7"/>
      <c r="BL816" s="74"/>
      <c r="BM816" s="7"/>
      <c r="BN816" s="74"/>
      <c r="BO816" s="74"/>
      <c r="BP816" s="74"/>
      <c r="BQ816" s="74"/>
      <c r="BR816" s="74"/>
      <c r="BS816" s="74"/>
      <c r="BT816" s="74"/>
      <c r="BU816" s="74"/>
      <c r="BV816" s="74"/>
      <c r="BW816" s="74"/>
      <c r="BX816" s="74"/>
      <c r="BY816" s="74"/>
      <c r="BZ816" s="74"/>
      <c r="CA816" s="74"/>
      <c r="CB816" s="74"/>
      <c r="CC816" s="74"/>
      <c r="CD816" s="74"/>
      <c r="CE816" s="7"/>
      <c r="CF816" s="74"/>
      <c r="CG816" s="74"/>
      <c r="CH816" s="7"/>
      <c r="CI816" s="74"/>
      <c r="CJ816" s="74"/>
      <c r="CK816" s="101"/>
      <c r="CL816" s="74"/>
      <c r="CM816" s="74"/>
      <c r="CN816" s="74"/>
      <c r="CO816" s="101"/>
      <c r="CP816" s="74"/>
      <c r="CQ816" s="74"/>
      <c r="CR816" s="74"/>
      <c r="CS816" s="74"/>
      <c r="CT816" s="74"/>
      <c r="CU816" s="74"/>
      <c r="CV816" s="74"/>
      <c r="CW816" s="74"/>
      <c r="CX816" s="74"/>
      <c r="CY816" s="74"/>
      <c r="CZ816" s="74"/>
      <c r="DA816" s="74"/>
      <c r="DB816" s="74"/>
      <c r="DC816" s="74"/>
      <c r="DD816" s="74"/>
      <c r="DE816" s="74"/>
      <c r="DF816" s="74"/>
      <c r="DG816" s="74"/>
      <c r="DH816" s="74"/>
      <c r="DI816" s="74"/>
      <c r="DJ816" s="74"/>
      <c r="DK816" s="74"/>
      <c r="DL816" s="74"/>
      <c r="DM816" s="74"/>
      <c r="DN816" s="74"/>
      <c r="DO816" s="74"/>
      <c r="DP816" s="74"/>
      <c r="DQ816" s="74"/>
      <c r="DR816" s="74"/>
      <c r="DS816" s="74"/>
      <c r="DT816" s="74"/>
      <c r="DU816" s="74"/>
      <c r="DV816" s="74"/>
      <c r="DW816" s="74"/>
      <c r="DX816" s="74"/>
      <c r="DY816" s="74"/>
      <c r="DZ816" s="8">
        <f t="shared" si="208"/>
        <v>0</v>
      </c>
      <c r="EA816" s="3">
        <f t="shared" si="209"/>
        <v>0</v>
      </c>
      <c r="EB816" s="2">
        <f t="shared" si="210"/>
        <v>0</v>
      </c>
      <c r="EC816" s="112">
        <f t="shared" si="218"/>
        <v>0</v>
      </c>
      <c r="ED816" s="29">
        <f t="shared" si="211"/>
        <v>0</v>
      </c>
      <c r="EE816" s="2">
        <f t="shared" si="212"/>
        <v>0</v>
      </c>
      <c r="EF816" s="46">
        <f t="shared" si="213"/>
        <v>0</v>
      </c>
      <c r="EG816" s="46">
        <f t="shared" si="214"/>
        <v>0</v>
      </c>
      <c r="EH816" s="29">
        <f t="shared" si="215"/>
        <v>0</v>
      </c>
      <c r="EI816" s="29">
        <f>IF(COUNT(I816:AD816)&lt;5,DZ816,SUMPRODUCT(LARGE(I816:AD816,{1,2,3,4,5}))/5)</f>
        <v>0</v>
      </c>
      <c r="EJ816" s="29">
        <f>IF(COUNT(I816:BE816)&lt;5,DZ816,SUMPRODUCT(LARGE(I816:BE816,{1,2,3,4,5}))/5)</f>
        <v>0</v>
      </c>
      <c r="EK816" s="29">
        <f t="shared" si="217"/>
        <v>0</v>
      </c>
      <c r="EL816" s="29">
        <f t="shared" si="220"/>
        <v>0</v>
      </c>
      <c r="EM816" s="116">
        <f t="shared" si="216"/>
        <v>0</v>
      </c>
      <c r="EQ816"/>
    </row>
    <row r="817" spans="1:147" x14ac:dyDescent="0.25">
      <c r="A817" s="59"/>
      <c r="B817" s="32"/>
      <c r="C817" s="5"/>
      <c r="D817" s="6"/>
      <c r="E817" s="6"/>
      <c r="F817" s="6"/>
      <c r="G817" s="5"/>
      <c r="H817" s="37"/>
      <c r="I817" s="36"/>
      <c r="J817" s="7"/>
      <c r="K817" s="7"/>
      <c r="L817" s="7"/>
      <c r="M817" s="74"/>
      <c r="N817" s="74"/>
      <c r="O817" s="7"/>
      <c r="P817" s="74"/>
      <c r="Q817" s="7"/>
      <c r="R817" s="74"/>
      <c r="S817" s="74"/>
      <c r="T817" s="7"/>
      <c r="U817" s="7"/>
      <c r="V817" s="74"/>
      <c r="W817" s="74"/>
      <c r="X817" s="74"/>
      <c r="Y817" s="227"/>
      <c r="Z817" s="228"/>
      <c r="AA817" s="74"/>
      <c r="AB817" s="74"/>
      <c r="AC817" s="74"/>
      <c r="AD817" s="74"/>
      <c r="AE817" s="7"/>
      <c r="AF817" s="74"/>
      <c r="AG817" s="74"/>
      <c r="AH817" s="7"/>
      <c r="AI817" s="7"/>
      <c r="AJ817" s="7"/>
      <c r="AK817" s="7"/>
      <c r="AL817" s="7"/>
      <c r="AM817" s="7"/>
      <c r="AN817" s="7"/>
      <c r="AO817" s="74"/>
      <c r="AP817" s="7"/>
      <c r="AQ817" s="74"/>
      <c r="AR817" s="101"/>
      <c r="AS817" s="7"/>
      <c r="AT817" s="101"/>
      <c r="AU817" s="7"/>
      <c r="AV817" s="101"/>
      <c r="AW817" s="7"/>
      <c r="AX817" s="183"/>
      <c r="AY817" s="107"/>
      <c r="AZ817" s="74"/>
      <c r="BA817" s="74"/>
      <c r="BB817" s="74"/>
      <c r="BC817" s="74"/>
      <c r="BD817" s="74"/>
      <c r="BE817" s="74"/>
      <c r="BF817" s="74"/>
      <c r="BG817" s="74"/>
      <c r="BH817" s="74"/>
      <c r="BI817" s="74"/>
      <c r="BJ817" s="74"/>
      <c r="BK817" s="7"/>
      <c r="BL817" s="74"/>
      <c r="BM817" s="7"/>
      <c r="BN817" s="74"/>
      <c r="BO817" s="74"/>
      <c r="BP817" s="74"/>
      <c r="BQ817" s="74"/>
      <c r="BR817" s="74"/>
      <c r="BS817" s="74"/>
      <c r="BT817" s="74"/>
      <c r="BU817" s="74"/>
      <c r="BV817" s="74"/>
      <c r="BW817" s="74"/>
      <c r="BX817" s="74"/>
      <c r="BY817" s="74"/>
      <c r="BZ817" s="74"/>
      <c r="CA817" s="74"/>
      <c r="CB817" s="74"/>
      <c r="CC817" s="74"/>
      <c r="CD817" s="74"/>
      <c r="CE817" s="7"/>
      <c r="CF817" s="74"/>
      <c r="CG817" s="74"/>
      <c r="CH817" s="7"/>
      <c r="CI817" s="74"/>
      <c r="CJ817" s="74"/>
      <c r="CK817" s="101"/>
      <c r="CL817" s="74"/>
      <c r="CM817" s="74"/>
      <c r="CN817" s="74"/>
      <c r="CO817" s="101"/>
      <c r="CP817" s="74"/>
      <c r="CQ817" s="74"/>
      <c r="CR817" s="74"/>
      <c r="CS817" s="74"/>
      <c r="CT817" s="74"/>
      <c r="CU817" s="74"/>
      <c r="CV817" s="74"/>
      <c r="CW817" s="74"/>
      <c r="CX817" s="74"/>
      <c r="CY817" s="74"/>
      <c r="CZ817" s="74"/>
      <c r="DA817" s="74"/>
      <c r="DB817" s="74"/>
      <c r="DC817" s="74"/>
      <c r="DD817" s="74"/>
      <c r="DE817" s="74"/>
      <c r="DF817" s="74"/>
      <c r="DG817" s="74"/>
      <c r="DH817" s="74"/>
      <c r="DI817" s="74"/>
      <c r="DJ817" s="74"/>
      <c r="DK817" s="74"/>
      <c r="DL817" s="74"/>
      <c r="DM817" s="74"/>
      <c r="DN817" s="74"/>
      <c r="DO817" s="74"/>
      <c r="DP817" s="74"/>
      <c r="DQ817" s="74"/>
      <c r="DR817" s="74"/>
      <c r="DS817" s="74"/>
      <c r="DT817" s="74"/>
      <c r="DU817" s="74"/>
      <c r="DV817" s="74"/>
      <c r="DW817" s="74"/>
      <c r="DX817" s="74"/>
      <c r="DY817" s="74"/>
      <c r="DZ817" s="8">
        <f t="shared" si="208"/>
        <v>0</v>
      </c>
      <c r="EA817" s="3">
        <f t="shared" si="209"/>
        <v>0</v>
      </c>
      <c r="EB817" s="2">
        <f t="shared" si="210"/>
        <v>0</v>
      </c>
      <c r="EC817" s="112">
        <f t="shared" si="218"/>
        <v>0</v>
      </c>
      <c r="ED817" s="29">
        <f t="shared" si="211"/>
        <v>0</v>
      </c>
      <c r="EE817" s="2">
        <f t="shared" si="212"/>
        <v>0</v>
      </c>
      <c r="EF817" s="46">
        <f t="shared" si="213"/>
        <v>0</v>
      </c>
      <c r="EG817" s="46">
        <f t="shared" si="214"/>
        <v>0</v>
      </c>
      <c r="EH817" s="29">
        <f t="shared" si="215"/>
        <v>0</v>
      </c>
      <c r="EI817" s="29">
        <f>IF(COUNT(I817:AD817)&lt;5,DZ817,SUMPRODUCT(LARGE(I817:AD817,{1,2,3,4,5}))/5)</f>
        <v>0</v>
      </c>
      <c r="EJ817" s="29">
        <f>IF(COUNT(I817:BE817)&lt;5,DZ817,SUMPRODUCT(LARGE(I817:BE817,{1,2,3,4,5}))/5)</f>
        <v>0</v>
      </c>
      <c r="EK817" s="29">
        <f t="shared" si="217"/>
        <v>0</v>
      </c>
      <c r="EL817" s="29">
        <f t="shared" si="220"/>
        <v>0</v>
      </c>
      <c r="EM817" s="116">
        <f t="shared" si="216"/>
        <v>0</v>
      </c>
      <c r="EQ817"/>
    </row>
    <row r="818" spans="1:147" x14ac:dyDescent="0.25">
      <c r="A818" s="59"/>
      <c r="B818" s="32"/>
      <c r="C818" s="5"/>
      <c r="D818" s="6"/>
      <c r="E818" s="6"/>
      <c r="F818" s="6"/>
      <c r="G818" s="5"/>
      <c r="H818" s="99"/>
      <c r="I818" s="36"/>
      <c r="J818" s="7"/>
      <c r="K818" s="7"/>
      <c r="L818" s="7"/>
      <c r="M818" s="74"/>
      <c r="N818" s="74"/>
      <c r="O818" s="7"/>
      <c r="P818" s="74"/>
      <c r="Q818" s="7"/>
      <c r="R818" s="74"/>
      <c r="S818" s="74"/>
      <c r="T818" s="7"/>
      <c r="U818" s="7"/>
      <c r="V818" s="74"/>
      <c r="W818" s="74"/>
      <c r="X818" s="74"/>
      <c r="Y818" s="229"/>
      <c r="Z818" s="230"/>
      <c r="AA818" s="74"/>
      <c r="AB818" s="74"/>
      <c r="AC818" s="74"/>
      <c r="AD818" s="74"/>
      <c r="AE818" s="7"/>
      <c r="AF818" s="74"/>
      <c r="AG818" s="74"/>
      <c r="AH818" s="7"/>
      <c r="AI818" s="7"/>
      <c r="AJ818" s="7"/>
      <c r="AK818" s="7"/>
      <c r="AL818" s="7"/>
      <c r="AM818" s="7"/>
      <c r="AN818" s="7"/>
      <c r="AO818" s="74"/>
      <c r="AP818" s="7"/>
      <c r="AQ818" s="74"/>
      <c r="AR818" s="101"/>
      <c r="AS818" s="7"/>
      <c r="AT818" s="101"/>
      <c r="AU818" s="7"/>
      <c r="AV818" s="101"/>
      <c r="AW818" s="7"/>
      <c r="AX818" s="183"/>
      <c r="AY818" s="107"/>
      <c r="AZ818" s="74"/>
      <c r="BA818" s="74"/>
      <c r="BB818" s="74"/>
      <c r="BC818" s="74"/>
      <c r="BD818" s="74"/>
      <c r="BE818" s="74"/>
      <c r="BF818" s="74"/>
      <c r="BG818" s="74"/>
      <c r="BH818" s="74"/>
      <c r="BI818" s="74"/>
      <c r="BJ818" s="74"/>
      <c r="BK818" s="7"/>
      <c r="BL818" s="74"/>
      <c r="BM818" s="7"/>
      <c r="BN818" s="74"/>
      <c r="BO818" s="74"/>
      <c r="BP818" s="74"/>
      <c r="BQ818" s="74"/>
      <c r="BR818" s="74"/>
      <c r="BS818" s="74"/>
      <c r="BT818" s="74"/>
      <c r="BU818" s="74"/>
      <c r="BV818" s="74"/>
      <c r="BW818" s="74"/>
      <c r="BX818" s="74"/>
      <c r="BY818" s="74"/>
      <c r="BZ818" s="74"/>
      <c r="CA818" s="74"/>
      <c r="CB818" s="74"/>
      <c r="CC818" s="74"/>
      <c r="CD818" s="74"/>
      <c r="CE818" s="7"/>
      <c r="CF818" s="74"/>
      <c r="CG818" s="74"/>
      <c r="CH818" s="7"/>
      <c r="CI818" s="74"/>
      <c r="CJ818" s="74"/>
      <c r="CK818" s="101"/>
      <c r="CL818" s="74"/>
      <c r="CM818" s="74"/>
      <c r="CN818" s="74"/>
      <c r="CO818" s="101"/>
      <c r="CP818" s="74"/>
      <c r="CQ818" s="74"/>
      <c r="CR818" s="74"/>
      <c r="CS818" s="74"/>
      <c r="CT818" s="74"/>
      <c r="CU818" s="74"/>
      <c r="CV818" s="74"/>
      <c r="CW818" s="74"/>
      <c r="CX818" s="74"/>
      <c r="CY818" s="74"/>
      <c r="CZ818" s="74"/>
      <c r="DA818" s="74"/>
      <c r="DB818" s="74"/>
      <c r="DC818" s="74"/>
      <c r="DD818" s="74"/>
      <c r="DE818" s="74"/>
      <c r="DF818" s="74"/>
      <c r="DG818" s="74"/>
      <c r="DH818" s="74"/>
      <c r="DI818" s="74"/>
      <c r="DJ818" s="74"/>
      <c r="DK818" s="74"/>
      <c r="DL818" s="74"/>
      <c r="DM818" s="74"/>
      <c r="DN818" s="74"/>
      <c r="DO818" s="74"/>
      <c r="DP818" s="74"/>
      <c r="DQ818" s="74"/>
      <c r="DR818" s="74"/>
      <c r="DS818" s="74"/>
      <c r="DT818" s="74"/>
      <c r="DU818" s="74"/>
      <c r="DV818" s="74"/>
      <c r="DW818" s="74"/>
      <c r="DX818" s="74"/>
      <c r="DY818" s="74"/>
      <c r="DZ818" s="8">
        <f t="shared" si="208"/>
        <v>0</v>
      </c>
      <c r="EA818" s="3">
        <f t="shared" si="209"/>
        <v>0</v>
      </c>
      <c r="EB818" s="2">
        <f t="shared" si="210"/>
        <v>0</v>
      </c>
      <c r="EC818" s="112">
        <f t="shared" si="218"/>
        <v>0</v>
      </c>
      <c r="ED818" s="29">
        <f t="shared" si="211"/>
        <v>0</v>
      </c>
      <c r="EE818" s="2">
        <f t="shared" si="212"/>
        <v>0</v>
      </c>
      <c r="EF818" s="46">
        <f t="shared" si="213"/>
        <v>0</v>
      </c>
      <c r="EG818" s="46">
        <f t="shared" si="214"/>
        <v>0</v>
      </c>
      <c r="EH818" s="29">
        <f t="shared" si="215"/>
        <v>0</v>
      </c>
      <c r="EI818" s="29">
        <f>IF(COUNT(I818:AD818)&lt;5,DZ818,SUMPRODUCT(LARGE(I818:AD818,{1,2,3,4,5}))/5)</f>
        <v>0</v>
      </c>
      <c r="EJ818" s="29">
        <f>IF(COUNT(I818:BE818)&lt;5,DZ818,SUMPRODUCT(LARGE(I818:BE818,{1,2,3,4,5}))/5)</f>
        <v>0</v>
      </c>
      <c r="EK818" s="29">
        <f t="shared" si="217"/>
        <v>0</v>
      </c>
      <c r="EL818" s="29">
        <f t="shared" si="220"/>
        <v>0</v>
      </c>
      <c r="EM818" s="116">
        <f t="shared" si="216"/>
        <v>0</v>
      </c>
      <c r="EQ818"/>
    </row>
    <row r="819" spans="1:147" x14ac:dyDescent="0.25">
      <c r="A819" s="59"/>
      <c r="B819" s="32"/>
      <c r="C819" s="5"/>
      <c r="D819" s="6"/>
      <c r="E819" s="6"/>
      <c r="F819" s="6"/>
      <c r="G819" s="5"/>
      <c r="H819" s="37"/>
      <c r="I819" s="36"/>
      <c r="J819" s="7"/>
      <c r="K819" s="7"/>
      <c r="L819" s="7"/>
      <c r="M819" s="74"/>
      <c r="N819" s="74"/>
      <c r="O819" s="7"/>
      <c r="P819" s="74"/>
      <c r="Q819" s="7"/>
      <c r="R819" s="74"/>
      <c r="S819" s="74"/>
      <c r="T819" s="7"/>
      <c r="U819" s="7"/>
      <c r="V819" s="74"/>
      <c r="W819" s="74"/>
      <c r="X819" s="74"/>
      <c r="Y819" s="229"/>
      <c r="Z819" s="230"/>
      <c r="AA819" s="74"/>
      <c r="AB819" s="74"/>
      <c r="AC819" s="74"/>
      <c r="AD819" s="74"/>
      <c r="AE819" s="7"/>
      <c r="AF819" s="74"/>
      <c r="AG819" s="74"/>
      <c r="AH819" s="7"/>
      <c r="AI819" s="7"/>
      <c r="AJ819" s="7"/>
      <c r="AK819" s="7"/>
      <c r="AL819" s="7"/>
      <c r="AM819" s="7"/>
      <c r="AN819" s="7"/>
      <c r="AO819" s="74"/>
      <c r="AP819" s="7"/>
      <c r="AQ819" s="74"/>
      <c r="AR819" s="101"/>
      <c r="AS819" s="7"/>
      <c r="AT819" s="101"/>
      <c r="AU819" s="7"/>
      <c r="AV819" s="101"/>
      <c r="AW819" s="7"/>
      <c r="AX819" s="183"/>
      <c r="AY819" s="107"/>
      <c r="AZ819" s="74"/>
      <c r="BA819" s="74"/>
      <c r="BB819" s="74"/>
      <c r="BC819" s="74"/>
      <c r="BD819" s="74"/>
      <c r="BE819" s="74"/>
      <c r="BF819" s="74"/>
      <c r="BG819" s="74"/>
      <c r="BH819" s="74"/>
      <c r="BI819" s="74"/>
      <c r="BJ819" s="74"/>
      <c r="BK819" s="7"/>
      <c r="BL819" s="74"/>
      <c r="BM819" s="7"/>
      <c r="BN819" s="74"/>
      <c r="BO819" s="74"/>
      <c r="BP819" s="74"/>
      <c r="BQ819" s="74"/>
      <c r="BR819" s="74"/>
      <c r="BS819" s="74"/>
      <c r="BT819" s="74"/>
      <c r="BU819" s="74"/>
      <c r="BV819" s="74"/>
      <c r="BW819" s="74"/>
      <c r="BX819" s="74"/>
      <c r="BY819" s="74"/>
      <c r="BZ819" s="74"/>
      <c r="CA819" s="74"/>
      <c r="CB819" s="74"/>
      <c r="CC819" s="74"/>
      <c r="CD819" s="74"/>
      <c r="CE819" s="7"/>
      <c r="CF819" s="74"/>
      <c r="CG819" s="74"/>
      <c r="CH819" s="7"/>
      <c r="CI819" s="74"/>
      <c r="CJ819" s="74"/>
      <c r="CK819" s="101"/>
      <c r="CL819" s="74"/>
      <c r="CM819" s="74"/>
      <c r="CN819" s="74"/>
      <c r="CO819" s="101"/>
      <c r="CP819" s="74"/>
      <c r="CQ819" s="74"/>
      <c r="CR819" s="74"/>
      <c r="CS819" s="74"/>
      <c r="CT819" s="74"/>
      <c r="CU819" s="74"/>
      <c r="CV819" s="74"/>
      <c r="CW819" s="74"/>
      <c r="CX819" s="74"/>
      <c r="CY819" s="74"/>
      <c r="CZ819" s="74"/>
      <c r="DA819" s="74"/>
      <c r="DB819" s="74"/>
      <c r="DC819" s="74"/>
      <c r="DD819" s="74"/>
      <c r="DE819" s="74"/>
      <c r="DF819" s="74"/>
      <c r="DG819" s="74"/>
      <c r="DH819" s="74"/>
      <c r="DI819" s="74"/>
      <c r="DJ819" s="74"/>
      <c r="DK819" s="74"/>
      <c r="DL819" s="74"/>
      <c r="DM819" s="74"/>
      <c r="DN819" s="74"/>
      <c r="DO819" s="74"/>
      <c r="DP819" s="74"/>
      <c r="DQ819" s="74"/>
      <c r="DR819" s="74"/>
      <c r="DS819" s="74"/>
      <c r="DT819" s="74"/>
      <c r="DU819" s="74"/>
      <c r="DV819" s="74"/>
      <c r="DW819" s="74"/>
      <c r="DX819" s="74"/>
      <c r="DY819" s="74"/>
      <c r="DZ819" s="8">
        <f t="shared" si="208"/>
        <v>0</v>
      </c>
      <c r="EA819" s="3">
        <f t="shared" si="209"/>
        <v>0</v>
      </c>
      <c r="EB819" s="2">
        <f t="shared" si="210"/>
        <v>0</v>
      </c>
      <c r="EC819" s="112">
        <f t="shared" si="218"/>
        <v>0</v>
      </c>
      <c r="ED819" s="29">
        <f t="shared" si="211"/>
        <v>0</v>
      </c>
      <c r="EE819" s="2">
        <f t="shared" si="212"/>
        <v>0</v>
      </c>
      <c r="EF819" s="46">
        <f t="shared" si="213"/>
        <v>0</v>
      </c>
      <c r="EG819" s="46">
        <f t="shared" si="214"/>
        <v>0</v>
      </c>
      <c r="EH819" s="29">
        <f t="shared" si="215"/>
        <v>0</v>
      </c>
      <c r="EI819" s="29">
        <f>IF(COUNT(I819:AD819)&lt;5,DZ819,SUMPRODUCT(LARGE(I819:AD819,{1,2,3,4,5}))/5)</f>
        <v>0</v>
      </c>
      <c r="EJ819" s="29">
        <f>IF(COUNT(I819:BE819)&lt;5,DZ819,SUMPRODUCT(LARGE(I819:BE819,{1,2,3,4,5}))/5)</f>
        <v>0</v>
      </c>
      <c r="EK819" s="29">
        <f t="shared" si="217"/>
        <v>0</v>
      </c>
      <c r="EL819" s="29">
        <f t="shared" si="220"/>
        <v>0</v>
      </c>
      <c r="EM819" s="116">
        <f t="shared" si="216"/>
        <v>0</v>
      </c>
      <c r="EQ819"/>
    </row>
    <row r="820" spans="1:147" x14ac:dyDescent="0.25">
      <c r="A820" s="59"/>
      <c r="B820" s="32"/>
      <c r="C820" s="5"/>
      <c r="D820" s="6"/>
      <c r="E820" s="6"/>
      <c r="F820" s="6"/>
      <c r="G820" s="5"/>
      <c r="H820" s="37"/>
      <c r="I820" s="36"/>
      <c r="J820" s="7"/>
      <c r="K820" s="7"/>
      <c r="L820" s="7"/>
      <c r="M820" s="74"/>
      <c r="N820" s="74"/>
      <c r="O820" s="7"/>
      <c r="P820" s="74"/>
      <c r="Q820" s="7"/>
      <c r="R820" s="74"/>
      <c r="S820" s="74"/>
      <c r="T820" s="7"/>
      <c r="U820" s="7"/>
      <c r="V820" s="74"/>
      <c r="W820" s="74"/>
      <c r="X820" s="74"/>
      <c r="Y820" s="229"/>
      <c r="Z820" s="230"/>
      <c r="AA820" s="74"/>
      <c r="AB820" s="74"/>
      <c r="AC820" s="74"/>
      <c r="AD820" s="74"/>
      <c r="AE820" s="7"/>
      <c r="AF820" s="74"/>
      <c r="AG820" s="74"/>
      <c r="AH820" s="7"/>
      <c r="AI820" s="7"/>
      <c r="AJ820" s="7"/>
      <c r="AK820" s="7"/>
      <c r="AL820" s="7"/>
      <c r="AM820" s="7"/>
      <c r="AN820" s="7"/>
      <c r="AO820" s="74"/>
      <c r="AP820" s="7"/>
      <c r="AQ820" s="74"/>
      <c r="AR820" s="101"/>
      <c r="AS820" s="7"/>
      <c r="AT820" s="101"/>
      <c r="AU820" s="7"/>
      <c r="AV820" s="101"/>
      <c r="AW820" s="7"/>
      <c r="AX820" s="183"/>
      <c r="AY820" s="107"/>
      <c r="AZ820" s="74"/>
      <c r="BA820" s="74"/>
      <c r="BB820" s="74"/>
      <c r="BC820" s="74"/>
      <c r="BD820" s="74"/>
      <c r="BE820" s="74"/>
      <c r="BF820" s="74"/>
      <c r="BG820" s="74"/>
      <c r="BH820" s="74"/>
      <c r="BI820" s="74"/>
      <c r="BJ820" s="74"/>
      <c r="BK820" s="7"/>
      <c r="BL820" s="74"/>
      <c r="BM820" s="7"/>
      <c r="BN820" s="74"/>
      <c r="BO820" s="74"/>
      <c r="BP820" s="74"/>
      <c r="BQ820" s="74"/>
      <c r="BR820" s="74"/>
      <c r="BS820" s="74"/>
      <c r="BT820" s="74"/>
      <c r="BU820" s="74"/>
      <c r="BV820" s="74"/>
      <c r="BW820" s="74"/>
      <c r="BX820" s="74"/>
      <c r="BY820" s="74"/>
      <c r="BZ820" s="74"/>
      <c r="CA820" s="74"/>
      <c r="CB820" s="74"/>
      <c r="CC820" s="74"/>
      <c r="CD820" s="74"/>
      <c r="CE820" s="7"/>
      <c r="CF820" s="74"/>
      <c r="CG820" s="74"/>
      <c r="CH820" s="7"/>
      <c r="CI820" s="74"/>
      <c r="CJ820" s="74"/>
      <c r="CK820" s="101"/>
      <c r="CL820" s="74"/>
      <c r="CM820" s="74"/>
      <c r="CN820" s="74"/>
      <c r="CO820" s="101"/>
      <c r="CP820" s="74"/>
      <c r="CQ820" s="74"/>
      <c r="CR820" s="74"/>
      <c r="CS820" s="74"/>
      <c r="CT820" s="74"/>
      <c r="CU820" s="74"/>
      <c r="CV820" s="74"/>
      <c r="CW820" s="74"/>
      <c r="CX820" s="74"/>
      <c r="CY820" s="74"/>
      <c r="CZ820" s="74"/>
      <c r="DA820" s="74"/>
      <c r="DB820" s="74"/>
      <c r="DC820" s="74"/>
      <c r="DD820" s="74"/>
      <c r="DE820" s="74"/>
      <c r="DF820" s="74"/>
      <c r="DG820" s="74"/>
      <c r="DH820" s="74"/>
      <c r="DI820" s="74"/>
      <c r="DJ820" s="74"/>
      <c r="DK820" s="74"/>
      <c r="DL820" s="74"/>
      <c r="DM820" s="74"/>
      <c r="DN820" s="74"/>
      <c r="DO820" s="74"/>
      <c r="DP820" s="74"/>
      <c r="DQ820" s="74"/>
      <c r="DR820" s="74"/>
      <c r="DS820" s="74"/>
      <c r="DT820" s="74"/>
      <c r="DU820" s="74"/>
      <c r="DV820" s="74"/>
      <c r="DW820" s="74"/>
      <c r="DX820" s="74"/>
      <c r="DY820" s="74"/>
      <c r="DZ820" s="8">
        <f t="shared" si="208"/>
        <v>0</v>
      </c>
      <c r="EA820" s="3">
        <f t="shared" si="209"/>
        <v>0</v>
      </c>
      <c r="EB820" s="2">
        <f t="shared" si="210"/>
        <v>0</v>
      </c>
      <c r="EC820" s="112">
        <f t="shared" si="218"/>
        <v>0</v>
      </c>
      <c r="ED820" s="29">
        <f t="shared" si="211"/>
        <v>0</v>
      </c>
      <c r="EE820" s="2">
        <f t="shared" si="212"/>
        <v>0</v>
      </c>
      <c r="EF820" s="46">
        <f t="shared" si="213"/>
        <v>0</v>
      </c>
      <c r="EG820" s="46">
        <f t="shared" si="214"/>
        <v>0</v>
      </c>
      <c r="EH820" s="29">
        <f t="shared" si="215"/>
        <v>0</v>
      </c>
      <c r="EI820" s="29">
        <f>IF(COUNT(I820:AD820)&lt;5,DZ820,SUMPRODUCT(LARGE(I820:AD820,{1,2,3,4,5}))/5)</f>
        <v>0</v>
      </c>
      <c r="EJ820" s="29">
        <f>IF(COUNT(I820:BE820)&lt;5,DZ820,SUMPRODUCT(LARGE(I820:BE820,{1,2,3,4,5}))/5)</f>
        <v>0</v>
      </c>
      <c r="EK820" s="29">
        <f t="shared" si="217"/>
        <v>0</v>
      </c>
      <c r="EL820" s="29">
        <f t="shared" si="220"/>
        <v>0</v>
      </c>
      <c r="EM820" s="116">
        <f t="shared" si="216"/>
        <v>0</v>
      </c>
      <c r="EQ820"/>
    </row>
    <row r="821" spans="1:147" x14ac:dyDescent="0.25">
      <c r="A821" s="59"/>
      <c r="B821" s="32"/>
      <c r="C821" s="5"/>
      <c r="D821" s="6"/>
      <c r="E821" s="6"/>
      <c r="F821" s="6"/>
      <c r="G821" s="5"/>
      <c r="H821" s="37"/>
      <c r="I821" s="36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227"/>
      <c r="Z821" s="228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4"/>
      <c r="AP821" s="7"/>
      <c r="AQ821" s="74"/>
      <c r="AR821" s="70"/>
      <c r="AS821" s="7"/>
      <c r="AT821" s="70"/>
      <c r="AU821" s="7"/>
      <c r="AV821" s="70"/>
      <c r="AW821" s="7"/>
      <c r="AX821" s="183"/>
      <c r="AY821" s="10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101"/>
      <c r="CL821" s="74"/>
      <c r="CM821" s="74"/>
      <c r="CN821" s="74"/>
      <c r="CO821" s="70"/>
      <c r="CP821" s="74"/>
      <c r="CQ821" s="7"/>
      <c r="CR821" s="74"/>
      <c r="CS821" s="74"/>
      <c r="CT821" s="74"/>
      <c r="CU821" s="74"/>
      <c r="CV821" s="74"/>
      <c r="CW821" s="7"/>
      <c r="CX821" s="7"/>
      <c r="CY821" s="7"/>
      <c r="CZ821" s="74"/>
      <c r="DA821" s="7"/>
      <c r="DB821" s="7"/>
      <c r="DC821" s="7"/>
      <c r="DD821" s="7"/>
      <c r="DE821" s="74"/>
      <c r="DF821" s="74"/>
      <c r="DG821" s="74"/>
      <c r="DH821" s="74"/>
      <c r="DI821" s="74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8">
        <f t="shared" si="208"/>
        <v>0</v>
      </c>
      <c r="EA821" s="3">
        <f t="shared" si="209"/>
        <v>0</v>
      </c>
      <c r="EB821" s="2">
        <f t="shared" si="210"/>
        <v>0</v>
      </c>
      <c r="EC821" s="112">
        <f t="shared" si="218"/>
        <v>0</v>
      </c>
      <c r="ED821" s="29">
        <f t="shared" si="211"/>
        <v>0</v>
      </c>
      <c r="EE821" s="2">
        <f t="shared" si="212"/>
        <v>0</v>
      </c>
      <c r="EF821" s="46">
        <f t="shared" si="213"/>
        <v>0</v>
      </c>
      <c r="EG821" s="46">
        <f t="shared" si="214"/>
        <v>0</v>
      </c>
      <c r="EH821" s="2">
        <f t="shared" si="215"/>
        <v>0</v>
      </c>
      <c r="EI821" s="29">
        <f>IF(COUNT(I821:AD821)&lt;5,DZ821,SUMPRODUCT(LARGE(I821:AD821,{1,2,3,4,5}))/5)</f>
        <v>0</v>
      </c>
      <c r="EJ821" s="29">
        <f>IF(COUNT(I821:BE821)&lt;5,DZ821,SUMPRODUCT(LARGE(I821:BE821,{1,2,3,4,5}))/5)</f>
        <v>0</v>
      </c>
      <c r="EK821" s="29">
        <f t="shared" si="217"/>
        <v>0</v>
      </c>
      <c r="EL821" s="29">
        <f t="shared" si="220"/>
        <v>0</v>
      </c>
      <c r="EM821" s="116">
        <f t="shared" si="216"/>
        <v>0</v>
      </c>
      <c r="EQ821"/>
    </row>
    <row r="822" spans="1:147" x14ac:dyDescent="0.25">
      <c r="A822" s="59"/>
      <c r="B822" s="32"/>
      <c r="C822" s="5"/>
      <c r="D822" s="5"/>
      <c r="E822" s="6"/>
      <c r="F822" s="6"/>
      <c r="G822" s="5"/>
      <c r="H822" s="37"/>
      <c r="I822" s="107"/>
      <c r="J822" s="7"/>
      <c r="K822" s="74"/>
      <c r="L822" s="7"/>
      <c r="M822" s="74"/>
      <c r="N822" s="74"/>
      <c r="O822" s="7"/>
      <c r="P822" s="74"/>
      <c r="Q822" s="7"/>
      <c r="R822" s="74"/>
      <c r="S822" s="74"/>
      <c r="T822" s="7"/>
      <c r="U822" s="7"/>
      <c r="V822" s="74"/>
      <c r="W822" s="7"/>
      <c r="X822" s="74"/>
      <c r="Y822" s="227"/>
      <c r="Z822" s="228"/>
      <c r="AA822" s="74"/>
      <c r="AB822" s="74"/>
      <c r="AC822" s="74"/>
      <c r="AD822" s="74"/>
      <c r="AE822" s="7"/>
      <c r="AF822" s="74"/>
      <c r="AG822" s="74"/>
      <c r="AH822" s="7"/>
      <c r="AI822" s="7"/>
      <c r="AJ822" s="7"/>
      <c r="AK822" s="7"/>
      <c r="AL822" s="7"/>
      <c r="AM822" s="7"/>
      <c r="AN822" s="7"/>
      <c r="AO822" s="74"/>
      <c r="AP822" s="7"/>
      <c r="AQ822" s="74"/>
      <c r="AR822" s="101"/>
      <c r="AS822" s="7"/>
      <c r="AT822" s="101"/>
      <c r="AU822" s="7"/>
      <c r="AV822" s="101"/>
      <c r="AW822" s="7"/>
      <c r="AX822" s="183"/>
      <c r="AY822" s="107"/>
      <c r="AZ822" s="74"/>
      <c r="BA822" s="74"/>
      <c r="BB822" s="74"/>
      <c r="BC822" s="74"/>
      <c r="BD822" s="74"/>
      <c r="BE822" s="74"/>
      <c r="BF822" s="74"/>
      <c r="BG822" s="74"/>
      <c r="BH822" s="74"/>
      <c r="BI822" s="74"/>
      <c r="BJ822" s="74"/>
      <c r="BK822" s="7"/>
      <c r="BL822" s="74"/>
      <c r="BM822" s="7"/>
      <c r="BN822" s="74"/>
      <c r="BO822" s="74"/>
      <c r="BP822" s="74"/>
      <c r="BQ822" s="74"/>
      <c r="BR822" s="74"/>
      <c r="BS822" s="74"/>
      <c r="BT822" s="74"/>
      <c r="BU822" s="74"/>
      <c r="BV822" s="74"/>
      <c r="BW822" s="74"/>
      <c r="BX822" s="74"/>
      <c r="BY822" s="74"/>
      <c r="BZ822" s="74"/>
      <c r="CA822" s="74"/>
      <c r="CB822" s="74"/>
      <c r="CC822" s="74"/>
      <c r="CD822" s="74"/>
      <c r="CE822" s="7"/>
      <c r="CF822" s="74"/>
      <c r="CG822" s="74"/>
      <c r="CH822" s="7"/>
      <c r="CI822" s="74"/>
      <c r="CJ822" s="74"/>
      <c r="CK822" s="101"/>
      <c r="CL822" s="74"/>
      <c r="CM822" s="74"/>
      <c r="CN822" s="74"/>
      <c r="CO822" s="101"/>
      <c r="CP822" s="74"/>
      <c r="CQ822" s="74"/>
      <c r="CR822" s="74"/>
      <c r="CS822" s="74"/>
      <c r="CT822" s="74"/>
      <c r="CU822" s="74"/>
      <c r="CV822" s="74"/>
      <c r="CW822" s="74"/>
      <c r="CX822" s="74"/>
      <c r="CY822" s="74"/>
      <c r="CZ822" s="74"/>
      <c r="DA822" s="74"/>
      <c r="DB822" s="74"/>
      <c r="DC822" s="74"/>
      <c r="DD822" s="74"/>
      <c r="DE822" s="74"/>
      <c r="DF822" s="74"/>
      <c r="DG822" s="74"/>
      <c r="DH822" s="74"/>
      <c r="DI822" s="74"/>
      <c r="DJ822" s="74"/>
      <c r="DK822" s="74"/>
      <c r="DL822" s="74"/>
      <c r="DM822" s="74"/>
      <c r="DN822" s="74"/>
      <c r="DO822" s="74"/>
      <c r="DP822" s="74"/>
      <c r="DQ822" s="74"/>
      <c r="DR822" s="74"/>
      <c r="DS822" s="74"/>
      <c r="DT822" s="74"/>
      <c r="DU822" s="74"/>
      <c r="DV822" s="74"/>
      <c r="DW822" s="74"/>
      <c r="DX822" s="74"/>
      <c r="DY822" s="74"/>
      <c r="DZ822" s="8">
        <f t="shared" si="208"/>
        <v>0</v>
      </c>
      <c r="EA822" s="3">
        <f t="shared" si="209"/>
        <v>0</v>
      </c>
      <c r="EB822" s="2">
        <f t="shared" si="210"/>
        <v>0</v>
      </c>
      <c r="EC822" s="112">
        <f t="shared" si="218"/>
        <v>0</v>
      </c>
      <c r="ED822" s="29">
        <f t="shared" si="211"/>
        <v>0</v>
      </c>
      <c r="EE822" s="2">
        <f t="shared" si="212"/>
        <v>0</v>
      </c>
      <c r="EF822" s="46">
        <f t="shared" si="213"/>
        <v>0</v>
      </c>
      <c r="EG822" s="46">
        <f t="shared" si="214"/>
        <v>0</v>
      </c>
      <c r="EH822" s="29">
        <f t="shared" si="215"/>
        <v>0</v>
      </c>
      <c r="EI822" s="29">
        <f>IF(COUNT(I822:AD822)&lt;5,DZ822,SUMPRODUCT(LARGE(I822:AD822,{1,2,3,4,5}))/5)</f>
        <v>0</v>
      </c>
      <c r="EJ822" s="29">
        <f>IF(COUNT(I822:BE822)&lt;5,DZ822,SUMPRODUCT(LARGE(I822:BE822,{1,2,3,4,5}))/5)</f>
        <v>0</v>
      </c>
      <c r="EK822" s="29">
        <f t="shared" si="217"/>
        <v>0</v>
      </c>
      <c r="EL822" s="29">
        <f t="shared" si="220"/>
        <v>0</v>
      </c>
      <c r="EM822" s="116">
        <f t="shared" si="216"/>
        <v>0</v>
      </c>
      <c r="EQ822"/>
    </row>
    <row r="823" spans="1:147" x14ac:dyDescent="0.25">
      <c r="A823" s="59"/>
      <c r="B823" s="32"/>
      <c r="C823" s="5"/>
      <c r="D823" s="6"/>
      <c r="E823" s="6"/>
      <c r="F823" s="6"/>
      <c r="G823" s="5"/>
      <c r="H823" s="37"/>
      <c r="I823" s="36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227"/>
      <c r="Z823" s="228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4"/>
      <c r="AP823" s="7"/>
      <c r="AQ823" s="74"/>
      <c r="AR823" s="70"/>
      <c r="AS823" s="7"/>
      <c r="AT823" s="70"/>
      <c r="AU823" s="7"/>
      <c r="AV823" s="70"/>
      <c r="AW823" s="7"/>
      <c r="AX823" s="183"/>
      <c r="AY823" s="107"/>
      <c r="AZ823" s="7"/>
      <c r="BA823" s="7"/>
      <c r="BB823" s="7"/>
      <c r="BC823" s="74"/>
      <c r="BD823" s="7"/>
      <c r="BE823" s="74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101"/>
      <c r="CL823" s="74"/>
      <c r="CM823" s="74"/>
      <c r="CN823" s="74"/>
      <c r="CO823" s="70"/>
      <c r="CP823" s="74"/>
      <c r="CQ823" s="7"/>
      <c r="CR823" s="74"/>
      <c r="CS823" s="74"/>
      <c r="CT823" s="74"/>
      <c r="CU823" s="74"/>
      <c r="CV823" s="74"/>
      <c r="CW823" s="7"/>
      <c r="CX823" s="7"/>
      <c r="CY823" s="7"/>
      <c r="CZ823" s="74"/>
      <c r="DA823" s="7"/>
      <c r="DB823" s="7"/>
      <c r="DC823" s="7"/>
      <c r="DD823" s="7"/>
      <c r="DE823" s="74"/>
      <c r="DF823" s="74"/>
      <c r="DG823" s="74"/>
      <c r="DH823" s="74"/>
      <c r="DI823" s="74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8">
        <f t="shared" si="208"/>
        <v>0</v>
      </c>
      <c r="EA823" s="3">
        <f t="shared" si="209"/>
        <v>0</v>
      </c>
      <c r="EB823" s="2">
        <f t="shared" si="210"/>
        <v>0</v>
      </c>
      <c r="EC823" s="112">
        <f t="shared" si="218"/>
        <v>0</v>
      </c>
      <c r="ED823" s="29">
        <f t="shared" si="211"/>
        <v>0</v>
      </c>
      <c r="EE823" s="2">
        <f t="shared" si="212"/>
        <v>0</v>
      </c>
      <c r="EF823" s="46">
        <f t="shared" si="213"/>
        <v>0</v>
      </c>
      <c r="EG823" s="46">
        <f t="shared" si="214"/>
        <v>0</v>
      </c>
      <c r="EH823" s="2">
        <f t="shared" si="215"/>
        <v>0</v>
      </c>
      <c r="EI823" s="29">
        <f>IF(COUNT(I823:AD823)&lt;5,DZ823,SUMPRODUCT(LARGE(I823:AD823,{1,2,3,4,5}))/5)</f>
        <v>0</v>
      </c>
      <c r="EJ823" s="29">
        <f>IF(COUNT(I823:BE823)&lt;5,DZ823,SUMPRODUCT(LARGE(I823:BE823,{1,2,3,4,5}))/5)</f>
        <v>0</v>
      </c>
      <c r="EK823" s="29">
        <f t="shared" si="217"/>
        <v>0</v>
      </c>
      <c r="EL823" s="29">
        <f t="shared" si="220"/>
        <v>0</v>
      </c>
      <c r="EM823" s="116">
        <f t="shared" si="216"/>
        <v>0</v>
      </c>
      <c r="EQ823"/>
    </row>
    <row r="824" spans="1:147" x14ac:dyDescent="0.25">
      <c r="A824" s="59"/>
      <c r="B824" s="32"/>
      <c r="C824" s="5"/>
      <c r="D824" s="6"/>
      <c r="E824" s="6"/>
      <c r="F824" s="6"/>
      <c r="G824" s="5"/>
      <c r="H824" s="37"/>
      <c r="I824" s="36"/>
      <c r="J824" s="7"/>
      <c r="K824" s="7"/>
      <c r="L824" s="7"/>
      <c r="M824" s="74"/>
      <c r="N824" s="74"/>
      <c r="O824" s="7"/>
      <c r="P824" s="74"/>
      <c r="Q824" s="7"/>
      <c r="R824" s="74"/>
      <c r="S824" s="74"/>
      <c r="T824" s="7"/>
      <c r="U824" s="7"/>
      <c r="V824" s="74"/>
      <c r="W824" s="74"/>
      <c r="X824" s="74"/>
      <c r="Y824" s="229"/>
      <c r="Z824" s="230"/>
      <c r="AA824" s="100"/>
      <c r="AB824" s="74"/>
      <c r="AC824" s="74"/>
      <c r="AD824" s="74"/>
      <c r="AE824" s="7"/>
      <c r="AF824" s="74"/>
      <c r="AG824" s="74"/>
      <c r="AH824" s="7"/>
      <c r="AI824" s="7"/>
      <c r="AJ824" s="7"/>
      <c r="AK824" s="7"/>
      <c r="AL824" s="7"/>
      <c r="AM824" s="7"/>
      <c r="AN824" s="7"/>
      <c r="AO824" s="74"/>
      <c r="AP824" s="7"/>
      <c r="AQ824" s="74"/>
      <c r="AR824" s="101"/>
      <c r="AS824" s="7"/>
      <c r="AT824" s="101"/>
      <c r="AU824" s="7"/>
      <c r="AV824" s="101"/>
      <c r="AW824" s="7"/>
      <c r="AX824" s="8"/>
      <c r="AY824" s="36"/>
      <c r="AZ824" s="100"/>
      <c r="BA824" s="74"/>
      <c r="BB824" s="74"/>
      <c r="BC824" s="74"/>
      <c r="BD824" s="74"/>
      <c r="BE824" s="74"/>
      <c r="BF824" s="74"/>
      <c r="BG824" s="74"/>
      <c r="BH824" s="74"/>
      <c r="BI824" s="74"/>
      <c r="BJ824" s="74"/>
      <c r="BK824" s="7"/>
      <c r="BL824" s="74"/>
      <c r="BM824" s="7"/>
      <c r="BN824" s="74"/>
      <c r="BO824" s="74"/>
      <c r="BP824" s="74"/>
      <c r="BQ824" s="74"/>
      <c r="BR824" s="74"/>
      <c r="BS824" s="74"/>
      <c r="BT824" s="74"/>
      <c r="BU824" s="74"/>
      <c r="BV824" s="74"/>
      <c r="BW824" s="74"/>
      <c r="BX824" s="74"/>
      <c r="BY824" s="74"/>
      <c r="BZ824" s="74"/>
      <c r="CA824" s="74"/>
      <c r="CB824" s="74"/>
      <c r="CC824" s="74"/>
      <c r="CD824" s="74"/>
      <c r="CE824" s="7"/>
      <c r="CF824" s="74"/>
      <c r="CG824" s="74"/>
      <c r="CH824" s="7"/>
      <c r="CI824" s="74"/>
      <c r="CJ824" s="74"/>
      <c r="CK824" s="101"/>
      <c r="CL824" s="74"/>
      <c r="CM824" s="74"/>
      <c r="CN824" s="74"/>
      <c r="CO824" s="101"/>
      <c r="CP824" s="74"/>
      <c r="CQ824" s="74"/>
      <c r="CR824" s="74"/>
      <c r="CS824" s="74"/>
      <c r="CT824" s="74"/>
      <c r="CU824" s="74"/>
      <c r="CV824" s="74"/>
      <c r="CW824" s="74"/>
      <c r="CX824" s="74"/>
      <c r="CY824" s="74"/>
      <c r="CZ824" s="74"/>
      <c r="DA824" s="74"/>
      <c r="DB824" s="74"/>
      <c r="DC824" s="74"/>
      <c r="DD824" s="74"/>
      <c r="DE824" s="74"/>
      <c r="DF824" s="74"/>
      <c r="DG824" s="74"/>
      <c r="DH824" s="74"/>
      <c r="DI824" s="74"/>
      <c r="DJ824" s="74"/>
      <c r="DK824" s="74"/>
      <c r="DL824" s="74"/>
      <c r="DM824" s="74"/>
      <c r="DN824" s="74"/>
      <c r="DO824" s="74"/>
      <c r="DP824" s="74"/>
      <c r="DQ824" s="74"/>
      <c r="DR824" s="74"/>
      <c r="DS824" s="74"/>
      <c r="DT824" s="74"/>
      <c r="DU824" s="74"/>
      <c r="DV824" s="74"/>
      <c r="DW824" s="74"/>
      <c r="DX824" s="74"/>
      <c r="DY824" s="74"/>
      <c r="DZ824" s="8">
        <f t="shared" si="208"/>
        <v>0</v>
      </c>
      <c r="EA824" s="3">
        <f t="shared" si="209"/>
        <v>0</v>
      </c>
      <c r="EB824" s="2">
        <f t="shared" si="210"/>
        <v>0</v>
      </c>
      <c r="EC824" s="112">
        <f t="shared" si="218"/>
        <v>0</v>
      </c>
      <c r="ED824" s="29">
        <f t="shared" si="211"/>
        <v>0</v>
      </c>
      <c r="EE824" s="2">
        <f t="shared" si="212"/>
        <v>0</v>
      </c>
      <c r="EF824" s="46">
        <f t="shared" si="213"/>
        <v>0</v>
      </c>
      <c r="EG824" s="46">
        <f t="shared" si="214"/>
        <v>0</v>
      </c>
      <c r="EH824" s="29">
        <f t="shared" si="215"/>
        <v>0</v>
      </c>
      <c r="EI824" s="29">
        <f>IF(COUNT(I824:AD824)&lt;5,DZ824,SUMPRODUCT(LARGE(I824:AD824,{1,2,3,4,5}))/5)</f>
        <v>0</v>
      </c>
      <c r="EJ824" s="29">
        <f>IF(COUNT(I824:BE824)&lt;5,DZ824,SUMPRODUCT(LARGE(I824:BE824,{1,2,3,4,5}))/5)</f>
        <v>0</v>
      </c>
      <c r="EK824" s="29">
        <f t="shared" si="217"/>
        <v>0</v>
      </c>
      <c r="EL824" s="29">
        <f t="shared" si="220"/>
        <v>0</v>
      </c>
      <c r="EM824" s="116">
        <f t="shared" si="216"/>
        <v>0</v>
      </c>
      <c r="EQ824"/>
    </row>
    <row r="825" spans="1:147" x14ac:dyDescent="0.25">
      <c r="A825" s="59"/>
      <c r="B825" s="32"/>
      <c r="C825" s="5"/>
      <c r="D825" s="6"/>
      <c r="E825" s="6"/>
      <c r="F825" s="6"/>
      <c r="G825" s="5"/>
      <c r="H825" s="37"/>
      <c r="I825" s="36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227"/>
      <c r="Z825" s="228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4"/>
      <c r="AP825" s="7"/>
      <c r="AQ825" s="74"/>
      <c r="AR825" s="70"/>
      <c r="AS825" s="7"/>
      <c r="AT825" s="70"/>
      <c r="AU825" s="7"/>
      <c r="AV825" s="70"/>
      <c r="AW825" s="7"/>
      <c r="AX825" s="183"/>
      <c r="AY825" s="10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4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4"/>
      <c r="CG825" s="7"/>
      <c r="CH825" s="7"/>
      <c r="CI825" s="7"/>
      <c r="CJ825" s="7"/>
      <c r="CK825" s="101"/>
      <c r="CL825" s="74"/>
      <c r="CM825" s="74"/>
      <c r="CN825" s="74"/>
      <c r="CO825" s="70"/>
      <c r="CP825" s="74"/>
      <c r="CQ825" s="7"/>
      <c r="CR825" s="74"/>
      <c r="CS825" s="74"/>
      <c r="CT825" s="74"/>
      <c r="CU825" s="74"/>
      <c r="CV825" s="7"/>
      <c r="CW825" s="7"/>
      <c r="CX825" s="7"/>
      <c r="CY825" s="7"/>
      <c r="CZ825" s="7"/>
      <c r="DA825" s="7"/>
      <c r="DB825" s="7"/>
      <c r="DC825" s="7"/>
      <c r="DD825" s="7"/>
      <c r="DE825" s="74"/>
      <c r="DF825" s="74"/>
      <c r="DG825" s="74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8">
        <f t="shared" si="208"/>
        <v>0</v>
      </c>
      <c r="EA825" s="3">
        <f t="shared" si="209"/>
        <v>0</v>
      </c>
      <c r="EB825" s="2">
        <f t="shared" si="210"/>
        <v>0</v>
      </c>
      <c r="EC825" s="112">
        <f t="shared" si="218"/>
        <v>0</v>
      </c>
      <c r="ED825" s="29">
        <f t="shared" si="211"/>
        <v>0</v>
      </c>
      <c r="EE825" s="2">
        <f t="shared" si="212"/>
        <v>0</v>
      </c>
      <c r="EF825" s="46">
        <f t="shared" si="213"/>
        <v>0</v>
      </c>
      <c r="EG825" s="46">
        <f t="shared" si="214"/>
        <v>0</v>
      </c>
      <c r="EH825" s="2">
        <f t="shared" si="215"/>
        <v>0</v>
      </c>
      <c r="EI825" s="29">
        <f>IF(COUNT(I825:AD825)&lt;5,DZ825,SUMPRODUCT(LARGE(I825:AD825,{1,2,3,4,5}))/5)</f>
        <v>0</v>
      </c>
      <c r="EJ825" s="29">
        <f>IF(COUNT(I825:BE825)&lt;5,DZ825,SUMPRODUCT(LARGE(I825:BE825,{1,2,3,4,5}))/5)</f>
        <v>0</v>
      </c>
      <c r="EK825" s="29">
        <f t="shared" si="217"/>
        <v>0</v>
      </c>
      <c r="EL825" s="29">
        <f>(EK825*100)/101.59</f>
        <v>0</v>
      </c>
      <c r="EM825" s="116">
        <f t="shared" si="216"/>
        <v>0</v>
      </c>
      <c r="EQ825"/>
    </row>
    <row r="826" spans="1:147" x14ac:dyDescent="0.25">
      <c r="A826" s="59"/>
      <c r="B826" s="4"/>
      <c r="C826" s="5"/>
      <c r="D826" s="5"/>
      <c r="E826" s="6"/>
      <c r="F826" s="6"/>
      <c r="G826" s="5"/>
      <c r="H826" s="99"/>
      <c r="I826" s="36"/>
      <c r="J826" s="7"/>
      <c r="K826" s="7"/>
      <c r="L826" s="7"/>
      <c r="M826" s="74"/>
      <c r="N826" s="74"/>
      <c r="O826" s="7"/>
      <c r="P826" s="74"/>
      <c r="Q826" s="7"/>
      <c r="R826" s="74"/>
      <c r="S826" s="74"/>
      <c r="T826" s="7"/>
      <c r="U826" s="7"/>
      <c r="V826" s="74"/>
      <c r="W826" s="74"/>
      <c r="X826" s="74"/>
      <c r="Y826" s="229"/>
      <c r="Z826" s="230"/>
      <c r="AA826" s="74"/>
      <c r="AB826" s="74"/>
      <c r="AC826" s="74"/>
      <c r="AD826" s="74"/>
      <c r="AE826" s="7"/>
      <c r="AF826" s="74"/>
      <c r="AG826" s="74"/>
      <c r="AH826" s="7"/>
      <c r="AI826" s="7"/>
      <c r="AJ826" s="7"/>
      <c r="AK826" s="7"/>
      <c r="AL826" s="7"/>
      <c r="AM826" s="7"/>
      <c r="AN826" s="7"/>
      <c r="AO826" s="74"/>
      <c r="AP826" s="7"/>
      <c r="AQ826" s="74"/>
      <c r="AR826" s="101"/>
      <c r="AS826" s="7"/>
      <c r="AT826" s="101"/>
      <c r="AU826" s="7"/>
      <c r="AV826" s="101"/>
      <c r="AW826" s="7"/>
      <c r="AX826" s="8"/>
      <c r="AY826" s="36"/>
      <c r="AZ826" s="74"/>
      <c r="BA826" s="74"/>
      <c r="BB826" s="74"/>
      <c r="BC826" s="74"/>
      <c r="BD826" s="74"/>
      <c r="BE826" s="74"/>
      <c r="BF826" s="74"/>
      <c r="BG826" s="74"/>
      <c r="BH826" s="74"/>
      <c r="BI826" s="74"/>
      <c r="BJ826" s="74"/>
      <c r="BK826" s="7"/>
      <c r="BL826" s="74"/>
      <c r="BM826" s="7"/>
      <c r="BN826" s="74"/>
      <c r="BO826" s="74"/>
      <c r="BP826" s="74"/>
      <c r="BQ826" s="74"/>
      <c r="BR826" s="74"/>
      <c r="BS826" s="74"/>
      <c r="BT826" s="74"/>
      <c r="BU826" s="74"/>
      <c r="BV826" s="74"/>
      <c r="BW826" s="74"/>
      <c r="BX826" s="74"/>
      <c r="BY826" s="74"/>
      <c r="BZ826" s="74"/>
      <c r="CA826" s="74"/>
      <c r="CB826" s="74"/>
      <c r="CC826" s="74"/>
      <c r="CD826" s="74"/>
      <c r="CE826" s="7"/>
      <c r="CF826" s="74"/>
      <c r="CG826" s="74"/>
      <c r="CH826" s="7"/>
      <c r="CI826" s="74"/>
      <c r="CJ826" s="74"/>
      <c r="CK826" s="101"/>
      <c r="CL826" s="74"/>
      <c r="CM826" s="74"/>
      <c r="CN826" s="74"/>
      <c r="CO826" s="101"/>
      <c r="CP826" s="74"/>
      <c r="CQ826" s="74"/>
      <c r="CR826" s="74"/>
      <c r="CS826" s="74"/>
      <c r="CT826" s="74"/>
      <c r="CU826" s="74"/>
      <c r="CV826" s="74"/>
      <c r="CW826" s="74"/>
      <c r="CX826" s="74"/>
      <c r="CY826" s="74"/>
      <c r="CZ826" s="74"/>
      <c r="DA826" s="74"/>
      <c r="DB826" s="74"/>
      <c r="DC826" s="74"/>
      <c r="DD826" s="74"/>
      <c r="DE826" s="74"/>
      <c r="DF826" s="74"/>
      <c r="DG826" s="74"/>
      <c r="DH826" s="74"/>
      <c r="DI826" s="74"/>
      <c r="DJ826" s="74"/>
      <c r="DK826" s="74"/>
      <c r="DL826" s="74"/>
      <c r="DM826" s="74"/>
      <c r="DN826" s="74"/>
      <c r="DO826" s="74"/>
      <c r="DP826" s="74"/>
      <c r="DQ826" s="74"/>
      <c r="DR826" s="74"/>
      <c r="DS826" s="74"/>
      <c r="DT826" s="74"/>
      <c r="DU826" s="74"/>
      <c r="DV826" s="74"/>
      <c r="DW826" s="74"/>
      <c r="DX826" s="74"/>
      <c r="DY826" s="74"/>
      <c r="DZ826" s="8">
        <f t="shared" si="208"/>
        <v>0</v>
      </c>
      <c r="EA826" s="3">
        <f t="shared" si="209"/>
        <v>0</v>
      </c>
      <c r="EB826" s="2">
        <f t="shared" si="210"/>
        <v>0</v>
      </c>
      <c r="EC826" s="112">
        <f t="shared" si="218"/>
        <v>0</v>
      </c>
      <c r="ED826" s="29">
        <f t="shared" si="211"/>
        <v>0</v>
      </c>
      <c r="EE826" s="2">
        <f t="shared" si="212"/>
        <v>0</v>
      </c>
      <c r="EF826" s="46">
        <f t="shared" si="213"/>
        <v>0</v>
      </c>
      <c r="EG826" s="46">
        <f t="shared" si="214"/>
        <v>0</v>
      </c>
      <c r="EH826" s="29">
        <f t="shared" si="215"/>
        <v>0</v>
      </c>
      <c r="EI826" s="29">
        <f>IF(COUNT(I826:AD826)&lt;5,DZ826,SUMPRODUCT(LARGE(I826:AD826,{1,2,3,4,5}))/5)</f>
        <v>0</v>
      </c>
      <c r="EJ826" s="29">
        <f>IF(COUNT(I826:BE826)&lt;5,DZ826,SUMPRODUCT(LARGE(I826:BE826,{1,2,3,4,5}))/5)</f>
        <v>0</v>
      </c>
      <c r="EK826" s="29">
        <f t="shared" si="217"/>
        <v>0</v>
      </c>
      <c r="EL826" s="29">
        <f>(EK826*100)/101.28</f>
        <v>0</v>
      </c>
      <c r="EM826" s="116">
        <f t="shared" si="216"/>
        <v>0</v>
      </c>
      <c r="EQ826"/>
    </row>
    <row r="827" spans="1:147" x14ac:dyDescent="0.25">
      <c r="A827" s="59"/>
      <c r="B827" s="32"/>
      <c r="C827" s="5"/>
      <c r="D827" s="6"/>
      <c r="E827" s="6"/>
      <c r="F827" s="6"/>
      <c r="G827" s="5"/>
      <c r="H827" s="37"/>
      <c r="I827" s="36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227"/>
      <c r="Z827" s="228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4"/>
      <c r="AP827" s="7"/>
      <c r="AQ827" s="74"/>
      <c r="AR827" s="70"/>
      <c r="AS827" s="7"/>
      <c r="AT827" s="70"/>
      <c r="AU827" s="7"/>
      <c r="AV827" s="70"/>
      <c r="AW827" s="7"/>
      <c r="AX827" s="183"/>
      <c r="AY827" s="10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101"/>
      <c r="CL827" s="74"/>
      <c r="CM827" s="74"/>
      <c r="CN827" s="74"/>
      <c r="CO827" s="70"/>
      <c r="CP827" s="74"/>
      <c r="CQ827" s="7"/>
      <c r="CR827" s="74"/>
      <c r="CS827" s="74"/>
      <c r="CT827" s="74"/>
      <c r="CU827" s="74"/>
      <c r="CV827" s="74"/>
      <c r="CW827" s="7"/>
      <c r="CX827" s="7"/>
      <c r="CY827" s="7"/>
      <c r="CZ827" s="74"/>
      <c r="DA827" s="7"/>
      <c r="DB827" s="7"/>
      <c r="DC827" s="7"/>
      <c r="DD827" s="7"/>
      <c r="DE827" s="74"/>
      <c r="DF827" s="74"/>
      <c r="DG827" s="74"/>
      <c r="DH827" s="74"/>
      <c r="DI827" s="74"/>
      <c r="DJ827" s="74"/>
      <c r="DK827" s="7"/>
      <c r="DL827" s="74"/>
      <c r="DM827" s="74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8">
        <f t="shared" si="208"/>
        <v>0</v>
      </c>
      <c r="EA827" s="3">
        <f t="shared" si="209"/>
        <v>0</v>
      </c>
      <c r="EB827" s="2">
        <f t="shared" si="210"/>
        <v>0</v>
      </c>
      <c r="EC827" s="112">
        <f t="shared" si="218"/>
        <v>0</v>
      </c>
      <c r="ED827" s="29">
        <f t="shared" si="211"/>
        <v>0</v>
      </c>
      <c r="EE827" s="2">
        <f t="shared" si="212"/>
        <v>0</v>
      </c>
      <c r="EF827" s="46">
        <f t="shared" si="213"/>
        <v>0</v>
      </c>
      <c r="EG827" s="46">
        <f t="shared" si="214"/>
        <v>0</v>
      </c>
      <c r="EH827" s="2">
        <f t="shared" si="215"/>
        <v>0</v>
      </c>
      <c r="EI827" s="29">
        <f>IF(COUNT(I827:AD827)&lt;5,DZ827,SUMPRODUCT(LARGE(I827:AD827,{1,2,3,4,5}))/5)</f>
        <v>0</v>
      </c>
      <c r="EJ827" s="29">
        <f>IF(COUNT(I827:BE827)&lt;5,DZ827,SUMPRODUCT(LARGE(I827:BE827,{1,2,3,4,5}))/5)</f>
        <v>0</v>
      </c>
      <c r="EK827" s="29">
        <f t="shared" si="217"/>
        <v>0</v>
      </c>
      <c r="EL827" s="29">
        <f>(EK827*100)/101.28</f>
        <v>0</v>
      </c>
      <c r="EM827" s="116">
        <f t="shared" si="216"/>
        <v>0</v>
      </c>
      <c r="EQ827"/>
    </row>
    <row r="828" spans="1:147" x14ac:dyDescent="0.25">
      <c r="A828" s="59"/>
      <c r="B828" s="32"/>
      <c r="C828" s="5"/>
      <c r="D828" s="6"/>
      <c r="E828" s="6"/>
      <c r="F828" s="6"/>
      <c r="G828" s="5"/>
      <c r="H828" s="37"/>
      <c r="I828" s="36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227"/>
      <c r="Z828" s="228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4"/>
      <c r="AP828" s="7"/>
      <c r="AQ828" s="74"/>
      <c r="AR828" s="70"/>
      <c r="AS828" s="7"/>
      <c r="AT828" s="70"/>
      <c r="AU828" s="7"/>
      <c r="AV828" s="70"/>
      <c r="AW828" s="7"/>
      <c r="AX828" s="8"/>
      <c r="AY828" s="36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4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4"/>
      <c r="CG828" s="7"/>
      <c r="CH828" s="7"/>
      <c r="CI828" s="7"/>
      <c r="CJ828" s="7"/>
      <c r="CK828" s="101"/>
      <c r="CL828" s="74"/>
      <c r="CM828" s="74"/>
      <c r="CN828" s="74"/>
      <c r="CO828" s="70"/>
      <c r="CP828" s="74"/>
      <c r="CQ828" s="7"/>
      <c r="CR828" s="74"/>
      <c r="CS828" s="74"/>
      <c r="CT828" s="74"/>
      <c r="CU828" s="74"/>
      <c r="CV828" s="7"/>
      <c r="CW828" s="7"/>
      <c r="CX828" s="7"/>
      <c r="CY828" s="7"/>
      <c r="CZ828" s="7"/>
      <c r="DA828" s="7"/>
      <c r="DB828" s="7"/>
      <c r="DC828" s="7"/>
      <c r="DD828" s="7"/>
      <c r="DE828" s="74"/>
      <c r="DF828" s="74"/>
      <c r="DG828" s="74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8">
        <f t="shared" si="208"/>
        <v>0</v>
      </c>
      <c r="EA828" s="3">
        <f t="shared" si="209"/>
        <v>0</v>
      </c>
      <c r="EB828" s="2">
        <f t="shared" si="210"/>
        <v>0</v>
      </c>
      <c r="EC828" s="112">
        <f t="shared" si="218"/>
        <v>0</v>
      </c>
      <c r="ED828" s="29">
        <f t="shared" si="211"/>
        <v>0</v>
      </c>
      <c r="EE828" s="2">
        <f t="shared" si="212"/>
        <v>0</v>
      </c>
      <c r="EF828" s="46">
        <f t="shared" si="213"/>
        <v>0</v>
      </c>
      <c r="EG828" s="46">
        <f t="shared" si="214"/>
        <v>0</v>
      </c>
      <c r="EH828" s="2">
        <f t="shared" si="215"/>
        <v>0</v>
      </c>
      <c r="EI828" s="29">
        <f>IF(COUNT(I828:AD828)&lt;5,DZ828,SUMPRODUCT(LARGE(I828:AD828,{1,2,3,4,5}))/5)</f>
        <v>0</v>
      </c>
      <c r="EJ828" s="29">
        <f>IF(COUNT(I828:BE828)&lt;5,DZ828,SUMPRODUCT(LARGE(I828:BE828,{1,2,3,4,5}))/5)</f>
        <v>0</v>
      </c>
      <c r="EK828" s="29">
        <f t="shared" si="217"/>
        <v>0</v>
      </c>
      <c r="EL828" s="29">
        <f>(EK828*100)/101.59</f>
        <v>0</v>
      </c>
      <c r="EM828" s="116">
        <f t="shared" si="216"/>
        <v>0</v>
      </c>
      <c r="EQ828"/>
    </row>
    <row r="829" spans="1:147" x14ac:dyDescent="0.25">
      <c r="A829" s="59"/>
      <c r="B829" s="32"/>
      <c r="C829" s="5"/>
      <c r="D829" s="6"/>
      <c r="E829" s="6"/>
      <c r="F829" s="6"/>
      <c r="G829" s="5"/>
      <c r="H829" s="37"/>
      <c r="I829" s="36"/>
      <c r="J829" s="7"/>
      <c r="K829" s="7"/>
      <c r="L829" s="7"/>
      <c r="M829" s="74"/>
      <c r="N829" s="74"/>
      <c r="O829" s="7"/>
      <c r="P829" s="74"/>
      <c r="Q829" s="7"/>
      <c r="R829" s="74"/>
      <c r="S829" s="74"/>
      <c r="T829" s="7"/>
      <c r="U829" s="7"/>
      <c r="V829" s="74"/>
      <c r="W829" s="74"/>
      <c r="X829" s="74"/>
      <c r="Y829" s="229"/>
      <c r="Z829" s="230"/>
      <c r="AA829" s="74"/>
      <c r="AB829" s="74"/>
      <c r="AC829" s="74"/>
      <c r="AD829" s="74"/>
      <c r="AE829" s="7"/>
      <c r="AF829" s="74"/>
      <c r="AG829" s="74"/>
      <c r="AH829" s="7"/>
      <c r="AI829" s="7"/>
      <c r="AJ829" s="7"/>
      <c r="AK829" s="7"/>
      <c r="AL829" s="7"/>
      <c r="AM829" s="7"/>
      <c r="AN829" s="7"/>
      <c r="AO829" s="74"/>
      <c r="AP829" s="7"/>
      <c r="AQ829" s="74"/>
      <c r="AR829" s="101"/>
      <c r="AS829" s="7"/>
      <c r="AT829" s="101"/>
      <c r="AU829" s="7"/>
      <c r="AV829" s="101"/>
      <c r="AW829" s="7"/>
      <c r="AX829" s="183"/>
      <c r="AY829" s="107"/>
      <c r="AZ829" s="74"/>
      <c r="BA829" s="74"/>
      <c r="BB829" s="74"/>
      <c r="BC829" s="74"/>
      <c r="BD829" s="74"/>
      <c r="BE829" s="74"/>
      <c r="BF829" s="74"/>
      <c r="BG829" s="74"/>
      <c r="BH829" s="74"/>
      <c r="BI829" s="74"/>
      <c r="BJ829" s="74"/>
      <c r="BK829" s="7"/>
      <c r="BL829" s="74"/>
      <c r="BM829" s="7"/>
      <c r="BN829" s="74"/>
      <c r="BO829" s="74"/>
      <c r="BP829" s="74"/>
      <c r="BQ829" s="74"/>
      <c r="BR829" s="74"/>
      <c r="BS829" s="74"/>
      <c r="BT829" s="74"/>
      <c r="BU829" s="74"/>
      <c r="BV829" s="74"/>
      <c r="BW829" s="74"/>
      <c r="BX829" s="74"/>
      <c r="BY829" s="74"/>
      <c r="BZ829" s="74"/>
      <c r="CA829" s="74"/>
      <c r="CB829" s="74"/>
      <c r="CC829" s="74"/>
      <c r="CD829" s="101"/>
      <c r="CE829" s="7"/>
      <c r="CF829" s="74"/>
      <c r="CG829" s="74"/>
      <c r="CH829" s="7"/>
      <c r="CI829" s="74"/>
      <c r="CJ829" s="74"/>
      <c r="CK829" s="101"/>
      <c r="CL829" s="74"/>
      <c r="CM829" s="74"/>
      <c r="CN829" s="74"/>
      <c r="CO829" s="101"/>
      <c r="CP829" s="74"/>
      <c r="CQ829" s="74"/>
      <c r="CR829" s="74"/>
      <c r="CS829" s="74"/>
      <c r="CT829" s="74"/>
      <c r="CU829" s="74"/>
      <c r="CV829" s="74"/>
      <c r="CW829" s="74"/>
      <c r="CX829" s="74"/>
      <c r="CY829" s="74"/>
      <c r="CZ829" s="74"/>
      <c r="DA829" s="74"/>
      <c r="DB829" s="74"/>
      <c r="DC829" s="74"/>
      <c r="DD829" s="74"/>
      <c r="DE829" s="74"/>
      <c r="DF829" s="74"/>
      <c r="DG829" s="74"/>
      <c r="DH829" s="74"/>
      <c r="DI829" s="74"/>
      <c r="DJ829" s="74"/>
      <c r="DK829" s="74"/>
      <c r="DL829" s="74"/>
      <c r="DM829" s="74"/>
      <c r="DN829" s="74"/>
      <c r="DO829" s="74"/>
      <c r="DP829" s="74"/>
      <c r="DQ829" s="74"/>
      <c r="DR829" s="74"/>
      <c r="DS829" s="74"/>
      <c r="DT829" s="74"/>
      <c r="DU829" s="74"/>
      <c r="DV829" s="74"/>
      <c r="DW829" s="74"/>
      <c r="DX829" s="74"/>
      <c r="DY829" s="74"/>
      <c r="DZ829" s="8">
        <f t="shared" si="208"/>
        <v>0</v>
      </c>
      <c r="EA829" s="3">
        <f t="shared" si="209"/>
        <v>0</v>
      </c>
      <c r="EB829" s="2">
        <f t="shared" si="210"/>
        <v>0</v>
      </c>
      <c r="EC829" s="112">
        <f t="shared" si="218"/>
        <v>0</v>
      </c>
      <c r="ED829" s="29">
        <f t="shared" si="211"/>
        <v>0</v>
      </c>
      <c r="EE829" s="2">
        <f t="shared" si="212"/>
        <v>0</v>
      </c>
      <c r="EF829" s="46">
        <f t="shared" si="213"/>
        <v>0</v>
      </c>
      <c r="EG829" s="46">
        <f t="shared" si="214"/>
        <v>0</v>
      </c>
      <c r="EH829" s="29">
        <f t="shared" si="215"/>
        <v>0</v>
      </c>
      <c r="EI829" s="29">
        <f>IF(COUNT(I829:AD829)&lt;5,DZ829,SUMPRODUCT(LARGE(I829:AD829,{1,2,3,4,5}))/5)</f>
        <v>0</v>
      </c>
      <c r="EJ829" s="29">
        <f>IF(COUNT(I829:BE829)&lt;5,DZ829,SUMPRODUCT(LARGE(I829:BE829,{1,2,3,4,5}))/5)</f>
        <v>0</v>
      </c>
      <c r="EK829" s="29">
        <f t="shared" si="217"/>
        <v>0</v>
      </c>
      <c r="EL829" s="29">
        <f>(EK829*100)/101.28</f>
        <v>0</v>
      </c>
      <c r="EM829" s="116">
        <f t="shared" si="216"/>
        <v>0</v>
      </c>
      <c r="EQ829"/>
    </row>
    <row r="830" spans="1:147" x14ac:dyDescent="0.25">
      <c r="A830" s="59"/>
      <c r="B830" s="4"/>
      <c r="C830" s="5"/>
      <c r="D830" s="5"/>
      <c r="E830" s="6"/>
      <c r="F830" s="6"/>
      <c r="G830" s="5"/>
      <c r="H830" s="99"/>
      <c r="I830" s="36"/>
      <c r="J830" s="7"/>
      <c r="K830" s="7"/>
      <c r="L830" s="7"/>
      <c r="M830" s="74"/>
      <c r="N830" s="74"/>
      <c r="O830" s="7"/>
      <c r="P830" s="74"/>
      <c r="Q830" s="7"/>
      <c r="R830" s="74"/>
      <c r="S830" s="74"/>
      <c r="T830" s="7"/>
      <c r="U830" s="7"/>
      <c r="V830" s="74"/>
      <c r="W830" s="74"/>
      <c r="X830" s="74"/>
      <c r="Y830" s="229"/>
      <c r="Z830" s="230"/>
      <c r="AA830" s="74"/>
      <c r="AB830" s="74"/>
      <c r="AC830" s="74"/>
      <c r="AD830" s="74"/>
      <c r="AE830" s="7"/>
      <c r="AF830" s="74"/>
      <c r="AG830" s="74"/>
      <c r="AH830" s="7"/>
      <c r="AI830" s="7"/>
      <c r="AJ830" s="7"/>
      <c r="AK830" s="7"/>
      <c r="AL830" s="7"/>
      <c r="AM830" s="7"/>
      <c r="AN830" s="7"/>
      <c r="AO830" s="74"/>
      <c r="AP830" s="7"/>
      <c r="AQ830" s="74"/>
      <c r="AR830" s="101"/>
      <c r="AS830" s="7"/>
      <c r="AT830" s="101"/>
      <c r="AU830" s="7"/>
      <c r="AV830" s="101"/>
      <c r="AW830" s="7"/>
      <c r="AX830" s="8"/>
      <c r="AY830" s="36"/>
      <c r="AZ830" s="101"/>
      <c r="BA830" s="74"/>
      <c r="BB830" s="74"/>
      <c r="BC830" s="74"/>
      <c r="BD830" s="74"/>
      <c r="BE830" s="74"/>
      <c r="BF830" s="74"/>
      <c r="BG830" s="74"/>
      <c r="BH830" s="74"/>
      <c r="BI830" s="74"/>
      <c r="BJ830" s="74"/>
      <c r="BK830" s="7"/>
      <c r="BL830" s="74"/>
      <c r="BM830" s="7"/>
      <c r="BN830" s="74"/>
      <c r="BO830" s="74"/>
      <c r="BP830" s="74"/>
      <c r="BQ830" s="74"/>
      <c r="BR830" s="74"/>
      <c r="BS830" s="74"/>
      <c r="BT830" s="74"/>
      <c r="BU830" s="74"/>
      <c r="BV830" s="74"/>
      <c r="BW830" s="74"/>
      <c r="BX830" s="74"/>
      <c r="BY830" s="74"/>
      <c r="BZ830" s="74"/>
      <c r="CA830" s="74"/>
      <c r="CB830" s="74"/>
      <c r="CC830" s="74"/>
      <c r="CD830" s="101"/>
      <c r="CE830" s="7"/>
      <c r="CF830" s="74"/>
      <c r="CG830" s="74"/>
      <c r="CH830" s="7"/>
      <c r="CI830" s="74"/>
      <c r="CJ830" s="74"/>
      <c r="CK830" s="101"/>
      <c r="CL830" s="74"/>
      <c r="CM830" s="74"/>
      <c r="CN830" s="74"/>
      <c r="CO830" s="101"/>
      <c r="CP830" s="74"/>
      <c r="CQ830" s="74"/>
      <c r="CR830" s="74"/>
      <c r="CS830" s="74"/>
      <c r="CT830" s="74"/>
      <c r="CU830" s="74"/>
      <c r="CV830" s="74"/>
      <c r="CW830" s="74"/>
      <c r="CX830" s="74"/>
      <c r="CY830" s="74"/>
      <c r="CZ830" s="74"/>
      <c r="DA830" s="74"/>
      <c r="DB830" s="74"/>
      <c r="DC830" s="74"/>
      <c r="DD830" s="74"/>
      <c r="DE830" s="74"/>
      <c r="DF830" s="74"/>
      <c r="DG830" s="74"/>
      <c r="DH830" s="74"/>
      <c r="DI830" s="74"/>
      <c r="DJ830" s="74"/>
      <c r="DK830" s="74"/>
      <c r="DL830" s="74"/>
      <c r="DM830" s="74"/>
      <c r="DN830" s="74"/>
      <c r="DO830" s="74"/>
      <c r="DP830" s="74"/>
      <c r="DQ830" s="74"/>
      <c r="DR830" s="74"/>
      <c r="DS830" s="74"/>
      <c r="DT830" s="74"/>
      <c r="DU830" s="74"/>
      <c r="DV830" s="74"/>
      <c r="DW830" s="74"/>
      <c r="DX830" s="74"/>
      <c r="DY830" s="74"/>
      <c r="DZ830" s="8">
        <f t="shared" si="208"/>
        <v>0</v>
      </c>
      <c r="EA830" s="3">
        <f t="shared" si="209"/>
        <v>0</v>
      </c>
      <c r="EB830" s="2">
        <f t="shared" si="210"/>
        <v>0</v>
      </c>
      <c r="EC830" s="112">
        <f t="shared" si="218"/>
        <v>0</v>
      </c>
      <c r="ED830" s="29">
        <f t="shared" si="211"/>
        <v>0</v>
      </c>
      <c r="EE830" s="2">
        <f t="shared" si="212"/>
        <v>0</v>
      </c>
      <c r="EF830" s="46">
        <f t="shared" si="213"/>
        <v>0</v>
      </c>
      <c r="EG830" s="46">
        <f t="shared" si="214"/>
        <v>0</v>
      </c>
      <c r="EH830" s="29">
        <f t="shared" si="215"/>
        <v>0</v>
      </c>
      <c r="EI830" s="29">
        <f>IF(COUNT(I830:AD830)&lt;5,DZ830,SUMPRODUCT(LARGE(I830:AD830,{1,2,3,4,5}))/5)</f>
        <v>0</v>
      </c>
      <c r="EJ830" s="29">
        <f>IF(COUNT(I830:BE830)&lt;5,DZ830,SUMPRODUCT(LARGE(I830:BE830,{1,2,3,4,5}))/5)</f>
        <v>0</v>
      </c>
      <c r="EK830" s="29">
        <f t="shared" si="217"/>
        <v>0</v>
      </c>
      <c r="EL830" s="29">
        <f>(EK830*100)/101.28</f>
        <v>0</v>
      </c>
      <c r="EM830" s="116">
        <f t="shared" si="216"/>
        <v>0</v>
      </c>
      <c r="EQ830"/>
    </row>
    <row r="831" spans="1:147" x14ac:dyDescent="0.25">
      <c r="A831" s="59"/>
      <c r="B831" s="33"/>
      <c r="C831" s="5"/>
      <c r="D831" s="6"/>
      <c r="E831" s="6"/>
      <c r="F831" s="6"/>
      <c r="G831" s="5"/>
      <c r="H831" s="37"/>
      <c r="I831" s="36"/>
      <c r="J831" s="7"/>
      <c r="K831" s="7"/>
      <c r="L831" s="7"/>
      <c r="M831" s="74"/>
      <c r="N831" s="74"/>
      <c r="O831" s="7"/>
      <c r="P831" s="74"/>
      <c r="Q831" s="7"/>
      <c r="R831" s="74"/>
      <c r="S831" s="74"/>
      <c r="T831" s="7"/>
      <c r="U831" s="7"/>
      <c r="V831" s="74"/>
      <c r="W831" s="74"/>
      <c r="X831" s="74"/>
      <c r="Y831" s="229"/>
      <c r="Z831" s="230"/>
      <c r="AA831" s="74"/>
      <c r="AB831" s="74"/>
      <c r="AC831" s="74"/>
      <c r="AD831" s="74"/>
      <c r="AE831" s="7"/>
      <c r="AF831" s="74"/>
      <c r="AG831" s="74"/>
      <c r="AH831" s="7"/>
      <c r="AI831" s="7"/>
      <c r="AJ831" s="7"/>
      <c r="AK831" s="7"/>
      <c r="AL831" s="7"/>
      <c r="AM831" s="7"/>
      <c r="AN831" s="7"/>
      <c r="AO831" s="74"/>
      <c r="AP831" s="7"/>
      <c r="AQ831" s="74"/>
      <c r="AR831" s="101"/>
      <c r="AS831" s="7"/>
      <c r="AT831" s="101"/>
      <c r="AU831" s="7"/>
      <c r="AV831" s="101"/>
      <c r="AW831" s="7"/>
      <c r="AX831" s="8"/>
      <c r="AY831" s="36"/>
      <c r="AZ831" s="101"/>
      <c r="BA831" s="74"/>
      <c r="BB831" s="74"/>
      <c r="BC831" s="74"/>
      <c r="BD831" s="74"/>
      <c r="BE831" s="74"/>
      <c r="BF831" s="74"/>
      <c r="BG831" s="74"/>
      <c r="BH831" s="74"/>
      <c r="BI831" s="74"/>
      <c r="BJ831" s="74"/>
      <c r="BK831" s="7"/>
      <c r="BL831" s="74"/>
      <c r="BM831" s="7"/>
      <c r="BN831" s="74"/>
      <c r="BO831" s="74"/>
      <c r="BP831" s="74"/>
      <c r="BQ831" s="74"/>
      <c r="BR831" s="74"/>
      <c r="BS831" s="74"/>
      <c r="BT831" s="74"/>
      <c r="BU831" s="74"/>
      <c r="BV831" s="74"/>
      <c r="BW831" s="74"/>
      <c r="BX831" s="74"/>
      <c r="BY831" s="74"/>
      <c r="BZ831" s="74"/>
      <c r="CA831" s="74"/>
      <c r="CB831" s="74"/>
      <c r="CC831" s="74"/>
      <c r="CD831" s="101"/>
      <c r="CE831" s="7"/>
      <c r="CF831" s="74"/>
      <c r="CG831" s="74"/>
      <c r="CH831" s="7"/>
      <c r="CI831" s="74"/>
      <c r="CJ831" s="74"/>
      <c r="CK831" s="101"/>
      <c r="CL831" s="74"/>
      <c r="CM831" s="74"/>
      <c r="CN831" s="74"/>
      <c r="CO831" s="101"/>
      <c r="CP831" s="74"/>
      <c r="CQ831" s="74"/>
      <c r="CR831" s="74"/>
      <c r="CS831" s="74"/>
      <c r="CT831" s="74"/>
      <c r="CU831" s="74"/>
      <c r="CV831" s="74"/>
      <c r="CW831" s="74"/>
      <c r="CX831" s="74"/>
      <c r="CY831" s="74"/>
      <c r="CZ831" s="74"/>
      <c r="DA831" s="74"/>
      <c r="DB831" s="74"/>
      <c r="DC831" s="74"/>
      <c r="DD831" s="74"/>
      <c r="DE831" s="74"/>
      <c r="DF831" s="74"/>
      <c r="DG831" s="74"/>
      <c r="DH831" s="74"/>
      <c r="DI831" s="74"/>
      <c r="DJ831" s="74"/>
      <c r="DK831" s="74"/>
      <c r="DL831" s="74"/>
      <c r="DM831" s="74"/>
      <c r="DN831" s="74"/>
      <c r="DO831" s="74"/>
      <c r="DP831" s="74"/>
      <c r="DQ831" s="74"/>
      <c r="DR831" s="74"/>
      <c r="DS831" s="74"/>
      <c r="DT831" s="74"/>
      <c r="DU831" s="74"/>
      <c r="DV831" s="74"/>
      <c r="DW831" s="74"/>
      <c r="DX831" s="74"/>
      <c r="DY831" s="74"/>
      <c r="DZ831" s="8">
        <f t="shared" si="208"/>
        <v>0</v>
      </c>
      <c r="EA831" s="3">
        <f t="shared" si="209"/>
        <v>0</v>
      </c>
      <c r="EB831" s="2">
        <f t="shared" si="210"/>
        <v>0</v>
      </c>
      <c r="EC831" s="112">
        <f t="shared" si="218"/>
        <v>0</v>
      </c>
      <c r="ED831" s="29">
        <f t="shared" si="211"/>
        <v>0</v>
      </c>
      <c r="EE831" s="2">
        <f t="shared" si="212"/>
        <v>0</v>
      </c>
      <c r="EF831" s="46">
        <f t="shared" si="213"/>
        <v>0</v>
      </c>
      <c r="EG831" s="46">
        <f t="shared" si="214"/>
        <v>0</v>
      </c>
      <c r="EH831" s="29">
        <f t="shared" si="215"/>
        <v>0</v>
      </c>
      <c r="EI831" s="29">
        <f>IF(COUNT(I831:AD831)&lt;5,DZ831,SUMPRODUCT(LARGE(I831:AD831,{1,2,3,4,5}))/5)</f>
        <v>0</v>
      </c>
      <c r="EJ831" s="29">
        <f>IF(COUNT(I831:BE831)&lt;5,DZ831,SUMPRODUCT(LARGE(I831:BE831,{1,2,3,4,5}))/5)</f>
        <v>0</v>
      </c>
      <c r="EK831" s="29">
        <f t="shared" si="217"/>
        <v>0</v>
      </c>
      <c r="EL831" s="29">
        <f>(EK831*100)/101.28</f>
        <v>0</v>
      </c>
      <c r="EM831" s="116">
        <f t="shared" si="216"/>
        <v>0</v>
      </c>
      <c r="EQ831"/>
    </row>
    <row r="832" spans="1:147" x14ac:dyDescent="0.25">
      <c r="A832" s="59"/>
      <c r="B832" s="32"/>
      <c r="C832" s="5"/>
      <c r="D832" s="6"/>
      <c r="E832" s="6"/>
      <c r="F832" s="6"/>
      <c r="G832" s="5"/>
      <c r="H832" s="37"/>
      <c r="I832" s="107"/>
      <c r="J832" s="7"/>
      <c r="K832" s="74"/>
      <c r="L832" s="7"/>
      <c r="M832" s="74"/>
      <c r="N832" s="74"/>
      <c r="O832" s="7"/>
      <c r="P832" s="74"/>
      <c r="Q832" s="74"/>
      <c r="R832" s="74"/>
      <c r="S832" s="74"/>
      <c r="T832" s="7"/>
      <c r="U832" s="7"/>
      <c r="V832" s="74"/>
      <c r="W832" s="7"/>
      <c r="X832" s="74"/>
      <c r="Y832" s="227"/>
      <c r="Z832" s="228"/>
      <c r="AA832" s="74"/>
      <c r="AB832" s="74"/>
      <c r="AC832" s="74"/>
      <c r="AD832" s="74"/>
      <c r="AE832" s="7"/>
      <c r="AF832" s="74"/>
      <c r="AG832" s="74"/>
      <c r="AH832" s="7"/>
      <c r="AI832" s="7"/>
      <c r="AJ832" s="7"/>
      <c r="AK832" s="7"/>
      <c r="AL832" s="7"/>
      <c r="AM832" s="7"/>
      <c r="AN832" s="7"/>
      <c r="AO832" s="74"/>
      <c r="AP832" s="7"/>
      <c r="AQ832" s="74"/>
      <c r="AR832" s="101"/>
      <c r="AS832" s="7"/>
      <c r="AT832" s="101"/>
      <c r="AU832" s="7"/>
      <c r="AV832" s="101"/>
      <c r="AW832" s="7"/>
      <c r="AX832" s="183"/>
      <c r="AY832" s="107"/>
      <c r="AZ832" s="101"/>
      <c r="BA832" s="74"/>
      <c r="BB832" s="74"/>
      <c r="BC832" s="74"/>
      <c r="BD832" s="74"/>
      <c r="BE832" s="74"/>
      <c r="BF832" s="74"/>
      <c r="BG832" s="74"/>
      <c r="BH832" s="74"/>
      <c r="BI832" s="74"/>
      <c r="BJ832" s="74"/>
      <c r="BK832" s="7"/>
      <c r="BL832" s="74"/>
      <c r="BM832" s="7"/>
      <c r="BN832" s="74"/>
      <c r="BO832" s="74"/>
      <c r="BP832" s="74"/>
      <c r="BQ832" s="74"/>
      <c r="BR832" s="74"/>
      <c r="BS832" s="74"/>
      <c r="BT832" s="74"/>
      <c r="BU832" s="74"/>
      <c r="BV832" s="74"/>
      <c r="BW832" s="74"/>
      <c r="BX832" s="74"/>
      <c r="BY832" s="74"/>
      <c r="BZ832" s="74"/>
      <c r="CA832" s="7"/>
      <c r="CB832" s="7"/>
      <c r="CC832" s="74"/>
      <c r="CD832" s="74"/>
      <c r="CE832" s="7"/>
      <c r="CF832" s="74"/>
      <c r="CG832" s="74"/>
      <c r="CH832" s="7"/>
      <c r="CI832" s="74"/>
      <c r="CJ832" s="74"/>
      <c r="CK832" s="101"/>
      <c r="CL832" s="74"/>
      <c r="CM832" s="74"/>
      <c r="CN832" s="74"/>
      <c r="CO832" s="101"/>
      <c r="CP832" s="74"/>
      <c r="CQ832" s="74"/>
      <c r="CR832" s="74"/>
      <c r="CS832" s="74"/>
      <c r="CT832" s="74"/>
      <c r="CU832" s="74"/>
      <c r="CV832" s="74"/>
      <c r="CW832" s="74"/>
      <c r="CX832" s="74"/>
      <c r="CY832" s="74"/>
      <c r="CZ832" s="74"/>
      <c r="DA832" s="74"/>
      <c r="DB832" s="74"/>
      <c r="DC832" s="74"/>
      <c r="DD832" s="74"/>
      <c r="DE832" s="74"/>
      <c r="DF832" s="74"/>
      <c r="DG832" s="74"/>
      <c r="DH832" s="74"/>
      <c r="DI832" s="74"/>
      <c r="DJ832" s="74"/>
      <c r="DK832" s="74"/>
      <c r="DL832" s="74"/>
      <c r="DM832" s="74"/>
      <c r="DN832" s="74"/>
      <c r="DO832" s="74"/>
      <c r="DP832" s="74"/>
      <c r="DQ832" s="74"/>
      <c r="DR832" s="74"/>
      <c r="DS832" s="74"/>
      <c r="DT832" s="74"/>
      <c r="DU832" s="74"/>
      <c r="DV832" s="74"/>
      <c r="DW832" s="74"/>
      <c r="DX832" s="74"/>
      <c r="DY832" s="74"/>
      <c r="DZ832" s="8">
        <f t="shared" si="208"/>
        <v>0</v>
      </c>
      <c r="EA832" s="3">
        <f t="shared" si="209"/>
        <v>0</v>
      </c>
      <c r="EB832" s="2">
        <f t="shared" si="210"/>
        <v>0</v>
      </c>
      <c r="EC832" s="112">
        <f t="shared" si="218"/>
        <v>0</v>
      </c>
      <c r="ED832" s="29">
        <f t="shared" si="211"/>
        <v>0</v>
      </c>
      <c r="EE832" s="2">
        <f t="shared" si="212"/>
        <v>0</v>
      </c>
      <c r="EF832" s="46">
        <f t="shared" si="213"/>
        <v>0</v>
      </c>
      <c r="EG832" s="46">
        <f t="shared" si="214"/>
        <v>0</v>
      </c>
      <c r="EH832" s="29">
        <f t="shared" si="215"/>
        <v>0</v>
      </c>
      <c r="EI832" s="29">
        <f>IF(COUNT(I832:AD832)&lt;5,DZ832,SUMPRODUCT(LARGE(I832:AD832,{1,2,3,4,5}))/5)</f>
        <v>0</v>
      </c>
      <c r="EJ832" s="29">
        <f>IF(COUNT(I832:BE832)&lt;5,DZ832,SUMPRODUCT(LARGE(I832:BE832,{1,2,3,4,5}))/5)</f>
        <v>0</v>
      </c>
      <c r="EK832" s="29">
        <f t="shared" si="217"/>
        <v>0</v>
      </c>
      <c r="EL832" s="29">
        <f>(EK832*100)/101.59</f>
        <v>0</v>
      </c>
      <c r="EM832" s="116">
        <f t="shared" si="216"/>
        <v>0</v>
      </c>
      <c r="EQ832"/>
    </row>
    <row r="833" spans="1:147" x14ac:dyDescent="0.25">
      <c r="A833" s="59"/>
      <c r="B833" s="32"/>
      <c r="C833" s="5"/>
      <c r="D833" s="6"/>
      <c r="E833" s="6"/>
      <c r="F833" s="6"/>
      <c r="G833" s="5"/>
      <c r="H833" s="37"/>
      <c r="I833" s="36"/>
      <c r="J833" s="7"/>
      <c r="K833" s="7"/>
      <c r="L833" s="7"/>
      <c r="M833" s="74"/>
      <c r="N833" s="74"/>
      <c r="O833" s="7"/>
      <c r="P833" s="74"/>
      <c r="Q833" s="7"/>
      <c r="R833" s="74"/>
      <c r="S833" s="74"/>
      <c r="T833" s="7"/>
      <c r="U833" s="7"/>
      <c r="V833" s="74"/>
      <c r="W833" s="74"/>
      <c r="X833" s="74"/>
      <c r="Y833" s="229"/>
      <c r="Z833" s="230"/>
      <c r="AA833" s="74"/>
      <c r="AB833" s="74"/>
      <c r="AC833" s="74"/>
      <c r="AD833" s="74"/>
      <c r="AE833" s="7"/>
      <c r="AF833" s="74"/>
      <c r="AG833" s="74"/>
      <c r="AH833" s="7"/>
      <c r="AI833" s="7"/>
      <c r="AJ833" s="7"/>
      <c r="AK833" s="7"/>
      <c r="AL833" s="7"/>
      <c r="AM833" s="7"/>
      <c r="AN833" s="7"/>
      <c r="AO833" s="74"/>
      <c r="AP833" s="7"/>
      <c r="AQ833" s="74"/>
      <c r="AR833" s="101"/>
      <c r="AS833" s="7"/>
      <c r="AT833" s="101"/>
      <c r="AU833" s="7"/>
      <c r="AV833" s="101"/>
      <c r="AW833" s="7"/>
      <c r="AX833" s="183"/>
      <c r="AY833" s="107"/>
      <c r="AZ833" s="101"/>
      <c r="BA833" s="74"/>
      <c r="BB833" s="74"/>
      <c r="BC833" s="74"/>
      <c r="BD833" s="74"/>
      <c r="BE833" s="74"/>
      <c r="BF833" s="74"/>
      <c r="BG833" s="74"/>
      <c r="BH833" s="74"/>
      <c r="BI833" s="74"/>
      <c r="BJ833" s="74"/>
      <c r="BK833" s="7"/>
      <c r="BL833" s="74"/>
      <c r="BM833" s="7"/>
      <c r="BN833" s="74"/>
      <c r="BO833" s="74"/>
      <c r="BP833" s="74"/>
      <c r="BQ833" s="74"/>
      <c r="BR833" s="74"/>
      <c r="BS833" s="74"/>
      <c r="BT833" s="74"/>
      <c r="BU833" s="74"/>
      <c r="BV833" s="74"/>
      <c r="BW833" s="74"/>
      <c r="BX833" s="74"/>
      <c r="BY833" s="74"/>
      <c r="BZ833" s="74"/>
      <c r="CA833" s="74"/>
      <c r="CB833" s="74"/>
      <c r="CC833" s="74"/>
      <c r="CD833" s="74"/>
      <c r="CE833" s="7"/>
      <c r="CF833" s="74"/>
      <c r="CG833" s="74"/>
      <c r="CH833" s="7"/>
      <c r="CI833" s="74"/>
      <c r="CJ833" s="74"/>
      <c r="CK833" s="101"/>
      <c r="CL833" s="74"/>
      <c r="CM833" s="74"/>
      <c r="CN833" s="74"/>
      <c r="CO833" s="101"/>
      <c r="CP833" s="74"/>
      <c r="CQ833" s="74"/>
      <c r="CR833" s="74"/>
      <c r="CS833" s="74"/>
      <c r="CT833" s="74"/>
      <c r="CU833" s="74"/>
      <c r="CV833" s="74"/>
      <c r="CW833" s="74"/>
      <c r="CX833" s="74"/>
      <c r="CY833" s="74"/>
      <c r="CZ833" s="74"/>
      <c r="DA833" s="74"/>
      <c r="DB833" s="74"/>
      <c r="DC833" s="74"/>
      <c r="DD833" s="74"/>
      <c r="DE833" s="74"/>
      <c r="DF833" s="74"/>
      <c r="DG833" s="74"/>
      <c r="DH833" s="74"/>
      <c r="DI833" s="74"/>
      <c r="DJ833" s="74"/>
      <c r="DK833" s="74"/>
      <c r="DL833" s="74"/>
      <c r="DM833" s="74"/>
      <c r="DN833" s="74"/>
      <c r="DO833" s="74"/>
      <c r="DP833" s="74"/>
      <c r="DQ833" s="74"/>
      <c r="DR833" s="74"/>
      <c r="DS833" s="74"/>
      <c r="DT833" s="74"/>
      <c r="DU833" s="74"/>
      <c r="DV833" s="74"/>
      <c r="DW833" s="74"/>
      <c r="DX833" s="74"/>
      <c r="DY833" s="74"/>
      <c r="DZ833" s="8">
        <f t="shared" si="208"/>
        <v>0</v>
      </c>
      <c r="EA833" s="3">
        <f t="shared" si="209"/>
        <v>0</v>
      </c>
      <c r="EB833" s="2">
        <f t="shared" si="210"/>
        <v>0</v>
      </c>
      <c r="EC833" s="112">
        <f t="shared" si="218"/>
        <v>0</v>
      </c>
      <c r="ED833" s="29">
        <f t="shared" si="211"/>
        <v>0</v>
      </c>
      <c r="EE833" s="2">
        <f t="shared" si="212"/>
        <v>0</v>
      </c>
      <c r="EF833" s="46">
        <f t="shared" si="213"/>
        <v>0</v>
      </c>
      <c r="EG833" s="46">
        <f t="shared" si="214"/>
        <v>0</v>
      </c>
      <c r="EH833" s="29">
        <f t="shared" si="215"/>
        <v>0</v>
      </c>
      <c r="EI833" s="29">
        <f>IF(COUNT(I833:AD833)&lt;5,DZ833,SUMPRODUCT(LARGE(I833:AD833,{1,2,3,4,5}))/5)</f>
        <v>0</v>
      </c>
      <c r="EJ833" s="29">
        <f>IF(COUNT(I833:BE833)&lt;5,DZ833,SUMPRODUCT(LARGE(I833:BE833,{1,2,3,4,5}))/5)</f>
        <v>0</v>
      </c>
      <c r="EK833" s="29">
        <f t="shared" si="217"/>
        <v>0</v>
      </c>
      <c r="EL833" s="29">
        <f t="shared" ref="EL833:EL844" si="221">(EK833*100)/101.28</f>
        <v>0</v>
      </c>
      <c r="EM833" s="116">
        <f t="shared" si="216"/>
        <v>0</v>
      </c>
      <c r="EQ833"/>
    </row>
    <row r="834" spans="1:147" x14ac:dyDescent="0.25">
      <c r="A834" s="59"/>
      <c r="B834" s="32"/>
      <c r="C834" s="5"/>
      <c r="D834" s="6"/>
      <c r="E834" s="6"/>
      <c r="F834" s="6"/>
      <c r="G834" s="5"/>
      <c r="H834" s="37"/>
      <c r="I834" s="36"/>
      <c r="J834" s="7"/>
      <c r="K834" s="7"/>
      <c r="L834" s="7"/>
      <c r="M834" s="74"/>
      <c r="N834" s="74"/>
      <c r="O834" s="7"/>
      <c r="P834" s="74"/>
      <c r="Q834" s="74"/>
      <c r="R834" s="74"/>
      <c r="S834" s="74"/>
      <c r="T834" s="7"/>
      <c r="U834" s="7"/>
      <c r="V834" s="74"/>
      <c r="W834" s="74"/>
      <c r="X834" s="74"/>
      <c r="Y834" s="229"/>
      <c r="Z834" s="230"/>
      <c r="AA834" s="74"/>
      <c r="AB834" s="74"/>
      <c r="AC834" s="74"/>
      <c r="AD834" s="74"/>
      <c r="AE834" s="7"/>
      <c r="AF834" s="74"/>
      <c r="AG834" s="74"/>
      <c r="AH834" s="7"/>
      <c r="AI834" s="7"/>
      <c r="AJ834" s="7"/>
      <c r="AK834" s="7"/>
      <c r="AL834" s="7"/>
      <c r="AM834" s="7"/>
      <c r="AN834" s="7"/>
      <c r="AO834" s="74"/>
      <c r="AP834" s="7"/>
      <c r="AQ834" s="74"/>
      <c r="AR834" s="101"/>
      <c r="AS834" s="7"/>
      <c r="AT834" s="101"/>
      <c r="AU834" s="7"/>
      <c r="AV834" s="101"/>
      <c r="AW834" s="7"/>
      <c r="AX834" s="183"/>
      <c r="AY834" s="107"/>
      <c r="AZ834" s="101"/>
      <c r="BA834" s="74"/>
      <c r="BB834" s="74"/>
      <c r="BC834" s="74"/>
      <c r="BD834" s="74"/>
      <c r="BE834" s="74"/>
      <c r="BF834" s="74"/>
      <c r="BG834" s="74"/>
      <c r="BH834" s="74"/>
      <c r="BI834" s="74"/>
      <c r="BJ834" s="74"/>
      <c r="BK834" s="7"/>
      <c r="BL834" s="74"/>
      <c r="BM834" s="7"/>
      <c r="BN834" s="74"/>
      <c r="BO834" s="74"/>
      <c r="BP834" s="74"/>
      <c r="BQ834" s="74"/>
      <c r="BR834" s="74"/>
      <c r="BS834" s="74"/>
      <c r="BT834" s="74"/>
      <c r="BU834" s="74"/>
      <c r="BV834" s="74"/>
      <c r="BW834" s="74"/>
      <c r="BX834" s="74"/>
      <c r="BY834" s="74"/>
      <c r="BZ834" s="74"/>
      <c r="CA834" s="74"/>
      <c r="CB834" s="74"/>
      <c r="CC834" s="74"/>
      <c r="CD834" s="74"/>
      <c r="CE834" s="7"/>
      <c r="CF834" s="74"/>
      <c r="CG834" s="74"/>
      <c r="CH834" s="7"/>
      <c r="CI834" s="74"/>
      <c r="CJ834" s="74"/>
      <c r="CK834" s="101"/>
      <c r="CL834" s="74"/>
      <c r="CM834" s="74"/>
      <c r="CN834" s="74"/>
      <c r="CO834" s="101"/>
      <c r="CP834" s="74"/>
      <c r="CQ834" s="74"/>
      <c r="CR834" s="74"/>
      <c r="CS834" s="74"/>
      <c r="CT834" s="74"/>
      <c r="CU834" s="74"/>
      <c r="CV834" s="74"/>
      <c r="CW834" s="74"/>
      <c r="CX834" s="74"/>
      <c r="CY834" s="74"/>
      <c r="CZ834" s="74"/>
      <c r="DA834" s="74"/>
      <c r="DB834" s="74"/>
      <c r="DC834" s="74"/>
      <c r="DD834" s="74"/>
      <c r="DE834" s="74"/>
      <c r="DF834" s="74"/>
      <c r="DG834" s="74"/>
      <c r="DH834" s="74"/>
      <c r="DI834" s="74"/>
      <c r="DJ834" s="74"/>
      <c r="DK834" s="74"/>
      <c r="DL834" s="74"/>
      <c r="DM834" s="74"/>
      <c r="DN834" s="74"/>
      <c r="DO834" s="74"/>
      <c r="DP834" s="74"/>
      <c r="DQ834" s="74"/>
      <c r="DR834" s="74"/>
      <c r="DS834" s="74"/>
      <c r="DT834" s="100"/>
      <c r="DU834" s="74"/>
      <c r="DV834" s="74"/>
      <c r="DW834" s="74"/>
      <c r="DX834" s="74"/>
      <c r="DY834" s="74"/>
      <c r="DZ834" s="8">
        <f t="shared" si="208"/>
        <v>0</v>
      </c>
      <c r="EA834" s="3">
        <f t="shared" si="209"/>
        <v>0</v>
      </c>
      <c r="EB834" s="2">
        <f t="shared" si="210"/>
        <v>0</v>
      </c>
      <c r="EC834" s="112">
        <f t="shared" si="218"/>
        <v>0</v>
      </c>
      <c r="ED834" s="29">
        <f t="shared" si="211"/>
        <v>0</v>
      </c>
      <c r="EE834" s="2">
        <f t="shared" si="212"/>
        <v>0</v>
      </c>
      <c r="EF834" s="46">
        <f t="shared" si="213"/>
        <v>0</v>
      </c>
      <c r="EG834" s="46">
        <f t="shared" si="214"/>
        <v>0</v>
      </c>
      <c r="EH834" s="29">
        <f t="shared" si="215"/>
        <v>0</v>
      </c>
      <c r="EI834" s="29">
        <f>IF(COUNT(I834:AD834)&lt;5,DZ834,SUMPRODUCT(LARGE(I834:AD834,{1,2,3,4,5}))/5)</f>
        <v>0</v>
      </c>
      <c r="EJ834" s="29">
        <f>IF(COUNT(I834:BE834)&lt;5,DZ834,SUMPRODUCT(LARGE(I834:BE834,{1,2,3,4,5}))/5)</f>
        <v>0</v>
      </c>
      <c r="EK834" s="29">
        <f t="shared" si="217"/>
        <v>0</v>
      </c>
      <c r="EL834" s="29">
        <f t="shared" si="221"/>
        <v>0</v>
      </c>
      <c r="EM834" s="116">
        <f t="shared" si="216"/>
        <v>0</v>
      </c>
      <c r="EQ834"/>
    </row>
    <row r="835" spans="1:147" x14ac:dyDescent="0.25">
      <c r="A835" s="59"/>
      <c r="B835" s="32"/>
      <c r="C835" s="5"/>
      <c r="D835" s="6"/>
      <c r="E835" s="6"/>
      <c r="F835" s="6"/>
      <c r="G835" s="5"/>
      <c r="H835" s="37"/>
      <c r="I835" s="36"/>
      <c r="J835" s="7"/>
      <c r="K835" s="7"/>
      <c r="L835" s="7"/>
      <c r="M835" s="74"/>
      <c r="N835" s="74"/>
      <c r="O835" s="7"/>
      <c r="P835" s="74"/>
      <c r="Q835" s="7"/>
      <c r="R835" s="74"/>
      <c r="S835" s="74"/>
      <c r="T835" s="7"/>
      <c r="U835" s="7"/>
      <c r="V835" s="74"/>
      <c r="W835" s="74"/>
      <c r="X835" s="74"/>
      <c r="Y835" s="229"/>
      <c r="Z835" s="230"/>
      <c r="AA835" s="74"/>
      <c r="AB835" s="74"/>
      <c r="AC835" s="74"/>
      <c r="AD835" s="74"/>
      <c r="AE835" s="7"/>
      <c r="AF835" s="74"/>
      <c r="AG835" s="74"/>
      <c r="AH835" s="7"/>
      <c r="AI835" s="7"/>
      <c r="AJ835" s="7"/>
      <c r="AK835" s="7"/>
      <c r="AL835" s="7"/>
      <c r="AM835" s="7"/>
      <c r="AN835" s="7"/>
      <c r="AO835" s="74"/>
      <c r="AP835" s="7"/>
      <c r="AQ835" s="74"/>
      <c r="AR835" s="101"/>
      <c r="AS835" s="7"/>
      <c r="AT835" s="101"/>
      <c r="AU835" s="7"/>
      <c r="AV835" s="101"/>
      <c r="AW835" s="7"/>
      <c r="AX835" s="183"/>
      <c r="AY835" s="107"/>
      <c r="AZ835" s="74"/>
      <c r="BA835" s="74"/>
      <c r="BB835" s="74"/>
      <c r="BC835" s="74"/>
      <c r="BD835" s="74"/>
      <c r="BE835" s="74"/>
      <c r="BF835" s="74"/>
      <c r="BG835" s="74"/>
      <c r="BH835" s="74"/>
      <c r="BI835" s="74"/>
      <c r="BJ835" s="74"/>
      <c r="BK835" s="7"/>
      <c r="BL835" s="74"/>
      <c r="BM835" s="7"/>
      <c r="BN835" s="74"/>
      <c r="BO835" s="74"/>
      <c r="BP835" s="74"/>
      <c r="BQ835" s="74"/>
      <c r="BR835" s="74"/>
      <c r="BS835" s="74"/>
      <c r="BT835" s="74"/>
      <c r="BU835" s="74"/>
      <c r="BV835" s="74"/>
      <c r="BW835" s="74"/>
      <c r="BX835" s="74"/>
      <c r="BY835" s="74"/>
      <c r="BZ835" s="74"/>
      <c r="CA835" s="74"/>
      <c r="CB835" s="74"/>
      <c r="CC835" s="74"/>
      <c r="CD835" s="74"/>
      <c r="CE835" s="7"/>
      <c r="CF835" s="74"/>
      <c r="CG835" s="74"/>
      <c r="CH835" s="7"/>
      <c r="CI835" s="74"/>
      <c r="CJ835" s="74"/>
      <c r="CK835" s="101"/>
      <c r="CL835" s="74"/>
      <c r="CM835" s="74"/>
      <c r="CN835" s="74"/>
      <c r="CO835" s="101"/>
      <c r="CP835" s="74"/>
      <c r="CQ835" s="74"/>
      <c r="CR835" s="74"/>
      <c r="CS835" s="74"/>
      <c r="CT835" s="74"/>
      <c r="CU835" s="74"/>
      <c r="CV835" s="74"/>
      <c r="CW835" s="74"/>
      <c r="CX835" s="74"/>
      <c r="CY835" s="74"/>
      <c r="CZ835" s="74"/>
      <c r="DA835" s="74"/>
      <c r="DB835" s="74"/>
      <c r="DC835" s="74"/>
      <c r="DD835" s="74"/>
      <c r="DE835" s="74"/>
      <c r="DF835" s="74"/>
      <c r="DG835" s="74"/>
      <c r="DH835" s="74"/>
      <c r="DI835" s="74"/>
      <c r="DJ835" s="74"/>
      <c r="DK835" s="74"/>
      <c r="DL835" s="74"/>
      <c r="DM835" s="74"/>
      <c r="DN835" s="74"/>
      <c r="DO835" s="74"/>
      <c r="DP835" s="74"/>
      <c r="DQ835" s="74"/>
      <c r="DR835" s="74"/>
      <c r="DS835" s="74"/>
      <c r="DT835" s="74"/>
      <c r="DU835" s="74"/>
      <c r="DV835" s="74"/>
      <c r="DW835" s="74"/>
      <c r="DX835" s="74"/>
      <c r="DY835" s="74"/>
      <c r="DZ835" s="8">
        <f t="shared" si="208"/>
        <v>0</v>
      </c>
      <c r="EA835" s="3">
        <f t="shared" si="209"/>
        <v>0</v>
      </c>
      <c r="EB835" s="2">
        <f t="shared" si="210"/>
        <v>0</v>
      </c>
      <c r="EC835" s="112">
        <f t="shared" si="218"/>
        <v>0</v>
      </c>
      <c r="ED835" s="29">
        <f t="shared" si="211"/>
        <v>0</v>
      </c>
      <c r="EE835" s="2">
        <f t="shared" si="212"/>
        <v>0</v>
      </c>
      <c r="EF835" s="46">
        <f t="shared" si="213"/>
        <v>0</v>
      </c>
      <c r="EG835" s="46">
        <f t="shared" si="214"/>
        <v>0</v>
      </c>
      <c r="EH835" s="29">
        <f t="shared" si="215"/>
        <v>0</v>
      </c>
      <c r="EI835" s="29">
        <f>IF(COUNT(I835:AD835)&lt;5,DZ835,SUMPRODUCT(LARGE(I835:AD835,{1,2,3,4,5}))/5)</f>
        <v>0</v>
      </c>
      <c r="EJ835" s="29">
        <f>IF(COUNT(I835:BE835)&lt;5,DZ835,SUMPRODUCT(LARGE(I835:BE835,{1,2,3,4,5}))/5)</f>
        <v>0</v>
      </c>
      <c r="EK835" s="29">
        <f t="shared" si="217"/>
        <v>0</v>
      </c>
      <c r="EL835" s="29">
        <f t="shared" si="221"/>
        <v>0</v>
      </c>
      <c r="EM835" s="116">
        <f t="shared" si="216"/>
        <v>0</v>
      </c>
      <c r="EQ835"/>
    </row>
    <row r="836" spans="1:147" x14ac:dyDescent="0.25">
      <c r="A836" s="59"/>
      <c r="B836" s="32"/>
      <c r="C836" s="5"/>
      <c r="D836" s="6"/>
      <c r="E836" s="6"/>
      <c r="F836" s="6"/>
      <c r="G836" s="5"/>
      <c r="H836" s="37"/>
      <c r="I836" s="36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227"/>
      <c r="Z836" s="228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4"/>
      <c r="AP836" s="7"/>
      <c r="AQ836" s="74"/>
      <c r="AR836" s="70"/>
      <c r="AS836" s="7"/>
      <c r="AT836" s="70"/>
      <c r="AU836" s="7"/>
      <c r="AV836" s="70"/>
      <c r="AW836" s="7"/>
      <c r="AX836" s="183"/>
      <c r="AY836" s="10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101"/>
      <c r="CL836" s="74"/>
      <c r="CM836" s="74"/>
      <c r="CN836" s="74"/>
      <c r="CO836" s="70"/>
      <c r="CP836" s="74"/>
      <c r="CQ836" s="7"/>
      <c r="CR836" s="74"/>
      <c r="CS836" s="74"/>
      <c r="CT836" s="74"/>
      <c r="CU836" s="74"/>
      <c r="CV836" s="74"/>
      <c r="CW836" s="7"/>
      <c r="CX836" s="7"/>
      <c r="CY836" s="7"/>
      <c r="CZ836" s="74"/>
      <c r="DA836" s="7"/>
      <c r="DB836" s="7"/>
      <c r="DC836" s="7"/>
      <c r="DD836" s="7"/>
      <c r="DE836" s="74"/>
      <c r="DF836" s="74"/>
      <c r="DG836" s="74"/>
      <c r="DH836" s="74"/>
      <c r="DI836" s="74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8">
        <f t="shared" si="208"/>
        <v>0</v>
      </c>
      <c r="EA836" s="3">
        <f t="shared" si="209"/>
        <v>0</v>
      </c>
      <c r="EB836" s="2">
        <f t="shared" si="210"/>
        <v>0</v>
      </c>
      <c r="EC836" s="112">
        <f t="shared" si="218"/>
        <v>0</v>
      </c>
      <c r="ED836" s="29">
        <f t="shared" si="211"/>
        <v>0</v>
      </c>
      <c r="EE836" s="2">
        <f t="shared" si="212"/>
        <v>0</v>
      </c>
      <c r="EF836" s="46">
        <f t="shared" si="213"/>
        <v>0</v>
      </c>
      <c r="EG836" s="46">
        <f t="shared" si="214"/>
        <v>0</v>
      </c>
      <c r="EH836" s="2">
        <f t="shared" si="215"/>
        <v>0</v>
      </c>
      <c r="EI836" s="29">
        <f>IF(COUNT(I836:AD836)&lt;5,DZ836,SUMPRODUCT(LARGE(I836:AD836,{1,2,3,4,5}))/5)</f>
        <v>0</v>
      </c>
      <c r="EJ836" s="29">
        <f>IF(COUNT(I836:BE836)&lt;5,DZ836,SUMPRODUCT(LARGE(I836:BE836,{1,2,3,4,5}))/5)</f>
        <v>0</v>
      </c>
      <c r="EK836" s="29">
        <f t="shared" si="217"/>
        <v>0</v>
      </c>
      <c r="EL836" s="29">
        <f t="shared" si="221"/>
        <v>0</v>
      </c>
      <c r="EM836" s="116">
        <f t="shared" si="216"/>
        <v>0</v>
      </c>
      <c r="EQ836"/>
    </row>
    <row r="837" spans="1:147" x14ac:dyDescent="0.25">
      <c r="A837" s="59"/>
      <c r="B837" s="32"/>
      <c r="C837" s="5"/>
      <c r="D837" s="6"/>
      <c r="E837" s="6"/>
      <c r="F837" s="6"/>
      <c r="G837" s="5"/>
      <c r="H837" s="37"/>
      <c r="I837" s="36"/>
      <c r="J837" s="7"/>
      <c r="K837" s="7"/>
      <c r="L837" s="7"/>
      <c r="M837" s="74"/>
      <c r="N837" s="74"/>
      <c r="O837" s="7"/>
      <c r="P837" s="74"/>
      <c r="Q837" s="7"/>
      <c r="R837" s="74"/>
      <c r="S837" s="74"/>
      <c r="T837" s="7"/>
      <c r="U837" s="7"/>
      <c r="V837" s="74"/>
      <c r="W837" s="74"/>
      <c r="X837" s="74"/>
      <c r="Y837" s="229"/>
      <c r="Z837" s="230"/>
      <c r="AA837" s="74"/>
      <c r="AB837" s="74"/>
      <c r="AC837" s="74"/>
      <c r="AD837" s="74"/>
      <c r="AE837" s="7"/>
      <c r="AF837" s="74"/>
      <c r="AG837" s="74"/>
      <c r="AH837" s="7"/>
      <c r="AI837" s="7"/>
      <c r="AJ837" s="7"/>
      <c r="AK837" s="7"/>
      <c r="AL837" s="7"/>
      <c r="AM837" s="7"/>
      <c r="AN837" s="7"/>
      <c r="AO837" s="74"/>
      <c r="AP837" s="7"/>
      <c r="AQ837" s="74"/>
      <c r="AR837" s="101"/>
      <c r="AS837" s="7"/>
      <c r="AT837" s="101"/>
      <c r="AU837" s="7"/>
      <c r="AV837" s="101"/>
      <c r="AW837" s="7"/>
      <c r="AX837" s="183"/>
      <c r="AY837" s="107"/>
      <c r="AZ837" s="74"/>
      <c r="BA837" s="74"/>
      <c r="BB837" s="74"/>
      <c r="BC837" s="74"/>
      <c r="BD837" s="74"/>
      <c r="BE837" s="74"/>
      <c r="BF837" s="74"/>
      <c r="BG837" s="74"/>
      <c r="BH837" s="74"/>
      <c r="BI837" s="74"/>
      <c r="BJ837" s="74"/>
      <c r="BK837" s="7"/>
      <c r="BL837" s="74"/>
      <c r="BM837" s="7"/>
      <c r="BN837" s="74"/>
      <c r="BO837" s="74"/>
      <c r="BP837" s="74"/>
      <c r="BQ837" s="74"/>
      <c r="BR837" s="74"/>
      <c r="BS837" s="74"/>
      <c r="BT837" s="74"/>
      <c r="BU837" s="74"/>
      <c r="BV837" s="74"/>
      <c r="BW837" s="74"/>
      <c r="BX837" s="74"/>
      <c r="BY837" s="74"/>
      <c r="BZ837" s="74"/>
      <c r="CA837" s="74"/>
      <c r="CB837" s="74"/>
      <c r="CC837" s="74"/>
      <c r="CD837" s="74"/>
      <c r="CE837" s="7"/>
      <c r="CF837" s="74"/>
      <c r="CG837" s="74"/>
      <c r="CH837" s="7"/>
      <c r="CI837" s="74"/>
      <c r="CJ837" s="74"/>
      <c r="CK837" s="101"/>
      <c r="CL837" s="74"/>
      <c r="CM837" s="74"/>
      <c r="CN837" s="74"/>
      <c r="CO837" s="101"/>
      <c r="CP837" s="74"/>
      <c r="CQ837" s="74"/>
      <c r="CR837" s="74"/>
      <c r="CS837" s="74"/>
      <c r="CT837" s="74"/>
      <c r="CU837" s="74"/>
      <c r="CV837" s="74"/>
      <c r="CW837" s="74"/>
      <c r="CX837" s="74"/>
      <c r="CY837" s="74"/>
      <c r="CZ837" s="74"/>
      <c r="DA837" s="74"/>
      <c r="DB837" s="74"/>
      <c r="DC837" s="74"/>
      <c r="DD837" s="74"/>
      <c r="DE837" s="74"/>
      <c r="DF837" s="74"/>
      <c r="DG837" s="74"/>
      <c r="DH837" s="74"/>
      <c r="DI837" s="74"/>
      <c r="DJ837" s="74"/>
      <c r="DK837" s="74"/>
      <c r="DL837" s="74"/>
      <c r="DM837" s="74"/>
      <c r="DN837" s="74"/>
      <c r="DO837" s="74"/>
      <c r="DP837" s="74"/>
      <c r="DQ837" s="74"/>
      <c r="DR837" s="74"/>
      <c r="DS837" s="74"/>
      <c r="DT837" s="74"/>
      <c r="DU837" s="74"/>
      <c r="DV837" s="74"/>
      <c r="DW837" s="74"/>
      <c r="DX837" s="74"/>
      <c r="DY837" s="74"/>
      <c r="DZ837" s="8">
        <f t="shared" ref="DZ837:DZ900" si="222">IF(EB837&gt;0,AVERAGE(I837:DY837),H837)</f>
        <v>0</v>
      </c>
      <c r="EA837" s="3">
        <f t="shared" ref="EA837:EA900" si="223">B837</f>
        <v>0</v>
      </c>
      <c r="EB837" s="2">
        <f t="shared" ref="EB837:EB900" si="224">IF(G837&gt;0,1,0)</f>
        <v>0</v>
      </c>
      <c r="EC837" s="112">
        <f t="shared" si="218"/>
        <v>0</v>
      </c>
      <c r="ED837" s="29">
        <f t="shared" ref="ED837:ED900" si="225">EL837</f>
        <v>0</v>
      </c>
      <c r="EE837" s="2">
        <f t="shared" ref="EE837:EE900" si="226">COUNT(I837:AH837)</f>
        <v>0</v>
      </c>
      <c r="EF837" s="46">
        <f t="shared" ref="EF837:EF900" si="227">COUNT(I837:BQ837)</f>
        <v>0</v>
      </c>
      <c r="EG837" s="46">
        <f t="shared" ref="EG837:EG900" si="228">COUNT(I837:DY837)</f>
        <v>0</v>
      </c>
      <c r="EH837" s="29">
        <f t="shared" ref="EH837:EH900" si="229">D837</f>
        <v>0</v>
      </c>
      <c r="EI837" s="29">
        <f>IF(COUNT(I837:AD837)&lt;5,DZ837,SUMPRODUCT(LARGE(I837:AD837,{1,2,3,4,5}))/5)</f>
        <v>0</v>
      </c>
      <c r="EJ837" s="29">
        <f>IF(COUNT(I837:BE837)&lt;5,DZ837,SUMPRODUCT(LARGE(I837:BE837,{1,2,3,4,5}))/5)</f>
        <v>0</v>
      </c>
      <c r="EK837" s="29">
        <f t="shared" si="217"/>
        <v>0</v>
      </c>
      <c r="EL837" s="29">
        <f t="shared" si="221"/>
        <v>0</v>
      </c>
      <c r="EM837" s="116">
        <f t="shared" ref="EM837:EM900" si="230">B837</f>
        <v>0</v>
      </c>
      <c r="EQ837"/>
    </row>
    <row r="838" spans="1:147" x14ac:dyDescent="0.25">
      <c r="A838" s="59"/>
      <c r="B838" s="32"/>
      <c r="C838" s="5"/>
      <c r="D838" s="6"/>
      <c r="E838" s="6"/>
      <c r="F838" s="6"/>
      <c r="G838" s="5"/>
      <c r="H838" s="37"/>
      <c r="I838" s="36"/>
      <c r="J838" s="7"/>
      <c r="K838" s="7"/>
      <c r="L838" s="7"/>
      <c r="M838" s="74"/>
      <c r="N838" s="74"/>
      <c r="O838" s="7"/>
      <c r="P838" s="74"/>
      <c r="Q838" s="7"/>
      <c r="R838" s="74"/>
      <c r="S838" s="74"/>
      <c r="T838" s="7"/>
      <c r="U838" s="7"/>
      <c r="V838" s="74"/>
      <c r="W838" s="74"/>
      <c r="X838" s="74"/>
      <c r="Y838" s="229"/>
      <c r="Z838" s="230"/>
      <c r="AA838" s="74"/>
      <c r="AB838" s="74"/>
      <c r="AC838" s="74"/>
      <c r="AD838" s="74"/>
      <c r="AE838" s="7"/>
      <c r="AF838" s="74"/>
      <c r="AG838" s="74"/>
      <c r="AH838" s="7"/>
      <c r="AI838" s="7"/>
      <c r="AJ838" s="7"/>
      <c r="AK838" s="7"/>
      <c r="AL838" s="7"/>
      <c r="AM838" s="7"/>
      <c r="AN838" s="7"/>
      <c r="AO838" s="74"/>
      <c r="AP838" s="7"/>
      <c r="AQ838" s="74"/>
      <c r="AR838" s="101"/>
      <c r="AS838" s="7"/>
      <c r="AT838" s="101"/>
      <c r="AU838" s="7"/>
      <c r="AV838" s="101"/>
      <c r="AW838" s="7"/>
      <c r="AX838" s="183"/>
      <c r="AY838" s="107"/>
      <c r="AZ838" s="74"/>
      <c r="BA838" s="74"/>
      <c r="BB838" s="74"/>
      <c r="BC838" s="74"/>
      <c r="BD838" s="74"/>
      <c r="BE838" s="74"/>
      <c r="BF838" s="74"/>
      <c r="BG838" s="74"/>
      <c r="BH838" s="74"/>
      <c r="BI838" s="74"/>
      <c r="BJ838" s="74"/>
      <c r="BK838" s="7"/>
      <c r="BL838" s="74"/>
      <c r="BM838" s="7"/>
      <c r="BN838" s="74"/>
      <c r="BO838" s="74"/>
      <c r="BP838" s="74"/>
      <c r="BQ838" s="74"/>
      <c r="BR838" s="74"/>
      <c r="BS838" s="74"/>
      <c r="BT838" s="74"/>
      <c r="BU838" s="74"/>
      <c r="BV838" s="74"/>
      <c r="BW838" s="74"/>
      <c r="BX838" s="74"/>
      <c r="BY838" s="74"/>
      <c r="BZ838" s="74"/>
      <c r="CA838" s="74"/>
      <c r="CB838" s="74"/>
      <c r="CC838" s="74"/>
      <c r="CD838" s="74"/>
      <c r="CE838" s="7"/>
      <c r="CF838" s="74"/>
      <c r="CG838" s="74"/>
      <c r="CH838" s="7"/>
      <c r="CI838" s="74"/>
      <c r="CJ838" s="74"/>
      <c r="CK838" s="101"/>
      <c r="CL838" s="74"/>
      <c r="CM838" s="74"/>
      <c r="CN838" s="74"/>
      <c r="CO838" s="101"/>
      <c r="CP838" s="74"/>
      <c r="CQ838" s="74"/>
      <c r="CR838" s="74"/>
      <c r="CS838" s="74"/>
      <c r="CT838" s="74"/>
      <c r="CU838" s="74"/>
      <c r="CV838" s="74"/>
      <c r="CW838" s="74"/>
      <c r="CX838" s="74"/>
      <c r="CY838" s="74"/>
      <c r="CZ838" s="74"/>
      <c r="DA838" s="74"/>
      <c r="DB838" s="74"/>
      <c r="DC838" s="74"/>
      <c r="DD838" s="74"/>
      <c r="DE838" s="74"/>
      <c r="DF838" s="74"/>
      <c r="DG838" s="74"/>
      <c r="DH838" s="74"/>
      <c r="DI838" s="74"/>
      <c r="DJ838" s="74"/>
      <c r="DK838" s="74"/>
      <c r="DL838" s="74"/>
      <c r="DM838" s="74"/>
      <c r="DN838" s="74"/>
      <c r="DO838" s="74"/>
      <c r="DP838" s="74"/>
      <c r="DQ838" s="74"/>
      <c r="DR838" s="74"/>
      <c r="DS838" s="74"/>
      <c r="DT838" s="74"/>
      <c r="DU838" s="74"/>
      <c r="DV838" s="74"/>
      <c r="DW838" s="74"/>
      <c r="DX838" s="74"/>
      <c r="DY838" s="74"/>
      <c r="DZ838" s="8">
        <f t="shared" si="222"/>
        <v>0</v>
      </c>
      <c r="EA838" s="3">
        <f t="shared" si="223"/>
        <v>0</v>
      </c>
      <c r="EB838" s="2">
        <f t="shared" si="224"/>
        <v>0</v>
      </c>
      <c r="EC838" s="112">
        <f t="shared" si="218"/>
        <v>0</v>
      </c>
      <c r="ED838" s="29">
        <f t="shared" si="225"/>
        <v>0</v>
      </c>
      <c r="EE838" s="2">
        <f t="shared" si="226"/>
        <v>0</v>
      </c>
      <c r="EF838" s="46">
        <f t="shared" si="227"/>
        <v>0</v>
      </c>
      <c r="EG838" s="46">
        <f t="shared" si="228"/>
        <v>0</v>
      </c>
      <c r="EH838" s="29">
        <f t="shared" si="229"/>
        <v>0</v>
      </c>
      <c r="EI838" s="29">
        <f>IF(COUNT(I838:AD838)&lt;5,DZ838,SUMPRODUCT(LARGE(I838:AD838,{1,2,3,4,5}))/5)</f>
        <v>0</v>
      </c>
      <c r="EJ838" s="29">
        <f>IF(COUNT(I838:BE838)&lt;5,DZ838,SUMPRODUCT(LARGE(I838:BE838,{1,2,3,4,5}))/5)</f>
        <v>0</v>
      </c>
      <c r="EK838" s="29">
        <f t="shared" ref="EK838:EK901" si="231">IF(EG838&lt;0,AVERAGE(I838:DY838),0)</f>
        <v>0</v>
      </c>
      <c r="EL838" s="29">
        <f t="shared" si="221"/>
        <v>0</v>
      </c>
      <c r="EM838" s="116">
        <f t="shared" si="230"/>
        <v>0</v>
      </c>
      <c r="EQ838"/>
    </row>
    <row r="839" spans="1:147" x14ac:dyDescent="0.25">
      <c r="A839" s="59"/>
      <c r="B839" s="32"/>
      <c r="C839" s="5"/>
      <c r="D839" s="6"/>
      <c r="E839" s="6"/>
      <c r="F839" s="6"/>
      <c r="G839" s="5"/>
      <c r="H839" s="37"/>
      <c r="I839" s="36"/>
      <c r="J839" s="7"/>
      <c r="K839" s="7"/>
      <c r="L839" s="7"/>
      <c r="M839" s="74"/>
      <c r="N839" s="74"/>
      <c r="O839" s="7"/>
      <c r="P839" s="74"/>
      <c r="Q839" s="7"/>
      <c r="R839" s="74"/>
      <c r="S839" s="74"/>
      <c r="T839" s="7"/>
      <c r="U839" s="7"/>
      <c r="V839" s="74"/>
      <c r="W839" s="74"/>
      <c r="X839" s="74"/>
      <c r="Y839" s="229"/>
      <c r="Z839" s="230"/>
      <c r="AA839" s="74"/>
      <c r="AB839" s="74"/>
      <c r="AC839" s="74"/>
      <c r="AD839" s="74"/>
      <c r="AE839" s="7"/>
      <c r="AF839" s="74"/>
      <c r="AG839" s="74"/>
      <c r="AH839" s="7"/>
      <c r="AI839" s="7"/>
      <c r="AJ839" s="7"/>
      <c r="AK839" s="7"/>
      <c r="AL839" s="7"/>
      <c r="AM839" s="7"/>
      <c r="AN839" s="7"/>
      <c r="AO839" s="74"/>
      <c r="AP839" s="7"/>
      <c r="AQ839" s="74"/>
      <c r="AR839" s="101"/>
      <c r="AS839" s="7"/>
      <c r="AT839" s="101"/>
      <c r="AU839" s="7"/>
      <c r="AV839" s="101"/>
      <c r="AW839" s="7"/>
      <c r="AX839" s="8"/>
      <c r="AY839" s="36"/>
      <c r="AZ839" s="7"/>
      <c r="BA839" s="74"/>
      <c r="BB839" s="74"/>
      <c r="BC839" s="74"/>
      <c r="BD839" s="74"/>
      <c r="BE839" s="74"/>
      <c r="BF839" s="74"/>
      <c r="BG839" s="74"/>
      <c r="BH839" s="74"/>
      <c r="BI839" s="74"/>
      <c r="BJ839" s="74"/>
      <c r="BK839" s="7"/>
      <c r="BL839" s="74"/>
      <c r="BM839" s="7"/>
      <c r="BN839" s="74"/>
      <c r="BO839" s="74"/>
      <c r="BP839" s="74"/>
      <c r="BQ839" s="74"/>
      <c r="BR839" s="101"/>
      <c r="BS839" s="74"/>
      <c r="BT839" s="101"/>
      <c r="BU839" s="74"/>
      <c r="BV839" s="74"/>
      <c r="BW839" s="101"/>
      <c r="BX839" s="74"/>
      <c r="BY839" s="74"/>
      <c r="BZ839" s="74"/>
      <c r="CA839" s="74"/>
      <c r="CB839" s="74"/>
      <c r="CC839" s="74"/>
      <c r="CD839" s="74"/>
      <c r="CE839" s="7"/>
      <c r="CF839" s="74"/>
      <c r="CG839" s="74"/>
      <c r="CH839" s="7"/>
      <c r="CI839" s="74"/>
      <c r="CJ839" s="74"/>
      <c r="CK839" s="101"/>
      <c r="CL839" s="74"/>
      <c r="CM839" s="74"/>
      <c r="CN839" s="74"/>
      <c r="CO839" s="101"/>
      <c r="CP839" s="74"/>
      <c r="CQ839" s="74"/>
      <c r="CR839" s="74"/>
      <c r="CS839" s="74"/>
      <c r="CT839" s="74"/>
      <c r="CU839" s="74"/>
      <c r="CV839" s="74"/>
      <c r="CW839" s="74"/>
      <c r="CX839" s="74"/>
      <c r="CY839" s="74"/>
      <c r="CZ839" s="74"/>
      <c r="DA839" s="74"/>
      <c r="DB839" s="74"/>
      <c r="DC839" s="74"/>
      <c r="DD839" s="74"/>
      <c r="DE839" s="74"/>
      <c r="DF839" s="74"/>
      <c r="DG839" s="74"/>
      <c r="DH839" s="74"/>
      <c r="DI839" s="74"/>
      <c r="DJ839" s="74"/>
      <c r="DK839" s="74"/>
      <c r="DL839" s="74"/>
      <c r="DM839" s="74"/>
      <c r="DN839" s="74"/>
      <c r="DO839" s="74"/>
      <c r="DP839" s="74"/>
      <c r="DQ839" s="74"/>
      <c r="DR839" s="74"/>
      <c r="DS839" s="74"/>
      <c r="DT839" s="74"/>
      <c r="DU839" s="74"/>
      <c r="DV839" s="74"/>
      <c r="DW839" s="74"/>
      <c r="DX839" s="74"/>
      <c r="DY839" s="74"/>
      <c r="DZ839" s="8">
        <f t="shared" si="222"/>
        <v>0</v>
      </c>
      <c r="EA839" s="3">
        <f t="shared" si="223"/>
        <v>0</v>
      </c>
      <c r="EB839" s="2">
        <f t="shared" si="224"/>
        <v>0</v>
      </c>
      <c r="EC839" s="112">
        <f t="shared" si="218"/>
        <v>0</v>
      </c>
      <c r="ED839" s="29">
        <f t="shared" si="225"/>
        <v>0</v>
      </c>
      <c r="EE839" s="2">
        <f t="shared" si="226"/>
        <v>0</v>
      </c>
      <c r="EF839" s="46">
        <f t="shared" si="227"/>
        <v>0</v>
      </c>
      <c r="EG839" s="46">
        <f t="shared" si="228"/>
        <v>0</v>
      </c>
      <c r="EH839" s="29">
        <f t="shared" si="229"/>
        <v>0</v>
      </c>
      <c r="EI839" s="29">
        <f>IF(COUNT(I839:AD839)&lt;5,DZ839,SUMPRODUCT(LARGE(I839:AD839,{1,2,3,4,5}))/5)</f>
        <v>0</v>
      </c>
      <c r="EJ839" s="29">
        <f>IF(COUNT(I839:BE839)&lt;5,DZ839,SUMPRODUCT(LARGE(I839:BE839,{1,2,3,4,5}))/5)</f>
        <v>0</v>
      </c>
      <c r="EK839" s="29">
        <f t="shared" si="231"/>
        <v>0</v>
      </c>
      <c r="EL839" s="29">
        <f t="shared" si="221"/>
        <v>0</v>
      </c>
      <c r="EM839" s="116">
        <f t="shared" si="230"/>
        <v>0</v>
      </c>
      <c r="EQ839"/>
    </row>
    <row r="840" spans="1:147" x14ac:dyDescent="0.25">
      <c r="A840" s="59"/>
      <c r="B840" s="32"/>
      <c r="C840" s="5"/>
      <c r="D840" s="6"/>
      <c r="E840" s="6"/>
      <c r="F840" s="6"/>
      <c r="G840" s="5"/>
      <c r="H840" s="37"/>
      <c r="I840" s="36"/>
      <c r="J840" s="7"/>
      <c r="K840" s="7"/>
      <c r="L840" s="7"/>
      <c r="M840" s="74"/>
      <c r="N840" s="74"/>
      <c r="O840" s="7"/>
      <c r="P840" s="74"/>
      <c r="Q840" s="7"/>
      <c r="R840" s="74"/>
      <c r="S840" s="74"/>
      <c r="T840" s="7"/>
      <c r="U840" s="7"/>
      <c r="V840" s="74"/>
      <c r="W840" s="74"/>
      <c r="X840" s="74"/>
      <c r="Y840" s="229"/>
      <c r="Z840" s="230"/>
      <c r="AA840" s="74"/>
      <c r="AB840" s="74"/>
      <c r="AC840" s="74"/>
      <c r="AD840" s="74"/>
      <c r="AE840" s="7"/>
      <c r="AF840" s="74"/>
      <c r="AG840" s="74"/>
      <c r="AH840" s="7"/>
      <c r="AI840" s="7"/>
      <c r="AJ840" s="7"/>
      <c r="AK840" s="7"/>
      <c r="AL840" s="7"/>
      <c r="AM840" s="7"/>
      <c r="AN840" s="7"/>
      <c r="AO840" s="74"/>
      <c r="AP840" s="7"/>
      <c r="AQ840" s="74"/>
      <c r="AR840" s="101"/>
      <c r="AS840" s="7"/>
      <c r="AT840" s="101"/>
      <c r="AU840" s="7"/>
      <c r="AV840" s="101"/>
      <c r="AW840" s="7"/>
      <c r="AX840" s="183"/>
      <c r="AY840" s="107"/>
      <c r="AZ840" s="74"/>
      <c r="BA840" s="74"/>
      <c r="BB840" s="74"/>
      <c r="BC840" s="74"/>
      <c r="BD840" s="74"/>
      <c r="BE840" s="74"/>
      <c r="BF840" s="74"/>
      <c r="BG840" s="74"/>
      <c r="BH840" s="74"/>
      <c r="BI840" s="74"/>
      <c r="BJ840" s="74"/>
      <c r="BK840" s="7"/>
      <c r="BL840" s="74"/>
      <c r="BM840" s="7"/>
      <c r="BN840" s="74"/>
      <c r="BO840" s="74"/>
      <c r="BP840" s="74"/>
      <c r="BQ840" s="74"/>
      <c r="BR840" s="101"/>
      <c r="BS840" s="74"/>
      <c r="BT840" s="101"/>
      <c r="BU840" s="74"/>
      <c r="BV840" s="74"/>
      <c r="BW840" s="101"/>
      <c r="BX840" s="74"/>
      <c r="BY840" s="74"/>
      <c r="BZ840" s="74"/>
      <c r="CA840" s="74"/>
      <c r="CB840" s="74"/>
      <c r="CC840" s="74"/>
      <c r="CD840" s="74"/>
      <c r="CE840" s="7"/>
      <c r="CF840" s="74"/>
      <c r="CG840" s="74"/>
      <c r="CH840" s="7"/>
      <c r="CI840" s="74"/>
      <c r="CJ840" s="74"/>
      <c r="CK840" s="101"/>
      <c r="CL840" s="74"/>
      <c r="CM840" s="74"/>
      <c r="CN840" s="74"/>
      <c r="CO840" s="101"/>
      <c r="CP840" s="74"/>
      <c r="CQ840" s="74"/>
      <c r="CR840" s="74"/>
      <c r="CS840" s="74"/>
      <c r="CT840" s="74"/>
      <c r="CU840" s="74"/>
      <c r="CV840" s="74"/>
      <c r="CW840" s="74"/>
      <c r="CX840" s="74"/>
      <c r="CY840" s="74"/>
      <c r="CZ840" s="74"/>
      <c r="DA840" s="74"/>
      <c r="DB840" s="74"/>
      <c r="DC840" s="74"/>
      <c r="DD840" s="74"/>
      <c r="DE840" s="74"/>
      <c r="DF840" s="74"/>
      <c r="DG840" s="74"/>
      <c r="DH840" s="74"/>
      <c r="DI840" s="74"/>
      <c r="DJ840" s="74"/>
      <c r="DK840" s="74"/>
      <c r="DL840" s="74"/>
      <c r="DM840" s="74"/>
      <c r="DN840" s="74"/>
      <c r="DO840" s="74"/>
      <c r="DP840" s="74"/>
      <c r="DQ840" s="74"/>
      <c r="DR840" s="74"/>
      <c r="DS840" s="74"/>
      <c r="DT840" s="74"/>
      <c r="DU840" s="74"/>
      <c r="DV840" s="74"/>
      <c r="DW840" s="74"/>
      <c r="DX840" s="74"/>
      <c r="DY840" s="74"/>
      <c r="DZ840" s="8">
        <f t="shared" si="222"/>
        <v>0</v>
      </c>
      <c r="EA840" s="3">
        <f t="shared" si="223"/>
        <v>0</v>
      </c>
      <c r="EB840" s="2">
        <f t="shared" si="224"/>
        <v>0</v>
      </c>
      <c r="EC840" s="112">
        <f t="shared" si="218"/>
        <v>0</v>
      </c>
      <c r="ED840" s="29">
        <f t="shared" si="225"/>
        <v>0</v>
      </c>
      <c r="EE840" s="2">
        <f t="shared" si="226"/>
        <v>0</v>
      </c>
      <c r="EF840" s="46">
        <f t="shared" si="227"/>
        <v>0</v>
      </c>
      <c r="EG840" s="46">
        <f t="shared" si="228"/>
        <v>0</v>
      </c>
      <c r="EH840" s="29">
        <f t="shared" si="229"/>
        <v>0</v>
      </c>
      <c r="EI840" s="29">
        <f>IF(COUNT(I840:AD840)&lt;5,DZ840,SUMPRODUCT(LARGE(I840:AD840,{1,2,3,4,5}))/5)</f>
        <v>0</v>
      </c>
      <c r="EJ840" s="29">
        <f>IF(COUNT(I840:BE840)&lt;5,DZ840,SUMPRODUCT(LARGE(I840:BE840,{1,2,3,4,5}))/5)</f>
        <v>0</v>
      </c>
      <c r="EK840" s="29">
        <f t="shared" si="231"/>
        <v>0</v>
      </c>
      <c r="EL840" s="29">
        <f t="shared" si="221"/>
        <v>0</v>
      </c>
      <c r="EM840" s="116">
        <f t="shared" si="230"/>
        <v>0</v>
      </c>
      <c r="EQ840"/>
    </row>
    <row r="841" spans="1:147" x14ac:dyDescent="0.25">
      <c r="A841" s="59"/>
      <c r="B841" s="4"/>
      <c r="C841" s="5"/>
      <c r="D841" s="6"/>
      <c r="E841" s="6"/>
      <c r="F841" s="6"/>
      <c r="G841" s="5"/>
      <c r="H841" s="37"/>
      <c r="I841" s="36"/>
      <c r="J841" s="7"/>
      <c r="K841" s="7"/>
      <c r="L841" s="7"/>
      <c r="M841" s="74"/>
      <c r="N841" s="74"/>
      <c r="O841" s="7"/>
      <c r="P841" s="74"/>
      <c r="Q841" s="7"/>
      <c r="R841" s="74"/>
      <c r="S841" s="74"/>
      <c r="T841" s="7"/>
      <c r="U841" s="7"/>
      <c r="V841" s="74"/>
      <c r="W841" s="74"/>
      <c r="X841" s="74"/>
      <c r="Y841" s="229"/>
      <c r="Z841" s="230"/>
      <c r="AA841" s="74"/>
      <c r="AB841" s="74"/>
      <c r="AC841" s="74"/>
      <c r="AD841" s="74"/>
      <c r="AE841" s="7"/>
      <c r="AF841" s="74"/>
      <c r="AG841" s="74"/>
      <c r="AH841" s="7"/>
      <c r="AI841" s="7"/>
      <c r="AJ841" s="7"/>
      <c r="AK841" s="7"/>
      <c r="AL841" s="7"/>
      <c r="AM841" s="7"/>
      <c r="AN841" s="7"/>
      <c r="AO841" s="74"/>
      <c r="AP841" s="7"/>
      <c r="AQ841" s="74"/>
      <c r="AR841" s="101"/>
      <c r="AS841" s="7"/>
      <c r="AT841" s="101"/>
      <c r="AU841" s="7"/>
      <c r="AV841" s="101"/>
      <c r="AW841" s="7"/>
      <c r="AX841" s="183"/>
      <c r="AY841" s="107"/>
      <c r="AZ841" s="74"/>
      <c r="BA841" s="74"/>
      <c r="BB841" s="74"/>
      <c r="BC841" s="74"/>
      <c r="BD841" s="74"/>
      <c r="BE841" s="74"/>
      <c r="BF841" s="74"/>
      <c r="BG841" s="74"/>
      <c r="BH841" s="74"/>
      <c r="BI841" s="74"/>
      <c r="BJ841" s="74"/>
      <c r="BK841" s="7"/>
      <c r="BL841" s="74"/>
      <c r="BM841" s="7"/>
      <c r="BN841" s="74"/>
      <c r="BO841" s="74"/>
      <c r="BP841" s="74"/>
      <c r="BQ841" s="74"/>
      <c r="BR841" s="74"/>
      <c r="BS841" s="74"/>
      <c r="BT841" s="74"/>
      <c r="BU841" s="74"/>
      <c r="BV841" s="74"/>
      <c r="BW841" s="74"/>
      <c r="BX841" s="74"/>
      <c r="BY841" s="74"/>
      <c r="BZ841" s="74"/>
      <c r="CA841" s="74"/>
      <c r="CB841" s="74"/>
      <c r="CC841" s="74"/>
      <c r="CD841" s="74"/>
      <c r="CE841" s="7"/>
      <c r="CF841" s="74"/>
      <c r="CG841" s="74"/>
      <c r="CH841" s="7"/>
      <c r="CI841" s="74"/>
      <c r="CJ841" s="74"/>
      <c r="CK841" s="101"/>
      <c r="CL841" s="74"/>
      <c r="CM841" s="74"/>
      <c r="CN841" s="74"/>
      <c r="CO841" s="101"/>
      <c r="CP841" s="101"/>
      <c r="CQ841" s="74"/>
      <c r="CR841" s="74"/>
      <c r="CS841" s="74"/>
      <c r="CT841" s="74"/>
      <c r="CU841" s="74"/>
      <c r="CV841" s="74"/>
      <c r="CW841" s="74"/>
      <c r="CX841" s="74"/>
      <c r="CY841" s="74"/>
      <c r="CZ841" s="74"/>
      <c r="DA841" s="74"/>
      <c r="DB841" s="74"/>
      <c r="DC841" s="74"/>
      <c r="DD841" s="74"/>
      <c r="DE841" s="74"/>
      <c r="DF841" s="74"/>
      <c r="DG841" s="74"/>
      <c r="DH841" s="74"/>
      <c r="DI841" s="74"/>
      <c r="DJ841" s="74"/>
      <c r="DK841" s="74"/>
      <c r="DL841" s="74"/>
      <c r="DM841" s="74"/>
      <c r="DN841" s="74"/>
      <c r="DO841" s="74"/>
      <c r="DP841" s="74"/>
      <c r="DQ841" s="74"/>
      <c r="DR841" s="74"/>
      <c r="DS841" s="74"/>
      <c r="DT841" s="74"/>
      <c r="DU841" s="74"/>
      <c r="DV841" s="74"/>
      <c r="DW841" s="74"/>
      <c r="DX841" s="74"/>
      <c r="DY841" s="74"/>
      <c r="DZ841" s="8">
        <f t="shared" si="222"/>
        <v>0</v>
      </c>
      <c r="EA841" s="3">
        <f t="shared" si="223"/>
        <v>0</v>
      </c>
      <c r="EB841" s="2">
        <f t="shared" si="224"/>
        <v>0</v>
      </c>
      <c r="EC841" s="112">
        <f t="shared" si="218"/>
        <v>0</v>
      </c>
      <c r="ED841" s="29">
        <f t="shared" si="225"/>
        <v>0</v>
      </c>
      <c r="EE841" s="2">
        <f t="shared" si="226"/>
        <v>0</v>
      </c>
      <c r="EF841" s="46">
        <f t="shared" si="227"/>
        <v>0</v>
      </c>
      <c r="EG841" s="46">
        <f t="shared" si="228"/>
        <v>0</v>
      </c>
      <c r="EH841" s="29">
        <f t="shared" si="229"/>
        <v>0</v>
      </c>
      <c r="EI841" s="29">
        <f>IF(COUNT(I841:AD841)&lt;5,DZ841,SUMPRODUCT(LARGE(I841:AD841,{1,2,3,4,5}))/5)</f>
        <v>0</v>
      </c>
      <c r="EJ841" s="29">
        <f>IF(COUNT(I841:BE841)&lt;5,DZ841,SUMPRODUCT(LARGE(I841:BE841,{1,2,3,4,5}))/5)</f>
        <v>0</v>
      </c>
      <c r="EK841" s="29">
        <f t="shared" si="231"/>
        <v>0</v>
      </c>
      <c r="EL841" s="29">
        <f t="shared" si="221"/>
        <v>0</v>
      </c>
      <c r="EM841" s="116">
        <f t="shared" si="230"/>
        <v>0</v>
      </c>
      <c r="EQ841"/>
    </row>
    <row r="842" spans="1:147" x14ac:dyDescent="0.25">
      <c r="A842" s="59"/>
      <c r="B842" s="32"/>
      <c r="C842" s="5"/>
      <c r="D842" s="6"/>
      <c r="E842" s="6"/>
      <c r="F842" s="6"/>
      <c r="G842" s="5"/>
      <c r="H842" s="37"/>
      <c r="I842" s="36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227"/>
      <c r="Z842" s="228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4"/>
      <c r="AP842" s="7"/>
      <c r="AQ842" s="74"/>
      <c r="AR842" s="70"/>
      <c r="AS842" s="7"/>
      <c r="AT842" s="70"/>
      <c r="AU842" s="7"/>
      <c r="AV842" s="70"/>
      <c r="AW842" s="7"/>
      <c r="AX842" s="183"/>
      <c r="AY842" s="10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101"/>
      <c r="CL842" s="74"/>
      <c r="CM842" s="74"/>
      <c r="CN842" s="74"/>
      <c r="CO842" s="70"/>
      <c r="CP842" s="74"/>
      <c r="CQ842" s="7"/>
      <c r="CR842" s="74"/>
      <c r="CS842" s="74"/>
      <c r="CT842" s="74"/>
      <c r="CU842" s="74"/>
      <c r="CV842" s="74"/>
      <c r="CW842" s="7"/>
      <c r="CX842" s="7"/>
      <c r="CY842" s="7"/>
      <c r="CZ842" s="7"/>
      <c r="DA842" s="7"/>
      <c r="DB842" s="7"/>
      <c r="DC842" s="7"/>
      <c r="DD842" s="7"/>
      <c r="DE842" s="74"/>
      <c r="DF842" s="74"/>
      <c r="DG842" s="74"/>
      <c r="DH842" s="74"/>
      <c r="DI842" s="74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8">
        <f t="shared" si="222"/>
        <v>0</v>
      </c>
      <c r="EA842" s="3">
        <f t="shared" si="223"/>
        <v>0</v>
      </c>
      <c r="EB842" s="2">
        <f t="shared" si="224"/>
        <v>0</v>
      </c>
      <c r="EC842" s="112">
        <f t="shared" si="218"/>
        <v>0</v>
      </c>
      <c r="ED842" s="29">
        <f t="shared" si="225"/>
        <v>0</v>
      </c>
      <c r="EE842" s="2">
        <f t="shared" si="226"/>
        <v>0</v>
      </c>
      <c r="EF842" s="46">
        <f t="shared" si="227"/>
        <v>0</v>
      </c>
      <c r="EG842" s="46">
        <f t="shared" si="228"/>
        <v>0</v>
      </c>
      <c r="EH842" s="2">
        <f t="shared" si="229"/>
        <v>0</v>
      </c>
      <c r="EI842" s="29">
        <f>IF(COUNT(I842:AD842)&lt;5,DZ842,SUMPRODUCT(LARGE(I842:AD842,{1,2,3,4,5}))/5)</f>
        <v>0</v>
      </c>
      <c r="EJ842" s="29">
        <f>IF(COUNT(I842:BE842)&lt;5,DZ842,SUMPRODUCT(LARGE(I842:BE842,{1,2,3,4,5}))/5)</f>
        <v>0</v>
      </c>
      <c r="EK842" s="29">
        <f t="shared" si="231"/>
        <v>0</v>
      </c>
      <c r="EL842" s="29">
        <f t="shared" si="221"/>
        <v>0</v>
      </c>
      <c r="EM842" s="116">
        <f t="shared" si="230"/>
        <v>0</v>
      </c>
      <c r="EQ842"/>
    </row>
    <row r="843" spans="1:147" x14ac:dyDescent="0.25">
      <c r="A843" s="59"/>
      <c r="B843" s="32"/>
      <c r="C843" s="5"/>
      <c r="D843" s="5"/>
      <c r="E843" s="6"/>
      <c r="F843" s="6"/>
      <c r="G843" s="5"/>
      <c r="H843" s="37"/>
      <c r="I843" s="36"/>
      <c r="J843" s="7"/>
      <c r="K843" s="7"/>
      <c r="L843" s="7"/>
      <c r="M843" s="74"/>
      <c r="N843" s="74"/>
      <c r="O843" s="7"/>
      <c r="P843" s="74"/>
      <c r="Q843" s="7"/>
      <c r="R843" s="74"/>
      <c r="S843" s="74"/>
      <c r="T843" s="7"/>
      <c r="U843" s="7"/>
      <c r="V843" s="74"/>
      <c r="W843" s="74"/>
      <c r="X843" s="74"/>
      <c r="Y843" s="229"/>
      <c r="Z843" s="230"/>
      <c r="AA843" s="74"/>
      <c r="AB843" s="74"/>
      <c r="AC843" s="74"/>
      <c r="AD843" s="74"/>
      <c r="AE843" s="7"/>
      <c r="AF843" s="74"/>
      <c r="AG843" s="74"/>
      <c r="AH843" s="7"/>
      <c r="AI843" s="7"/>
      <c r="AJ843" s="7"/>
      <c r="AK843" s="7"/>
      <c r="AL843" s="7"/>
      <c r="AM843" s="7"/>
      <c r="AN843" s="7"/>
      <c r="AO843" s="74"/>
      <c r="AP843" s="7"/>
      <c r="AQ843" s="74"/>
      <c r="AR843" s="101"/>
      <c r="AS843" s="7"/>
      <c r="AT843" s="101"/>
      <c r="AU843" s="7"/>
      <c r="AV843" s="101"/>
      <c r="AW843" s="7"/>
      <c r="AX843" s="183"/>
      <c r="AY843" s="107"/>
      <c r="AZ843" s="74"/>
      <c r="BA843" s="74"/>
      <c r="BB843" s="74"/>
      <c r="BC843" s="74"/>
      <c r="BD843" s="74"/>
      <c r="BE843" s="74"/>
      <c r="BF843" s="74"/>
      <c r="BG843" s="74"/>
      <c r="BH843" s="74"/>
      <c r="BI843" s="74"/>
      <c r="BJ843" s="74"/>
      <c r="BK843" s="7"/>
      <c r="BL843" s="74"/>
      <c r="BM843" s="7"/>
      <c r="BN843" s="74"/>
      <c r="BO843" s="74"/>
      <c r="BP843" s="74"/>
      <c r="BQ843" s="74"/>
      <c r="BR843" s="74"/>
      <c r="BS843" s="74"/>
      <c r="BT843" s="74"/>
      <c r="BU843" s="74"/>
      <c r="BV843" s="74"/>
      <c r="BW843" s="74"/>
      <c r="BX843" s="74"/>
      <c r="BY843" s="74"/>
      <c r="BZ843" s="74"/>
      <c r="CA843" s="74"/>
      <c r="CB843" s="74"/>
      <c r="CC843" s="74"/>
      <c r="CD843" s="74"/>
      <c r="CE843" s="7"/>
      <c r="CF843" s="74"/>
      <c r="CG843" s="74"/>
      <c r="CH843" s="7"/>
      <c r="CI843" s="74"/>
      <c r="CJ843" s="74"/>
      <c r="CK843" s="101"/>
      <c r="CL843" s="74"/>
      <c r="CM843" s="74"/>
      <c r="CN843" s="74"/>
      <c r="CO843" s="101"/>
      <c r="CP843" s="74"/>
      <c r="CQ843" s="74"/>
      <c r="CR843" s="74"/>
      <c r="CS843" s="74"/>
      <c r="CT843" s="74"/>
      <c r="CU843" s="74"/>
      <c r="CV843" s="74"/>
      <c r="CW843" s="74"/>
      <c r="CX843" s="74"/>
      <c r="CY843" s="74"/>
      <c r="CZ843" s="74"/>
      <c r="DA843" s="74"/>
      <c r="DB843" s="74"/>
      <c r="DC843" s="74"/>
      <c r="DD843" s="74"/>
      <c r="DE843" s="74"/>
      <c r="DF843" s="74"/>
      <c r="DG843" s="74"/>
      <c r="DH843" s="74"/>
      <c r="DI843" s="74"/>
      <c r="DJ843" s="74"/>
      <c r="DK843" s="74"/>
      <c r="DL843" s="74"/>
      <c r="DM843" s="74"/>
      <c r="DN843" s="74"/>
      <c r="DO843" s="74"/>
      <c r="DP843" s="74"/>
      <c r="DQ843" s="74"/>
      <c r="DR843" s="74"/>
      <c r="DS843" s="74"/>
      <c r="DT843" s="74"/>
      <c r="DU843" s="74"/>
      <c r="DV843" s="74"/>
      <c r="DW843" s="74"/>
      <c r="DX843" s="74"/>
      <c r="DY843" s="74"/>
      <c r="DZ843" s="8">
        <f t="shared" si="222"/>
        <v>0</v>
      </c>
      <c r="EA843" s="3">
        <f t="shared" si="223"/>
        <v>0</v>
      </c>
      <c r="EB843" s="2">
        <f t="shared" si="224"/>
        <v>0</v>
      </c>
      <c r="EC843" s="112">
        <f t="shared" si="218"/>
        <v>0</v>
      </c>
      <c r="ED843" s="29">
        <f t="shared" si="225"/>
        <v>0</v>
      </c>
      <c r="EE843" s="2">
        <f t="shared" si="226"/>
        <v>0</v>
      </c>
      <c r="EF843" s="46">
        <f t="shared" si="227"/>
        <v>0</v>
      </c>
      <c r="EG843" s="46">
        <f t="shared" si="228"/>
        <v>0</v>
      </c>
      <c r="EH843" s="29">
        <f t="shared" si="229"/>
        <v>0</v>
      </c>
      <c r="EI843" s="29">
        <f>IF(COUNT(I843:AD843)&lt;5,DZ843,SUMPRODUCT(LARGE(I843:AD843,{1,2,3,4,5}))/5)</f>
        <v>0</v>
      </c>
      <c r="EJ843" s="29">
        <f>IF(COUNT(I843:BE843)&lt;5,DZ843,SUMPRODUCT(LARGE(I843:BE843,{1,2,3,4,5}))/5)</f>
        <v>0</v>
      </c>
      <c r="EK843" s="29">
        <f t="shared" si="231"/>
        <v>0</v>
      </c>
      <c r="EL843" s="29">
        <f t="shared" si="221"/>
        <v>0</v>
      </c>
      <c r="EM843" s="116">
        <f t="shared" si="230"/>
        <v>0</v>
      </c>
      <c r="EQ843"/>
    </row>
    <row r="844" spans="1:147" x14ac:dyDescent="0.25">
      <c r="A844" s="59"/>
      <c r="B844" s="32"/>
      <c r="C844" s="5"/>
      <c r="D844" s="6"/>
      <c r="E844" s="6"/>
      <c r="F844" s="6"/>
      <c r="G844" s="5"/>
      <c r="H844" s="37"/>
      <c r="I844" s="36"/>
      <c r="J844" s="7"/>
      <c r="K844" s="7"/>
      <c r="L844" s="7"/>
      <c r="M844" s="74"/>
      <c r="N844" s="74"/>
      <c r="O844" s="7"/>
      <c r="P844" s="74"/>
      <c r="Q844" s="7"/>
      <c r="R844" s="74"/>
      <c r="S844" s="74"/>
      <c r="T844" s="7"/>
      <c r="U844" s="7"/>
      <c r="V844" s="74"/>
      <c r="W844" s="74"/>
      <c r="X844" s="74"/>
      <c r="Y844" s="229"/>
      <c r="Z844" s="230"/>
      <c r="AA844" s="74"/>
      <c r="AB844" s="74"/>
      <c r="AC844" s="74"/>
      <c r="AD844" s="74"/>
      <c r="AE844" s="7"/>
      <c r="AF844" s="74"/>
      <c r="AG844" s="74"/>
      <c r="AH844" s="7"/>
      <c r="AI844" s="7"/>
      <c r="AJ844" s="7"/>
      <c r="AK844" s="7"/>
      <c r="AL844" s="7"/>
      <c r="AM844" s="7"/>
      <c r="AN844" s="7"/>
      <c r="AO844" s="74"/>
      <c r="AP844" s="7"/>
      <c r="AQ844" s="74"/>
      <c r="AR844" s="101"/>
      <c r="AS844" s="7"/>
      <c r="AT844" s="101"/>
      <c r="AU844" s="7"/>
      <c r="AV844" s="101"/>
      <c r="AW844" s="7"/>
      <c r="AX844" s="183"/>
      <c r="AY844" s="107"/>
      <c r="AZ844" s="74"/>
      <c r="BA844" s="74"/>
      <c r="BB844" s="74"/>
      <c r="BC844" s="74"/>
      <c r="BD844" s="74"/>
      <c r="BE844" s="74"/>
      <c r="BF844" s="74"/>
      <c r="BG844" s="74"/>
      <c r="BH844" s="74"/>
      <c r="BI844" s="74"/>
      <c r="BJ844" s="74"/>
      <c r="BK844" s="7"/>
      <c r="BL844" s="74"/>
      <c r="BM844" s="7"/>
      <c r="BN844" s="74"/>
      <c r="BO844" s="74"/>
      <c r="BP844" s="74"/>
      <c r="BQ844" s="74"/>
      <c r="BR844" s="74"/>
      <c r="BS844" s="74"/>
      <c r="BT844" s="74"/>
      <c r="BU844" s="74"/>
      <c r="BV844" s="74"/>
      <c r="BW844" s="74"/>
      <c r="BX844" s="74"/>
      <c r="BY844" s="74"/>
      <c r="BZ844" s="74"/>
      <c r="CA844" s="74"/>
      <c r="CB844" s="74"/>
      <c r="CC844" s="74"/>
      <c r="CD844" s="74"/>
      <c r="CE844" s="7"/>
      <c r="CF844" s="74"/>
      <c r="CG844" s="74"/>
      <c r="CH844" s="7"/>
      <c r="CI844" s="74"/>
      <c r="CJ844" s="74"/>
      <c r="CK844" s="101"/>
      <c r="CL844" s="74"/>
      <c r="CM844" s="74"/>
      <c r="CN844" s="74"/>
      <c r="CO844" s="101"/>
      <c r="CP844" s="74"/>
      <c r="CQ844" s="74"/>
      <c r="CR844" s="74"/>
      <c r="CS844" s="74"/>
      <c r="CT844" s="74"/>
      <c r="CU844" s="74"/>
      <c r="CV844" s="74"/>
      <c r="CW844" s="74"/>
      <c r="CX844" s="74"/>
      <c r="CY844" s="74"/>
      <c r="CZ844" s="74"/>
      <c r="DA844" s="74"/>
      <c r="DB844" s="74"/>
      <c r="DC844" s="74"/>
      <c r="DD844" s="74"/>
      <c r="DE844" s="74"/>
      <c r="DF844" s="74"/>
      <c r="DG844" s="74"/>
      <c r="DH844" s="74"/>
      <c r="DI844" s="74"/>
      <c r="DJ844" s="74"/>
      <c r="DK844" s="74"/>
      <c r="DL844" s="74"/>
      <c r="DM844" s="74"/>
      <c r="DN844" s="74"/>
      <c r="DO844" s="74"/>
      <c r="DP844" s="74"/>
      <c r="DQ844" s="74"/>
      <c r="DR844" s="74"/>
      <c r="DS844" s="74"/>
      <c r="DT844" s="74"/>
      <c r="DU844" s="74"/>
      <c r="DV844" s="74"/>
      <c r="DW844" s="74"/>
      <c r="DX844" s="74"/>
      <c r="DY844" s="74"/>
      <c r="DZ844" s="8">
        <f t="shared" si="222"/>
        <v>0</v>
      </c>
      <c r="EA844" s="3">
        <f t="shared" si="223"/>
        <v>0</v>
      </c>
      <c r="EB844" s="2">
        <f t="shared" si="224"/>
        <v>0</v>
      </c>
      <c r="EC844" s="112">
        <f t="shared" si="218"/>
        <v>0</v>
      </c>
      <c r="ED844" s="29">
        <f t="shared" si="225"/>
        <v>0</v>
      </c>
      <c r="EE844" s="2">
        <f t="shared" si="226"/>
        <v>0</v>
      </c>
      <c r="EF844" s="46">
        <f t="shared" si="227"/>
        <v>0</v>
      </c>
      <c r="EG844" s="46">
        <f t="shared" si="228"/>
        <v>0</v>
      </c>
      <c r="EH844" s="29">
        <f t="shared" si="229"/>
        <v>0</v>
      </c>
      <c r="EI844" s="29">
        <f>IF(COUNT(I844:AD844)&lt;5,DZ844,SUMPRODUCT(LARGE(I844:AD844,{1,2,3,4,5}))/5)</f>
        <v>0</v>
      </c>
      <c r="EJ844" s="29">
        <f>IF(COUNT(I844:BE844)&lt;5,DZ844,SUMPRODUCT(LARGE(I844:BE844,{1,2,3,4,5}))/5)</f>
        <v>0</v>
      </c>
      <c r="EK844" s="29">
        <f t="shared" si="231"/>
        <v>0</v>
      </c>
      <c r="EL844" s="29">
        <f t="shared" si="221"/>
        <v>0</v>
      </c>
      <c r="EM844" s="116">
        <f t="shared" si="230"/>
        <v>0</v>
      </c>
      <c r="EQ844"/>
    </row>
    <row r="845" spans="1:147" x14ac:dyDescent="0.25">
      <c r="A845" s="59"/>
      <c r="B845" s="32"/>
      <c r="C845" s="5"/>
      <c r="D845" s="6"/>
      <c r="E845" s="6"/>
      <c r="F845" s="6"/>
      <c r="G845" s="5"/>
      <c r="H845" s="37"/>
      <c r="I845" s="36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227"/>
      <c r="Z845" s="228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4"/>
      <c r="AP845" s="7"/>
      <c r="AQ845" s="74"/>
      <c r="AR845" s="70"/>
      <c r="AS845" s="7"/>
      <c r="AT845" s="70"/>
      <c r="AU845" s="7"/>
      <c r="AV845" s="70"/>
      <c r="AW845" s="7"/>
      <c r="AX845" s="8"/>
      <c r="AY845" s="36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4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4"/>
      <c r="CG845" s="7"/>
      <c r="CH845" s="7"/>
      <c r="CI845" s="7"/>
      <c r="CJ845" s="7"/>
      <c r="CK845" s="101"/>
      <c r="CL845" s="74"/>
      <c r="CM845" s="74"/>
      <c r="CN845" s="74"/>
      <c r="CO845" s="70"/>
      <c r="CP845" s="74"/>
      <c r="CQ845" s="7"/>
      <c r="CR845" s="74"/>
      <c r="CS845" s="74"/>
      <c r="CT845" s="74"/>
      <c r="CU845" s="74"/>
      <c r="CV845" s="7"/>
      <c r="CW845" s="7"/>
      <c r="CX845" s="7"/>
      <c r="CY845" s="7"/>
      <c r="CZ845" s="7"/>
      <c r="DA845" s="7"/>
      <c r="DB845" s="7"/>
      <c r="DC845" s="7"/>
      <c r="DD845" s="7"/>
      <c r="DE845" s="74"/>
      <c r="DF845" s="74"/>
      <c r="DG845" s="74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8">
        <f t="shared" si="222"/>
        <v>0</v>
      </c>
      <c r="EA845" s="3">
        <f t="shared" si="223"/>
        <v>0</v>
      </c>
      <c r="EB845" s="2">
        <f t="shared" si="224"/>
        <v>0</v>
      </c>
      <c r="EC845" s="112">
        <f t="shared" si="218"/>
        <v>0</v>
      </c>
      <c r="ED845" s="29">
        <f t="shared" si="225"/>
        <v>0</v>
      </c>
      <c r="EE845" s="2">
        <f t="shared" si="226"/>
        <v>0</v>
      </c>
      <c r="EF845" s="46">
        <f t="shared" si="227"/>
        <v>0</v>
      </c>
      <c r="EG845" s="46">
        <f t="shared" si="228"/>
        <v>0</v>
      </c>
      <c r="EH845" s="2">
        <f t="shared" si="229"/>
        <v>0</v>
      </c>
      <c r="EI845" s="29">
        <f>IF(COUNT(I845:AD845)&lt;5,DZ845,SUMPRODUCT(LARGE(I845:AD845,{1,2,3,4,5}))/5)</f>
        <v>0</v>
      </c>
      <c r="EJ845" s="29">
        <f>IF(COUNT(I845:BE845)&lt;5,DZ845,SUMPRODUCT(LARGE(I845:BE845,{1,2,3,4,5}))/5)</f>
        <v>0</v>
      </c>
      <c r="EK845" s="29">
        <f t="shared" si="231"/>
        <v>0</v>
      </c>
      <c r="EL845" s="29">
        <f>(EK845*100)/101.59</f>
        <v>0</v>
      </c>
      <c r="EM845" s="116">
        <f t="shared" si="230"/>
        <v>0</v>
      </c>
      <c r="EQ845"/>
    </row>
    <row r="846" spans="1:147" x14ac:dyDescent="0.25">
      <c r="A846" s="59"/>
      <c r="B846" s="4"/>
      <c r="C846" s="5"/>
      <c r="D846" s="5"/>
      <c r="E846" s="6"/>
      <c r="F846" s="6"/>
      <c r="G846" s="5"/>
      <c r="H846" s="37"/>
      <c r="I846" s="36"/>
      <c r="J846" s="7"/>
      <c r="K846" s="7"/>
      <c r="L846" s="7"/>
      <c r="M846" s="74"/>
      <c r="N846" s="74"/>
      <c r="O846" s="7"/>
      <c r="P846" s="74"/>
      <c r="Q846" s="7"/>
      <c r="R846" s="74"/>
      <c r="S846" s="74"/>
      <c r="T846" s="7"/>
      <c r="U846" s="7"/>
      <c r="V846" s="74"/>
      <c r="W846" s="74"/>
      <c r="X846" s="74"/>
      <c r="Y846" s="229"/>
      <c r="Z846" s="230"/>
      <c r="AA846" s="74"/>
      <c r="AB846" s="74"/>
      <c r="AC846" s="74"/>
      <c r="AD846" s="74"/>
      <c r="AE846" s="7"/>
      <c r="AF846" s="74"/>
      <c r="AG846" s="74"/>
      <c r="AH846" s="7"/>
      <c r="AI846" s="7"/>
      <c r="AJ846" s="7"/>
      <c r="AK846" s="7"/>
      <c r="AL846" s="7"/>
      <c r="AM846" s="7"/>
      <c r="AN846" s="7"/>
      <c r="AO846" s="74"/>
      <c r="AP846" s="7"/>
      <c r="AQ846" s="74"/>
      <c r="AR846" s="101"/>
      <c r="AS846" s="7"/>
      <c r="AT846" s="101"/>
      <c r="AU846" s="7"/>
      <c r="AV846" s="101"/>
      <c r="AW846" s="7"/>
      <c r="AX846" s="183"/>
      <c r="AY846" s="107"/>
      <c r="AZ846" s="74"/>
      <c r="BA846" s="74"/>
      <c r="BB846" s="74"/>
      <c r="BC846" s="74"/>
      <c r="BD846" s="74"/>
      <c r="BE846" s="74"/>
      <c r="BF846" s="74"/>
      <c r="BG846" s="74"/>
      <c r="BH846" s="74"/>
      <c r="BI846" s="74"/>
      <c r="BJ846" s="74"/>
      <c r="BK846" s="7"/>
      <c r="BL846" s="74"/>
      <c r="BM846" s="7"/>
      <c r="BN846" s="74"/>
      <c r="BO846" s="74"/>
      <c r="BP846" s="74"/>
      <c r="BQ846" s="74"/>
      <c r="BR846" s="74"/>
      <c r="BS846" s="74"/>
      <c r="BT846" s="74"/>
      <c r="BU846" s="74"/>
      <c r="BV846" s="74"/>
      <c r="BW846" s="74"/>
      <c r="BX846" s="74"/>
      <c r="BY846" s="74"/>
      <c r="BZ846" s="74"/>
      <c r="CA846" s="74"/>
      <c r="CB846" s="74"/>
      <c r="CC846" s="74"/>
      <c r="CD846" s="74"/>
      <c r="CE846" s="7"/>
      <c r="CF846" s="74"/>
      <c r="CG846" s="74"/>
      <c r="CH846" s="7"/>
      <c r="CI846" s="74"/>
      <c r="CJ846" s="74"/>
      <c r="CK846" s="101"/>
      <c r="CL846" s="74"/>
      <c r="CM846" s="74"/>
      <c r="CN846" s="74"/>
      <c r="CO846" s="101"/>
      <c r="CP846" s="74"/>
      <c r="CQ846" s="74"/>
      <c r="CR846" s="74"/>
      <c r="CS846" s="74"/>
      <c r="CT846" s="74"/>
      <c r="CU846" s="74"/>
      <c r="CV846" s="74"/>
      <c r="CW846" s="74"/>
      <c r="CX846" s="74"/>
      <c r="CY846" s="74"/>
      <c r="CZ846" s="74"/>
      <c r="DA846" s="74"/>
      <c r="DB846" s="74"/>
      <c r="DC846" s="74"/>
      <c r="DD846" s="74"/>
      <c r="DE846" s="74"/>
      <c r="DF846" s="74"/>
      <c r="DG846" s="74"/>
      <c r="DH846" s="74"/>
      <c r="DI846" s="74"/>
      <c r="DJ846" s="74"/>
      <c r="DK846" s="74"/>
      <c r="DL846" s="74"/>
      <c r="DM846" s="74"/>
      <c r="DN846" s="74"/>
      <c r="DO846" s="74"/>
      <c r="DP846" s="74"/>
      <c r="DQ846" s="74"/>
      <c r="DR846" s="74"/>
      <c r="DS846" s="74"/>
      <c r="DT846" s="74"/>
      <c r="DU846" s="74"/>
      <c r="DV846" s="74"/>
      <c r="DW846" s="74"/>
      <c r="DX846" s="74"/>
      <c r="DY846" s="74"/>
      <c r="DZ846" s="8">
        <f t="shared" si="222"/>
        <v>0</v>
      </c>
      <c r="EA846" s="3">
        <f t="shared" si="223"/>
        <v>0</v>
      </c>
      <c r="EB846" s="2">
        <f t="shared" si="224"/>
        <v>0</v>
      </c>
      <c r="EC846" s="112">
        <f t="shared" ref="EC846:EC909" si="232">H846</f>
        <v>0</v>
      </c>
      <c r="ED846" s="29">
        <f t="shared" si="225"/>
        <v>0</v>
      </c>
      <c r="EE846" s="2">
        <f t="shared" si="226"/>
        <v>0</v>
      </c>
      <c r="EF846" s="46">
        <f t="shared" si="227"/>
        <v>0</v>
      </c>
      <c r="EG846" s="46">
        <f t="shared" si="228"/>
        <v>0</v>
      </c>
      <c r="EH846" s="29">
        <f t="shared" si="229"/>
        <v>0</v>
      </c>
      <c r="EI846" s="29">
        <f>IF(COUNT(I846:AD846)&lt;5,DZ846,SUMPRODUCT(LARGE(I846:AD846,{1,2,3,4,5}))/5)</f>
        <v>0</v>
      </c>
      <c r="EJ846" s="29">
        <f>IF(COUNT(I846:BE846)&lt;5,DZ846,SUMPRODUCT(LARGE(I846:BE846,{1,2,3,4,5}))/5)</f>
        <v>0</v>
      </c>
      <c r="EK846" s="29">
        <f t="shared" si="231"/>
        <v>0</v>
      </c>
      <c r="EL846" s="29">
        <f>(EK846*100)/101.28</f>
        <v>0</v>
      </c>
      <c r="EM846" s="116">
        <f t="shared" si="230"/>
        <v>0</v>
      </c>
      <c r="EQ846"/>
    </row>
    <row r="847" spans="1:147" x14ac:dyDescent="0.25">
      <c r="A847" s="59"/>
      <c r="B847" s="32"/>
      <c r="C847" s="5"/>
      <c r="D847" s="6"/>
      <c r="E847" s="6"/>
      <c r="F847" s="6"/>
      <c r="G847" s="5"/>
      <c r="H847" s="37"/>
      <c r="I847" s="36"/>
      <c r="J847" s="7"/>
      <c r="K847" s="7"/>
      <c r="L847" s="7"/>
      <c r="M847" s="74"/>
      <c r="N847" s="74"/>
      <c r="O847" s="7"/>
      <c r="P847" s="74"/>
      <c r="Q847" s="7"/>
      <c r="R847" s="74"/>
      <c r="S847" s="74"/>
      <c r="T847" s="7"/>
      <c r="U847" s="7"/>
      <c r="V847" s="74"/>
      <c r="W847" s="74"/>
      <c r="X847" s="74"/>
      <c r="Y847" s="229"/>
      <c r="Z847" s="230"/>
      <c r="AA847" s="74"/>
      <c r="AB847" s="74"/>
      <c r="AC847" s="74"/>
      <c r="AD847" s="74"/>
      <c r="AE847" s="7"/>
      <c r="AF847" s="74"/>
      <c r="AG847" s="74"/>
      <c r="AH847" s="7"/>
      <c r="AI847" s="7"/>
      <c r="AJ847" s="7"/>
      <c r="AK847" s="7"/>
      <c r="AL847" s="7"/>
      <c r="AM847" s="7"/>
      <c r="AN847" s="7"/>
      <c r="AO847" s="74"/>
      <c r="AP847" s="7"/>
      <c r="AQ847" s="74"/>
      <c r="AR847" s="101"/>
      <c r="AS847" s="7"/>
      <c r="AT847" s="101"/>
      <c r="AU847" s="7"/>
      <c r="AV847" s="101"/>
      <c r="AW847" s="7"/>
      <c r="AX847" s="183"/>
      <c r="AY847" s="107"/>
      <c r="AZ847" s="74"/>
      <c r="BA847" s="74"/>
      <c r="BB847" s="74"/>
      <c r="BC847" s="74"/>
      <c r="BD847" s="74"/>
      <c r="BE847" s="74"/>
      <c r="BF847" s="74"/>
      <c r="BG847" s="74"/>
      <c r="BH847" s="74"/>
      <c r="BI847" s="74"/>
      <c r="BJ847" s="74"/>
      <c r="BK847" s="7"/>
      <c r="BL847" s="74"/>
      <c r="BM847" s="7"/>
      <c r="BN847" s="74"/>
      <c r="BO847" s="74"/>
      <c r="BP847" s="74"/>
      <c r="BQ847" s="74"/>
      <c r="BR847" s="74"/>
      <c r="BS847" s="74"/>
      <c r="BT847" s="74"/>
      <c r="BU847" s="74"/>
      <c r="BV847" s="74"/>
      <c r="BW847" s="74"/>
      <c r="BX847" s="74"/>
      <c r="BY847" s="74"/>
      <c r="BZ847" s="74"/>
      <c r="CA847" s="74"/>
      <c r="CB847" s="74"/>
      <c r="CC847" s="74"/>
      <c r="CD847" s="74"/>
      <c r="CE847" s="7"/>
      <c r="CF847" s="74"/>
      <c r="CG847" s="74"/>
      <c r="CH847" s="7"/>
      <c r="CI847" s="74"/>
      <c r="CJ847" s="74"/>
      <c r="CK847" s="101"/>
      <c r="CL847" s="74"/>
      <c r="CM847" s="74"/>
      <c r="CN847" s="74"/>
      <c r="CO847" s="101"/>
      <c r="CP847" s="74"/>
      <c r="CQ847" s="74"/>
      <c r="CR847" s="74"/>
      <c r="CS847" s="74"/>
      <c r="CT847" s="74"/>
      <c r="CU847" s="74"/>
      <c r="CV847" s="74"/>
      <c r="CW847" s="74"/>
      <c r="CX847" s="74"/>
      <c r="CY847" s="74"/>
      <c r="CZ847" s="74"/>
      <c r="DA847" s="74"/>
      <c r="DB847" s="74"/>
      <c r="DC847" s="74"/>
      <c r="DD847" s="74"/>
      <c r="DE847" s="74"/>
      <c r="DF847" s="74"/>
      <c r="DG847" s="74"/>
      <c r="DH847" s="74"/>
      <c r="DI847" s="74"/>
      <c r="DJ847" s="74"/>
      <c r="DK847" s="74"/>
      <c r="DL847" s="74"/>
      <c r="DM847" s="74"/>
      <c r="DN847" s="74"/>
      <c r="DO847" s="74"/>
      <c r="DP847" s="74"/>
      <c r="DQ847" s="74"/>
      <c r="DR847" s="74"/>
      <c r="DS847" s="74"/>
      <c r="DT847" s="74"/>
      <c r="DU847" s="74"/>
      <c r="DV847" s="74"/>
      <c r="DW847" s="74"/>
      <c r="DX847" s="74"/>
      <c r="DY847" s="74"/>
      <c r="DZ847" s="8">
        <f t="shared" si="222"/>
        <v>0</v>
      </c>
      <c r="EA847" s="3">
        <f t="shared" si="223"/>
        <v>0</v>
      </c>
      <c r="EB847" s="2">
        <f t="shared" si="224"/>
        <v>0</v>
      </c>
      <c r="EC847" s="112">
        <f t="shared" si="232"/>
        <v>0</v>
      </c>
      <c r="ED847" s="29">
        <f t="shared" si="225"/>
        <v>0</v>
      </c>
      <c r="EE847" s="2">
        <f t="shared" si="226"/>
        <v>0</v>
      </c>
      <c r="EF847" s="46">
        <f t="shared" si="227"/>
        <v>0</v>
      </c>
      <c r="EG847" s="46">
        <f t="shared" si="228"/>
        <v>0</v>
      </c>
      <c r="EH847" s="29">
        <f t="shared" si="229"/>
        <v>0</v>
      </c>
      <c r="EI847" s="29">
        <f>IF(COUNT(I847:AD847)&lt;5,DZ847,SUMPRODUCT(LARGE(I847:AD847,{1,2,3,4,5}))/5)</f>
        <v>0</v>
      </c>
      <c r="EJ847" s="29">
        <f>IF(COUNT(I847:BE847)&lt;5,DZ847,SUMPRODUCT(LARGE(I847:BE847,{1,2,3,4,5}))/5)</f>
        <v>0</v>
      </c>
      <c r="EK847" s="29">
        <f t="shared" si="231"/>
        <v>0</v>
      </c>
      <c r="EL847" s="29">
        <f>(EK847*100)/101.28</f>
        <v>0</v>
      </c>
      <c r="EM847" s="116">
        <f t="shared" si="230"/>
        <v>0</v>
      </c>
      <c r="EQ847"/>
    </row>
    <row r="848" spans="1:147" x14ac:dyDescent="0.25">
      <c r="A848" s="59"/>
      <c r="B848" s="32"/>
      <c r="C848" s="5"/>
      <c r="D848" s="6"/>
      <c r="E848" s="6"/>
      <c r="F848" s="6"/>
      <c r="G848" s="5"/>
      <c r="H848" s="37"/>
      <c r="I848" s="36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227"/>
      <c r="Z848" s="228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4"/>
      <c r="AP848" s="7"/>
      <c r="AQ848" s="74"/>
      <c r="AR848" s="70"/>
      <c r="AS848" s="7"/>
      <c r="AT848" s="70"/>
      <c r="AU848" s="7"/>
      <c r="AV848" s="70"/>
      <c r="AW848" s="7"/>
      <c r="AX848" s="8"/>
      <c r="AY848" s="36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4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101"/>
      <c r="CL848" s="74"/>
      <c r="CM848" s="74"/>
      <c r="CN848" s="74"/>
      <c r="CO848" s="70"/>
      <c r="CP848" s="74"/>
      <c r="CQ848" s="7"/>
      <c r="CR848" s="74"/>
      <c r="CS848" s="74"/>
      <c r="CT848" s="74"/>
      <c r="CU848" s="74"/>
      <c r="CV848" s="7"/>
      <c r="CW848" s="7"/>
      <c r="CX848" s="7"/>
      <c r="CY848" s="7"/>
      <c r="CZ848" s="7"/>
      <c r="DA848" s="7"/>
      <c r="DB848" s="7"/>
      <c r="DC848" s="7"/>
      <c r="DD848" s="7"/>
      <c r="DE848" s="74"/>
      <c r="DF848" s="74"/>
      <c r="DG848" s="74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8">
        <f t="shared" si="222"/>
        <v>0</v>
      </c>
      <c r="EA848" s="3">
        <f t="shared" si="223"/>
        <v>0</v>
      </c>
      <c r="EB848" s="2">
        <f t="shared" si="224"/>
        <v>0</v>
      </c>
      <c r="EC848" s="112">
        <f t="shared" si="232"/>
        <v>0</v>
      </c>
      <c r="ED848" s="29">
        <f t="shared" si="225"/>
        <v>0</v>
      </c>
      <c r="EE848" s="2">
        <f t="shared" si="226"/>
        <v>0</v>
      </c>
      <c r="EF848" s="46">
        <f t="shared" si="227"/>
        <v>0</v>
      </c>
      <c r="EG848" s="46">
        <f t="shared" si="228"/>
        <v>0</v>
      </c>
      <c r="EH848" s="2">
        <f t="shared" si="229"/>
        <v>0</v>
      </c>
      <c r="EI848" s="29">
        <f>IF(COUNT(I848:AD848)&lt;5,DZ848,SUMPRODUCT(LARGE(I848:AD848,{1,2,3,4,5}))/5)</f>
        <v>0</v>
      </c>
      <c r="EJ848" s="29">
        <f>IF(COUNT(I848:BE848)&lt;5,DZ848,SUMPRODUCT(LARGE(I848:BE848,{1,2,3,4,5}))/5)</f>
        <v>0</v>
      </c>
      <c r="EK848" s="29">
        <f t="shared" si="231"/>
        <v>0</v>
      </c>
      <c r="EL848" s="29">
        <f>(EK848*100)/101.59</f>
        <v>0</v>
      </c>
      <c r="EM848" s="116">
        <f t="shared" si="230"/>
        <v>0</v>
      </c>
      <c r="EQ848"/>
    </row>
    <row r="849" spans="1:147" x14ac:dyDescent="0.25">
      <c r="A849" s="59"/>
      <c r="B849" s="32"/>
      <c r="C849" s="5"/>
      <c r="D849" s="6"/>
      <c r="E849" s="6"/>
      <c r="F849" s="6"/>
      <c r="G849" s="5"/>
      <c r="H849" s="99"/>
      <c r="I849" s="36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227"/>
      <c r="Z849" s="228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4"/>
      <c r="AP849" s="7"/>
      <c r="AQ849" s="74"/>
      <c r="AR849" s="70"/>
      <c r="AS849" s="7"/>
      <c r="AT849" s="70"/>
      <c r="AU849" s="7"/>
      <c r="AV849" s="70"/>
      <c r="AW849" s="7"/>
      <c r="AX849" s="183"/>
      <c r="AY849" s="10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101"/>
      <c r="CL849" s="74"/>
      <c r="CM849" s="74"/>
      <c r="CN849" s="74"/>
      <c r="CO849" s="70"/>
      <c r="CP849" s="74"/>
      <c r="CQ849" s="7"/>
      <c r="CR849" s="74"/>
      <c r="CS849" s="74"/>
      <c r="CT849" s="74"/>
      <c r="CU849" s="74"/>
      <c r="CV849" s="74"/>
      <c r="CW849" s="7"/>
      <c r="CX849" s="7"/>
      <c r="CY849" s="7"/>
      <c r="CZ849" s="74"/>
      <c r="DA849" s="7"/>
      <c r="DB849" s="7"/>
      <c r="DC849" s="7"/>
      <c r="DD849" s="7"/>
      <c r="DE849" s="74"/>
      <c r="DF849" s="74"/>
      <c r="DG849" s="74"/>
      <c r="DH849" s="74"/>
      <c r="DI849" s="74"/>
      <c r="DJ849" s="7"/>
      <c r="DK849" s="74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8">
        <f t="shared" si="222"/>
        <v>0</v>
      </c>
      <c r="EA849" s="3">
        <f t="shared" si="223"/>
        <v>0</v>
      </c>
      <c r="EB849" s="2">
        <f t="shared" si="224"/>
        <v>0</v>
      </c>
      <c r="EC849" s="112">
        <f t="shared" si="232"/>
        <v>0</v>
      </c>
      <c r="ED849" s="29">
        <f t="shared" si="225"/>
        <v>0</v>
      </c>
      <c r="EE849" s="2">
        <f t="shared" si="226"/>
        <v>0</v>
      </c>
      <c r="EF849" s="46">
        <f t="shared" si="227"/>
        <v>0</v>
      </c>
      <c r="EG849" s="46">
        <f t="shared" si="228"/>
        <v>0</v>
      </c>
      <c r="EH849" s="2">
        <f t="shared" si="229"/>
        <v>0</v>
      </c>
      <c r="EI849" s="29">
        <f>IF(COUNT(I849:AD849)&lt;5,DZ849,SUMPRODUCT(LARGE(I849:AD849,{1,2,3,4,5}))/5)</f>
        <v>0</v>
      </c>
      <c r="EJ849" s="29">
        <f>IF(COUNT(I849:BE849)&lt;5,DZ849,SUMPRODUCT(LARGE(I849:BE849,{1,2,3,4,5}))/5)</f>
        <v>0</v>
      </c>
      <c r="EK849" s="29">
        <f t="shared" si="231"/>
        <v>0</v>
      </c>
      <c r="EL849" s="29">
        <f t="shared" ref="EL849:EL861" si="233">(EK849*100)/101.28</f>
        <v>0</v>
      </c>
      <c r="EM849" s="116">
        <f t="shared" si="230"/>
        <v>0</v>
      </c>
      <c r="EQ849"/>
    </row>
    <row r="850" spans="1:147" x14ac:dyDescent="0.25">
      <c r="A850" s="59"/>
      <c r="B850" s="32"/>
      <c r="C850" s="5"/>
      <c r="D850" s="6"/>
      <c r="E850" s="6"/>
      <c r="F850" s="6"/>
      <c r="G850" s="5"/>
      <c r="H850" s="37"/>
      <c r="I850" s="36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227"/>
      <c r="Z850" s="228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4"/>
      <c r="AP850" s="7"/>
      <c r="AQ850" s="74"/>
      <c r="AR850" s="70"/>
      <c r="AS850" s="7"/>
      <c r="AT850" s="70"/>
      <c r="AU850" s="7"/>
      <c r="AV850" s="70"/>
      <c r="AW850" s="7"/>
      <c r="AX850" s="183"/>
      <c r="AY850" s="10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101"/>
      <c r="CL850" s="74"/>
      <c r="CM850" s="74"/>
      <c r="CN850" s="74"/>
      <c r="CO850" s="70"/>
      <c r="CP850" s="74"/>
      <c r="CQ850" s="7"/>
      <c r="CR850" s="74"/>
      <c r="CS850" s="74"/>
      <c r="CT850" s="74"/>
      <c r="CU850" s="74"/>
      <c r="CV850" s="74"/>
      <c r="CW850" s="7"/>
      <c r="CX850" s="7"/>
      <c r="CY850" s="7"/>
      <c r="CZ850" s="7"/>
      <c r="DA850" s="7"/>
      <c r="DB850" s="7"/>
      <c r="DC850" s="7"/>
      <c r="DD850" s="7"/>
      <c r="DE850" s="74"/>
      <c r="DF850" s="74"/>
      <c r="DG850" s="74"/>
      <c r="DH850" s="74"/>
      <c r="DI850" s="74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8">
        <f t="shared" si="222"/>
        <v>0</v>
      </c>
      <c r="EA850" s="3">
        <f t="shared" si="223"/>
        <v>0</v>
      </c>
      <c r="EB850" s="2">
        <f t="shared" si="224"/>
        <v>0</v>
      </c>
      <c r="EC850" s="112">
        <f t="shared" si="232"/>
        <v>0</v>
      </c>
      <c r="ED850" s="29">
        <f t="shared" si="225"/>
        <v>0</v>
      </c>
      <c r="EE850" s="2">
        <f t="shared" si="226"/>
        <v>0</v>
      </c>
      <c r="EF850" s="46">
        <f t="shared" si="227"/>
        <v>0</v>
      </c>
      <c r="EG850" s="46">
        <f t="shared" si="228"/>
        <v>0</v>
      </c>
      <c r="EH850" s="2">
        <f t="shared" si="229"/>
        <v>0</v>
      </c>
      <c r="EI850" s="29">
        <f>IF(COUNT(I850:AD850)&lt;5,DZ850,SUMPRODUCT(LARGE(I850:AD850,{1,2,3,4,5}))/5)</f>
        <v>0</v>
      </c>
      <c r="EJ850" s="29">
        <f>IF(COUNT(I850:BE850)&lt;5,DZ850,SUMPRODUCT(LARGE(I850:BE850,{1,2,3,4,5}))/5)</f>
        <v>0</v>
      </c>
      <c r="EK850" s="29">
        <f t="shared" si="231"/>
        <v>0</v>
      </c>
      <c r="EL850" s="29">
        <f t="shared" si="233"/>
        <v>0</v>
      </c>
      <c r="EM850" s="116">
        <f t="shared" si="230"/>
        <v>0</v>
      </c>
      <c r="EQ850"/>
    </row>
    <row r="851" spans="1:147" x14ac:dyDescent="0.25">
      <c r="A851" s="59"/>
      <c r="B851" s="32"/>
      <c r="C851" s="5"/>
      <c r="D851" s="6"/>
      <c r="E851" s="6"/>
      <c r="F851" s="6"/>
      <c r="G851" s="5"/>
      <c r="H851" s="37"/>
      <c r="I851" s="36"/>
      <c r="J851" s="7"/>
      <c r="K851" s="7"/>
      <c r="L851" s="7"/>
      <c r="M851" s="74"/>
      <c r="N851" s="74"/>
      <c r="O851" s="7"/>
      <c r="P851" s="74"/>
      <c r="Q851" s="7"/>
      <c r="R851" s="74"/>
      <c r="S851" s="74"/>
      <c r="T851" s="7"/>
      <c r="U851" s="7"/>
      <c r="V851" s="74"/>
      <c r="W851" s="74"/>
      <c r="X851" s="74"/>
      <c r="Y851" s="229"/>
      <c r="Z851" s="228"/>
      <c r="AA851" s="7"/>
      <c r="AB851" s="7"/>
      <c r="AC851" s="7"/>
      <c r="AD851" s="7"/>
      <c r="AE851" s="7"/>
      <c r="AF851" s="74"/>
      <c r="AG851" s="74"/>
      <c r="AH851" s="7"/>
      <c r="AI851" s="7"/>
      <c r="AJ851" s="7"/>
      <c r="AK851" s="7"/>
      <c r="AL851" s="7"/>
      <c r="AM851" s="7"/>
      <c r="AN851" s="7"/>
      <c r="AO851" s="74"/>
      <c r="AP851" s="7"/>
      <c r="AQ851" s="7"/>
      <c r="AR851" s="101"/>
      <c r="AS851" s="7"/>
      <c r="AT851" s="101"/>
      <c r="AU851" s="7"/>
      <c r="AV851" s="101"/>
      <c r="AW851" s="7"/>
      <c r="AX851" s="8"/>
      <c r="AY851" s="36"/>
      <c r="AZ851" s="74"/>
      <c r="BA851" s="74"/>
      <c r="BB851" s="74"/>
      <c r="BC851" s="74"/>
      <c r="BD851" s="74"/>
      <c r="BE851" s="74"/>
      <c r="BF851" s="74"/>
      <c r="BG851" s="74"/>
      <c r="BH851" s="74"/>
      <c r="BI851" s="74"/>
      <c r="BJ851" s="74"/>
      <c r="BK851" s="7"/>
      <c r="BL851" s="74"/>
      <c r="BM851" s="7"/>
      <c r="BN851" s="74"/>
      <c r="BO851" s="74"/>
      <c r="BP851" s="74"/>
      <c r="BQ851" s="74"/>
      <c r="BR851" s="74"/>
      <c r="BS851" s="74"/>
      <c r="BT851" s="74"/>
      <c r="BU851" s="74"/>
      <c r="BV851" s="74"/>
      <c r="BW851" s="74"/>
      <c r="BX851" s="74"/>
      <c r="BY851" s="74"/>
      <c r="BZ851" s="74"/>
      <c r="CA851" s="74"/>
      <c r="CB851" s="74"/>
      <c r="CC851" s="74"/>
      <c r="CD851" s="74"/>
      <c r="CE851" s="7"/>
      <c r="CF851" s="74"/>
      <c r="CG851" s="74"/>
      <c r="CH851" s="7"/>
      <c r="CI851" s="74"/>
      <c r="CJ851" s="74"/>
      <c r="CK851" s="101"/>
      <c r="CL851" s="74"/>
      <c r="CM851" s="74"/>
      <c r="CN851" s="74"/>
      <c r="CO851" s="101"/>
      <c r="CP851" s="74"/>
      <c r="CQ851" s="74"/>
      <c r="CR851" s="74"/>
      <c r="CS851" s="74"/>
      <c r="CT851" s="74"/>
      <c r="CU851" s="74"/>
      <c r="CV851" s="74"/>
      <c r="CW851" s="74"/>
      <c r="CX851" s="74"/>
      <c r="CY851" s="74"/>
      <c r="CZ851" s="74"/>
      <c r="DA851" s="74"/>
      <c r="DB851" s="74"/>
      <c r="DC851" s="74"/>
      <c r="DD851" s="74"/>
      <c r="DE851" s="74"/>
      <c r="DF851" s="74"/>
      <c r="DG851" s="74"/>
      <c r="DH851" s="74"/>
      <c r="DI851" s="74"/>
      <c r="DJ851" s="74"/>
      <c r="DK851" s="74"/>
      <c r="DL851" s="74"/>
      <c r="DM851" s="74"/>
      <c r="DN851" s="74"/>
      <c r="DO851" s="74"/>
      <c r="DP851" s="74"/>
      <c r="DQ851" s="74"/>
      <c r="DR851" s="74"/>
      <c r="DS851" s="74"/>
      <c r="DT851" s="74"/>
      <c r="DU851" s="74"/>
      <c r="DV851" s="74"/>
      <c r="DW851" s="74"/>
      <c r="DX851" s="74"/>
      <c r="DY851" s="74"/>
      <c r="DZ851" s="8">
        <f t="shared" si="222"/>
        <v>0</v>
      </c>
      <c r="EA851" s="3">
        <f t="shared" si="223"/>
        <v>0</v>
      </c>
      <c r="EB851" s="2">
        <f t="shared" si="224"/>
        <v>0</v>
      </c>
      <c r="EC851" s="112">
        <f t="shared" si="232"/>
        <v>0</v>
      </c>
      <c r="ED851" s="29">
        <f t="shared" si="225"/>
        <v>0</v>
      </c>
      <c r="EE851" s="2">
        <f t="shared" si="226"/>
        <v>0</v>
      </c>
      <c r="EF851" s="46">
        <f t="shared" si="227"/>
        <v>0</v>
      </c>
      <c r="EG851" s="46">
        <f t="shared" si="228"/>
        <v>0</v>
      </c>
      <c r="EH851" s="29">
        <f t="shared" si="229"/>
        <v>0</v>
      </c>
      <c r="EI851" s="29">
        <f>IF(COUNT(I851:AD851)&lt;5,DZ851,SUMPRODUCT(LARGE(I851:AD851,{1,2,3,4,5}))/5)</f>
        <v>0</v>
      </c>
      <c r="EJ851" s="29">
        <f>IF(COUNT(I851:BE851)&lt;5,DZ851,SUMPRODUCT(LARGE(I851:BE851,{1,2,3,4,5}))/5)</f>
        <v>0</v>
      </c>
      <c r="EK851" s="29">
        <f t="shared" si="231"/>
        <v>0</v>
      </c>
      <c r="EL851" s="29">
        <f t="shared" si="233"/>
        <v>0</v>
      </c>
      <c r="EM851" s="116">
        <f t="shared" si="230"/>
        <v>0</v>
      </c>
      <c r="EQ851"/>
    </row>
    <row r="852" spans="1:147" x14ac:dyDescent="0.25">
      <c r="A852" s="59"/>
      <c r="B852" s="32"/>
      <c r="C852" s="5"/>
      <c r="D852" s="6"/>
      <c r="E852" s="6"/>
      <c r="F852" s="6"/>
      <c r="G852" s="5"/>
      <c r="H852" s="37"/>
      <c r="I852" s="36"/>
      <c r="J852" s="7"/>
      <c r="K852" s="7"/>
      <c r="L852" s="7"/>
      <c r="M852" s="74"/>
      <c r="N852" s="74"/>
      <c r="O852" s="7"/>
      <c r="P852" s="74"/>
      <c r="Q852" s="7"/>
      <c r="R852" s="74"/>
      <c r="S852" s="74"/>
      <c r="T852" s="7"/>
      <c r="U852" s="7"/>
      <c r="V852" s="74"/>
      <c r="W852" s="74"/>
      <c r="X852" s="74"/>
      <c r="Y852" s="229"/>
      <c r="Z852" s="230"/>
      <c r="AA852" s="74"/>
      <c r="AB852" s="74"/>
      <c r="AC852" s="74"/>
      <c r="AD852" s="74"/>
      <c r="AE852" s="7"/>
      <c r="AF852" s="74"/>
      <c r="AG852" s="74"/>
      <c r="AH852" s="7"/>
      <c r="AI852" s="7"/>
      <c r="AJ852" s="7"/>
      <c r="AK852" s="7"/>
      <c r="AL852" s="7"/>
      <c r="AM852" s="7"/>
      <c r="AN852" s="7"/>
      <c r="AO852" s="74"/>
      <c r="AP852" s="7"/>
      <c r="AQ852" s="74"/>
      <c r="AR852" s="101"/>
      <c r="AS852" s="7"/>
      <c r="AT852" s="101"/>
      <c r="AU852" s="7"/>
      <c r="AV852" s="101"/>
      <c r="AW852" s="7"/>
      <c r="AX852" s="8"/>
      <c r="AY852" s="36"/>
      <c r="AZ852" s="74"/>
      <c r="BA852" s="74"/>
      <c r="BB852" s="74"/>
      <c r="BC852" s="74"/>
      <c r="BD852" s="74"/>
      <c r="BE852" s="74"/>
      <c r="BF852" s="74"/>
      <c r="BG852" s="74"/>
      <c r="BH852" s="74"/>
      <c r="BI852" s="74"/>
      <c r="BJ852" s="74"/>
      <c r="BK852" s="7"/>
      <c r="BL852" s="74"/>
      <c r="BM852" s="7"/>
      <c r="BN852" s="74"/>
      <c r="BO852" s="74"/>
      <c r="BP852" s="74"/>
      <c r="BQ852" s="74"/>
      <c r="BR852" s="74"/>
      <c r="BS852" s="74"/>
      <c r="BT852" s="74"/>
      <c r="BU852" s="74"/>
      <c r="BV852" s="74"/>
      <c r="BW852" s="74"/>
      <c r="BX852" s="74"/>
      <c r="BY852" s="74"/>
      <c r="BZ852" s="74"/>
      <c r="CA852" s="74"/>
      <c r="CB852" s="74"/>
      <c r="CC852" s="74"/>
      <c r="CD852" s="74"/>
      <c r="CE852" s="7"/>
      <c r="CF852" s="74"/>
      <c r="CG852" s="74"/>
      <c r="CH852" s="7"/>
      <c r="CI852" s="74"/>
      <c r="CJ852" s="74"/>
      <c r="CK852" s="101"/>
      <c r="CL852" s="74"/>
      <c r="CM852" s="74"/>
      <c r="CN852" s="74"/>
      <c r="CO852" s="101"/>
      <c r="CP852" s="74"/>
      <c r="CQ852" s="74"/>
      <c r="CR852" s="74"/>
      <c r="CS852" s="74"/>
      <c r="CT852" s="74"/>
      <c r="CU852" s="74"/>
      <c r="CV852" s="74"/>
      <c r="CW852" s="74"/>
      <c r="CX852" s="74"/>
      <c r="CY852" s="74"/>
      <c r="CZ852" s="74"/>
      <c r="DA852" s="74"/>
      <c r="DB852" s="74"/>
      <c r="DC852" s="74"/>
      <c r="DD852" s="74"/>
      <c r="DE852" s="74"/>
      <c r="DF852" s="74"/>
      <c r="DG852" s="74"/>
      <c r="DH852" s="74"/>
      <c r="DI852" s="74"/>
      <c r="DJ852" s="74"/>
      <c r="DK852" s="74"/>
      <c r="DL852" s="74"/>
      <c r="DM852" s="74"/>
      <c r="DN852" s="74"/>
      <c r="DO852" s="74"/>
      <c r="DP852" s="74"/>
      <c r="DQ852" s="74"/>
      <c r="DR852" s="74"/>
      <c r="DS852" s="74"/>
      <c r="DT852" s="74"/>
      <c r="DU852" s="74"/>
      <c r="DV852" s="74"/>
      <c r="DW852" s="74"/>
      <c r="DX852" s="74"/>
      <c r="DY852" s="74"/>
      <c r="DZ852" s="8">
        <f t="shared" si="222"/>
        <v>0</v>
      </c>
      <c r="EA852" s="3">
        <f t="shared" si="223"/>
        <v>0</v>
      </c>
      <c r="EB852" s="2">
        <f t="shared" si="224"/>
        <v>0</v>
      </c>
      <c r="EC852" s="112">
        <f t="shared" si="232"/>
        <v>0</v>
      </c>
      <c r="ED852" s="29">
        <f t="shared" si="225"/>
        <v>0</v>
      </c>
      <c r="EE852" s="2">
        <f t="shared" si="226"/>
        <v>0</v>
      </c>
      <c r="EF852" s="46">
        <f t="shared" si="227"/>
        <v>0</v>
      </c>
      <c r="EG852" s="46">
        <f t="shared" si="228"/>
        <v>0</v>
      </c>
      <c r="EH852" s="29">
        <f t="shared" si="229"/>
        <v>0</v>
      </c>
      <c r="EI852" s="29">
        <f>IF(COUNT(I852:AD852)&lt;5,DZ852,SUMPRODUCT(LARGE(I852:AD852,{1,2,3,4,5}))/5)</f>
        <v>0</v>
      </c>
      <c r="EJ852" s="29">
        <f>IF(COUNT(I852:BE852)&lt;5,DZ852,SUMPRODUCT(LARGE(I852:BE852,{1,2,3,4,5}))/5)</f>
        <v>0</v>
      </c>
      <c r="EK852" s="29">
        <f t="shared" si="231"/>
        <v>0</v>
      </c>
      <c r="EL852" s="29">
        <f t="shared" si="233"/>
        <v>0</v>
      </c>
      <c r="EM852" s="116">
        <f t="shared" si="230"/>
        <v>0</v>
      </c>
      <c r="EQ852"/>
    </row>
    <row r="853" spans="1:147" x14ac:dyDescent="0.25">
      <c r="A853" s="59"/>
      <c r="B853" s="32"/>
      <c r="C853" s="5"/>
      <c r="D853" s="6"/>
      <c r="E853" s="6"/>
      <c r="F853" s="6"/>
      <c r="G853" s="5"/>
      <c r="H853" s="37"/>
      <c r="I853" s="36"/>
      <c r="J853" s="7"/>
      <c r="K853" s="7"/>
      <c r="L853" s="7"/>
      <c r="M853" s="74"/>
      <c r="N853" s="74"/>
      <c r="O853" s="7"/>
      <c r="P853" s="74"/>
      <c r="Q853" s="7"/>
      <c r="R853" s="74"/>
      <c r="S853" s="74"/>
      <c r="T853" s="7"/>
      <c r="U853" s="7"/>
      <c r="V853" s="74"/>
      <c r="W853" s="74"/>
      <c r="X853" s="74"/>
      <c r="Y853" s="229"/>
      <c r="Z853" s="230"/>
      <c r="AA853" s="74"/>
      <c r="AB853" s="74"/>
      <c r="AC853" s="74"/>
      <c r="AD853" s="74"/>
      <c r="AE853" s="7"/>
      <c r="AF853" s="74"/>
      <c r="AG853" s="74"/>
      <c r="AH853" s="7"/>
      <c r="AI853" s="7"/>
      <c r="AJ853" s="7"/>
      <c r="AK853" s="7"/>
      <c r="AL853" s="7"/>
      <c r="AM853" s="7"/>
      <c r="AN853" s="7"/>
      <c r="AO853" s="74"/>
      <c r="AP853" s="7"/>
      <c r="AQ853" s="74"/>
      <c r="AR853" s="101"/>
      <c r="AS853" s="7"/>
      <c r="AT853" s="101"/>
      <c r="AU853" s="7"/>
      <c r="AV853" s="101"/>
      <c r="AW853" s="7"/>
      <c r="AX853" s="8"/>
      <c r="AY853" s="36"/>
      <c r="AZ853" s="74"/>
      <c r="BA853" s="74"/>
      <c r="BB853" s="74"/>
      <c r="BC853" s="74"/>
      <c r="BD853" s="74"/>
      <c r="BE853" s="74"/>
      <c r="BF853" s="74"/>
      <c r="BG853" s="74"/>
      <c r="BH853" s="74"/>
      <c r="BI853" s="74"/>
      <c r="BJ853" s="74"/>
      <c r="BK853" s="7"/>
      <c r="BL853" s="74"/>
      <c r="BM853" s="7"/>
      <c r="BN853" s="74"/>
      <c r="BO853" s="74"/>
      <c r="BP853" s="74"/>
      <c r="BQ853" s="74"/>
      <c r="BR853" s="74"/>
      <c r="BS853" s="74"/>
      <c r="BT853" s="74"/>
      <c r="BU853" s="74"/>
      <c r="BV853" s="74"/>
      <c r="BW853" s="74"/>
      <c r="BX853" s="74"/>
      <c r="BY853" s="74"/>
      <c r="BZ853" s="74"/>
      <c r="CA853" s="74"/>
      <c r="CB853" s="74"/>
      <c r="CC853" s="74"/>
      <c r="CD853" s="74"/>
      <c r="CE853" s="7"/>
      <c r="CF853" s="74"/>
      <c r="CG853" s="74"/>
      <c r="CH853" s="7"/>
      <c r="CI853" s="74"/>
      <c r="CJ853" s="74"/>
      <c r="CK853" s="101"/>
      <c r="CL853" s="74"/>
      <c r="CM853" s="74"/>
      <c r="CN853" s="74"/>
      <c r="CO853" s="101"/>
      <c r="CP853" s="74"/>
      <c r="CQ853" s="74"/>
      <c r="CR853" s="74"/>
      <c r="CS853" s="74"/>
      <c r="CT853" s="74"/>
      <c r="CU853" s="74"/>
      <c r="CV853" s="74"/>
      <c r="CW853" s="74"/>
      <c r="CX853" s="74"/>
      <c r="CY853" s="74"/>
      <c r="CZ853" s="74"/>
      <c r="DA853" s="74"/>
      <c r="DB853" s="74"/>
      <c r="DC853" s="74"/>
      <c r="DD853" s="74"/>
      <c r="DE853" s="74"/>
      <c r="DF853" s="74"/>
      <c r="DG853" s="74"/>
      <c r="DH853" s="74"/>
      <c r="DI853" s="74"/>
      <c r="DJ853" s="74"/>
      <c r="DK853" s="74"/>
      <c r="DL853" s="74"/>
      <c r="DM853" s="74"/>
      <c r="DN853" s="74"/>
      <c r="DO853" s="74"/>
      <c r="DP853" s="74"/>
      <c r="DQ853" s="74"/>
      <c r="DR853" s="74"/>
      <c r="DS853" s="74"/>
      <c r="DT853" s="74"/>
      <c r="DU853" s="74"/>
      <c r="DV853" s="74"/>
      <c r="DW853" s="74"/>
      <c r="DX853" s="74"/>
      <c r="DY853" s="74"/>
      <c r="DZ853" s="8">
        <f t="shared" si="222"/>
        <v>0</v>
      </c>
      <c r="EA853" s="3">
        <f t="shared" si="223"/>
        <v>0</v>
      </c>
      <c r="EB853" s="2">
        <f t="shared" si="224"/>
        <v>0</v>
      </c>
      <c r="EC853" s="112">
        <f t="shared" si="232"/>
        <v>0</v>
      </c>
      <c r="ED853" s="29">
        <f t="shared" si="225"/>
        <v>0</v>
      </c>
      <c r="EE853" s="2">
        <f t="shared" si="226"/>
        <v>0</v>
      </c>
      <c r="EF853" s="46">
        <f t="shared" si="227"/>
        <v>0</v>
      </c>
      <c r="EG853" s="46">
        <f t="shared" si="228"/>
        <v>0</v>
      </c>
      <c r="EH853" s="29">
        <f t="shared" si="229"/>
        <v>0</v>
      </c>
      <c r="EI853" s="29">
        <f>IF(COUNT(I853:AD853)&lt;5,DZ853,SUMPRODUCT(LARGE(I853:AD853,{1,2,3,4,5}))/5)</f>
        <v>0</v>
      </c>
      <c r="EJ853" s="29">
        <f>IF(COUNT(I853:BE853)&lt;5,DZ853,SUMPRODUCT(LARGE(I853:BE853,{1,2,3,4,5}))/5)</f>
        <v>0</v>
      </c>
      <c r="EK853" s="29">
        <f t="shared" si="231"/>
        <v>0</v>
      </c>
      <c r="EL853" s="29">
        <f t="shared" si="233"/>
        <v>0</v>
      </c>
      <c r="EM853" s="116">
        <f t="shared" si="230"/>
        <v>0</v>
      </c>
      <c r="EQ853"/>
    </row>
    <row r="854" spans="1:147" x14ac:dyDescent="0.25">
      <c r="A854" s="59"/>
      <c r="B854" s="32"/>
      <c r="C854" s="5"/>
      <c r="D854" s="6"/>
      <c r="E854" s="6"/>
      <c r="F854" s="6"/>
      <c r="G854" s="5"/>
      <c r="H854" s="99"/>
      <c r="I854" s="36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227"/>
      <c r="Z854" s="228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4"/>
      <c r="AP854" s="7"/>
      <c r="AQ854" s="74"/>
      <c r="AR854" s="70"/>
      <c r="AS854" s="7"/>
      <c r="AT854" s="70"/>
      <c r="AU854" s="7"/>
      <c r="AV854" s="70"/>
      <c r="AW854" s="7"/>
      <c r="AX854" s="183"/>
      <c r="AY854" s="10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101"/>
      <c r="CL854" s="74"/>
      <c r="CM854" s="74"/>
      <c r="CN854" s="74"/>
      <c r="CO854" s="70"/>
      <c r="CP854" s="74"/>
      <c r="CQ854" s="7"/>
      <c r="CR854" s="74"/>
      <c r="CS854" s="74"/>
      <c r="CT854" s="74"/>
      <c r="CU854" s="74"/>
      <c r="CV854" s="74"/>
      <c r="CW854" s="7"/>
      <c r="CX854" s="7"/>
      <c r="CY854" s="7"/>
      <c r="CZ854" s="7"/>
      <c r="DA854" s="7"/>
      <c r="DB854" s="7"/>
      <c r="DC854" s="7"/>
      <c r="DD854" s="7"/>
      <c r="DE854" s="74"/>
      <c r="DF854" s="74"/>
      <c r="DG854" s="74"/>
      <c r="DH854" s="74"/>
      <c r="DI854" s="74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8">
        <f t="shared" si="222"/>
        <v>0</v>
      </c>
      <c r="EA854" s="3">
        <f t="shared" si="223"/>
        <v>0</v>
      </c>
      <c r="EB854" s="2">
        <f t="shared" si="224"/>
        <v>0</v>
      </c>
      <c r="EC854" s="112">
        <f t="shared" si="232"/>
        <v>0</v>
      </c>
      <c r="ED854" s="29">
        <f t="shared" si="225"/>
        <v>0</v>
      </c>
      <c r="EE854" s="2">
        <f t="shared" si="226"/>
        <v>0</v>
      </c>
      <c r="EF854" s="46">
        <f t="shared" si="227"/>
        <v>0</v>
      </c>
      <c r="EG854" s="46">
        <f t="shared" si="228"/>
        <v>0</v>
      </c>
      <c r="EH854" s="2">
        <f t="shared" si="229"/>
        <v>0</v>
      </c>
      <c r="EI854" s="29">
        <f>IF(COUNT(I854:AD854)&lt;5,DZ854,SUMPRODUCT(LARGE(I854:AD854,{1,2,3,4,5}))/5)</f>
        <v>0</v>
      </c>
      <c r="EJ854" s="29">
        <f>IF(COUNT(I854:BE854)&lt;5,DZ854,SUMPRODUCT(LARGE(I854:BE854,{1,2,3,4,5}))/5)</f>
        <v>0</v>
      </c>
      <c r="EK854" s="29">
        <f t="shared" si="231"/>
        <v>0</v>
      </c>
      <c r="EL854" s="29">
        <f t="shared" si="233"/>
        <v>0</v>
      </c>
      <c r="EM854" s="116">
        <f t="shared" si="230"/>
        <v>0</v>
      </c>
      <c r="EQ854"/>
    </row>
    <row r="855" spans="1:147" x14ac:dyDescent="0.25">
      <c r="A855" s="59"/>
      <c r="B855" s="32"/>
      <c r="C855" s="5"/>
      <c r="D855" s="6"/>
      <c r="E855" s="6"/>
      <c r="F855" s="6"/>
      <c r="G855" s="5"/>
      <c r="H855" s="37"/>
      <c r="I855" s="36"/>
      <c r="J855" s="7"/>
      <c r="K855" s="7"/>
      <c r="L855" s="7"/>
      <c r="M855" s="74"/>
      <c r="N855" s="74"/>
      <c r="O855" s="7"/>
      <c r="P855" s="74"/>
      <c r="Q855" s="7"/>
      <c r="R855" s="74"/>
      <c r="S855" s="74"/>
      <c r="T855" s="7"/>
      <c r="U855" s="7"/>
      <c r="V855" s="74"/>
      <c r="W855" s="74"/>
      <c r="X855" s="74"/>
      <c r="Y855" s="229"/>
      <c r="Z855" s="230"/>
      <c r="AA855" s="74"/>
      <c r="AB855" s="74"/>
      <c r="AC855" s="74"/>
      <c r="AD855" s="74"/>
      <c r="AE855" s="7"/>
      <c r="AF855" s="74"/>
      <c r="AG855" s="74"/>
      <c r="AH855" s="7"/>
      <c r="AI855" s="7"/>
      <c r="AJ855" s="7"/>
      <c r="AK855" s="7"/>
      <c r="AL855" s="7"/>
      <c r="AM855" s="7"/>
      <c r="AN855" s="7"/>
      <c r="AO855" s="74"/>
      <c r="AP855" s="7"/>
      <c r="AQ855" s="74"/>
      <c r="AR855" s="101"/>
      <c r="AS855" s="7"/>
      <c r="AT855" s="101"/>
      <c r="AU855" s="7"/>
      <c r="AV855" s="101"/>
      <c r="AW855" s="7"/>
      <c r="AX855" s="183"/>
      <c r="AY855" s="107"/>
      <c r="AZ855" s="74"/>
      <c r="BA855" s="74"/>
      <c r="BB855" s="74"/>
      <c r="BC855" s="74"/>
      <c r="BD855" s="74"/>
      <c r="BE855" s="74"/>
      <c r="BF855" s="74"/>
      <c r="BG855" s="74"/>
      <c r="BH855" s="74"/>
      <c r="BI855" s="74"/>
      <c r="BJ855" s="74"/>
      <c r="BK855" s="7"/>
      <c r="BL855" s="74"/>
      <c r="BM855" s="7"/>
      <c r="BN855" s="74"/>
      <c r="BO855" s="74"/>
      <c r="BP855" s="74"/>
      <c r="BQ855" s="74"/>
      <c r="BR855" s="74"/>
      <c r="BS855" s="74"/>
      <c r="BT855" s="74"/>
      <c r="BU855" s="74"/>
      <c r="BV855" s="74"/>
      <c r="BW855" s="74"/>
      <c r="BX855" s="74"/>
      <c r="BY855" s="74"/>
      <c r="BZ855" s="74"/>
      <c r="CA855" s="74"/>
      <c r="CB855" s="74"/>
      <c r="CC855" s="74"/>
      <c r="CD855" s="101"/>
      <c r="CE855" s="7"/>
      <c r="CF855" s="74"/>
      <c r="CG855" s="74"/>
      <c r="CH855" s="7"/>
      <c r="CI855" s="74"/>
      <c r="CJ855" s="74"/>
      <c r="CK855" s="101"/>
      <c r="CL855" s="74"/>
      <c r="CM855" s="74"/>
      <c r="CN855" s="74"/>
      <c r="CO855" s="101"/>
      <c r="CP855" s="74"/>
      <c r="CQ855" s="74"/>
      <c r="CR855" s="74"/>
      <c r="CS855" s="74"/>
      <c r="CT855" s="74"/>
      <c r="CU855" s="74"/>
      <c r="CV855" s="74"/>
      <c r="CW855" s="74"/>
      <c r="CX855" s="74"/>
      <c r="CY855" s="74"/>
      <c r="CZ855" s="74"/>
      <c r="DA855" s="74"/>
      <c r="DB855" s="74"/>
      <c r="DC855" s="74"/>
      <c r="DD855" s="74"/>
      <c r="DE855" s="74"/>
      <c r="DF855" s="74"/>
      <c r="DG855" s="74"/>
      <c r="DH855" s="74"/>
      <c r="DI855" s="74"/>
      <c r="DJ855" s="74"/>
      <c r="DK855" s="74"/>
      <c r="DL855" s="74"/>
      <c r="DM855" s="74"/>
      <c r="DN855" s="74"/>
      <c r="DO855" s="74"/>
      <c r="DP855" s="74"/>
      <c r="DQ855" s="74"/>
      <c r="DR855" s="74"/>
      <c r="DS855" s="74"/>
      <c r="DT855" s="74"/>
      <c r="DU855" s="74"/>
      <c r="DV855" s="74"/>
      <c r="DW855" s="74"/>
      <c r="DX855" s="74"/>
      <c r="DY855" s="74"/>
      <c r="DZ855" s="8">
        <f t="shared" si="222"/>
        <v>0</v>
      </c>
      <c r="EA855" s="3">
        <f t="shared" si="223"/>
        <v>0</v>
      </c>
      <c r="EB855" s="2">
        <f t="shared" si="224"/>
        <v>0</v>
      </c>
      <c r="EC855" s="112">
        <f t="shared" si="232"/>
        <v>0</v>
      </c>
      <c r="ED855" s="29">
        <f t="shared" si="225"/>
        <v>0</v>
      </c>
      <c r="EE855" s="2">
        <f t="shared" si="226"/>
        <v>0</v>
      </c>
      <c r="EF855" s="46">
        <f t="shared" si="227"/>
        <v>0</v>
      </c>
      <c r="EG855" s="46">
        <f t="shared" si="228"/>
        <v>0</v>
      </c>
      <c r="EH855" s="29">
        <f t="shared" si="229"/>
        <v>0</v>
      </c>
      <c r="EI855" s="29">
        <f>IF(COUNT(I855:AD855)&lt;5,DZ855,SUMPRODUCT(LARGE(I855:AD855,{1,2,3,4,5}))/5)</f>
        <v>0</v>
      </c>
      <c r="EJ855" s="29">
        <f>IF(COUNT(I855:BE855)&lt;5,DZ855,SUMPRODUCT(LARGE(I855:BE855,{1,2,3,4,5}))/5)</f>
        <v>0</v>
      </c>
      <c r="EK855" s="29">
        <f t="shared" si="231"/>
        <v>0</v>
      </c>
      <c r="EL855" s="29">
        <f t="shared" si="233"/>
        <v>0</v>
      </c>
      <c r="EM855" s="116">
        <f t="shared" si="230"/>
        <v>0</v>
      </c>
      <c r="EQ855"/>
    </row>
    <row r="856" spans="1:147" x14ac:dyDescent="0.25">
      <c r="A856" s="59"/>
      <c r="B856" s="4"/>
      <c r="C856" s="5"/>
      <c r="D856" s="5"/>
      <c r="E856" s="6"/>
      <c r="F856" s="6"/>
      <c r="G856" s="5"/>
      <c r="H856" s="37"/>
      <c r="I856" s="36"/>
      <c r="J856" s="7"/>
      <c r="K856" s="7"/>
      <c r="L856" s="7"/>
      <c r="M856" s="74"/>
      <c r="N856" s="74"/>
      <c r="O856" s="7"/>
      <c r="P856" s="74"/>
      <c r="Q856" s="7"/>
      <c r="R856" s="74"/>
      <c r="S856" s="74"/>
      <c r="T856" s="7"/>
      <c r="U856" s="7"/>
      <c r="V856" s="74"/>
      <c r="W856" s="74"/>
      <c r="X856" s="74"/>
      <c r="Y856" s="229"/>
      <c r="Z856" s="230"/>
      <c r="AA856" s="74"/>
      <c r="AB856" s="74"/>
      <c r="AC856" s="74"/>
      <c r="AD856" s="74"/>
      <c r="AE856" s="7"/>
      <c r="AF856" s="74"/>
      <c r="AG856" s="74"/>
      <c r="AH856" s="7"/>
      <c r="AI856" s="7"/>
      <c r="AJ856" s="7"/>
      <c r="AK856" s="7"/>
      <c r="AL856" s="7"/>
      <c r="AM856" s="7"/>
      <c r="AN856" s="7"/>
      <c r="AO856" s="74"/>
      <c r="AP856" s="7"/>
      <c r="AQ856" s="74"/>
      <c r="AR856" s="101"/>
      <c r="AS856" s="7"/>
      <c r="AT856" s="101"/>
      <c r="AU856" s="7"/>
      <c r="AV856" s="101"/>
      <c r="AW856" s="7"/>
      <c r="AX856" s="183"/>
      <c r="AY856" s="107"/>
      <c r="AZ856" s="74"/>
      <c r="BA856" s="74"/>
      <c r="BB856" s="74"/>
      <c r="BC856" s="74"/>
      <c r="BD856" s="74"/>
      <c r="BE856" s="74"/>
      <c r="BF856" s="74"/>
      <c r="BG856" s="74"/>
      <c r="BH856" s="74"/>
      <c r="BI856" s="74"/>
      <c r="BJ856" s="74"/>
      <c r="BK856" s="7"/>
      <c r="BL856" s="74"/>
      <c r="BM856" s="7"/>
      <c r="BN856" s="74"/>
      <c r="BO856" s="74"/>
      <c r="BP856" s="74"/>
      <c r="BQ856" s="74"/>
      <c r="BR856" s="74"/>
      <c r="BS856" s="74"/>
      <c r="BT856" s="74"/>
      <c r="BU856" s="74"/>
      <c r="BV856" s="74"/>
      <c r="BW856" s="74"/>
      <c r="BX856" s="74"/>
      <c r="BY856" s="74"/>
      <c r="BZ856" s="74"/>
      <c r="CA856" s="74"/>
      <c r="CB856" s="74"/>
      <c r="CC856" s="74"/>
      <c r="CD856" s="74"/>
      <c r="CE856" s="7"/>
      <c r="CF856" s="74"/>
      <c r="CG856" s="101"/>
      <c r="CH856" s="7"/>
      <c r="CI856" s="74"/>
      <c r="CJ856" s="74"/>
      <c r="CK856" s="101"/>
      <c r="CL856" s="74"/>
      <c r="CM856" s="74"/>
      <c r="CN856" s="74"/>
      <c r="CO856" s="101"/>
      <c r="CP856" s="74"/>
      <c r="CQ856" s="74"/>
      <c r="CR856" s="74"/>
      <c r="CS856" s="74"/>
      <c r="CT856" s="74"/>
      <c r="CU856" s="74"/>
      <c r="CV856" s="74"/>
      <c r="CW856" s="74"/>
      <c r="CX856" s="74"/>
      <c r="CY856" s="74"/>
      <c r="CZ856" s="74"/>
      <c r="DA856" s="74"/>
      <c r="DB856" s="74"/>
      <c r="DC856" s="74"/>
      <c r="DD856" s="74"/>
      <c r="DE856" s="74"/>
      <c r="DF856" s="74"/>
      <c r="DG856" s="74"/>
      <c r="DH856" s="74"/>
      <c r="DI856" s="74"/>
      <c r="DJ856" s="74"/>
      <c r="DK856" s="74"/>
      <c r="DL856" s="74"/>
      <c r="DM856" s="74"/>
      <c r="DN856" s="74"/>
      <c r="DO856" s="74"/>
      <c r="DP856" s="74"/>
      <c r="DQ856" s="74"/>
      <c r="DR856" s="74"/>
      <c r="DS856" s="74"/>
      <c r="DT856" s="74"/>
      <c r="DU856" s="74"/>
      <c r="DV856" s="74"/>
      <c r="DW856" s="74"/>
      <c r="DX856" s="74"/>
      <c r="DY856" s="74"/>
      <c r="DZ856" s="8">
        <f t="shared" si="222"/>
        <v>0</v>
      </c>
      <c r="EA856" s="3">
        <f t="shared" si="223"/>
        <v>0</v>
      </c>
      <c r="EB856" s="2">
        <f t="shared" si="224"/>
        <v>0</v>
      </c>
      <c r="EC856" s="112">
        <f t="shared" si="232"/>
        <v>0</v>
      </c>
      <c r="ED856" s="29">
        <f t="shared" si="225"/>
        <v>0</v>
      </c>
      <c r="EE856" s="2">
        <f t="shared" si="226"/>
        <v>0</v>
      </c>
      <c r="EF856" s="46">
        <f t="shared" si="227"/>
        <v>0</v>
      </c>
      <c r="EG856" s="46">
        <f t="shared" si="228"/>
        <v>0</v>
      </c>
      <c r="EH856" s="29">
        <f t="shared" si="229"/>
        <v>0</v>
      </c>
      <c r="EI856" s="29">
        <f>IF(COUNT(I856:AD856)&lt;5,DZ856,SUMPRODUCT(LARGE(I856:AD856,{1,2,3,4,5}))/5)</f>
        <v>0</v>
      </c>
      <c r="EJ856" s="29">
        <f>IF(COUNT(I856:BE856)&lt;5,DZ856,SUMPRODUCT(LARGE(I856:BE856,{1,2,3,4,5}))/5)</f>
        <v>0</v>
      </c>
      <c r="EK856" s="29">
        <f t="shared" si="231"/>
        <v>0</v>
      </c>
      <c r="EL856" s="29">
        <f t="shared" si="233"/>
        <v>0</v>
      </c>
      <c r="EM856" s="116">
        <f t="shared" si="230"/>
        <v>0</v>
      </c>
      <c r="EQ856"/>
    </row>
    <row r="857" spans="1:147" x14ac:dyDescent="0.25">
      <c r="A857" s="59"/>
      <c r="B857" s="32"/>
      <c r="C857" s="5"/>
      <c r="D857" s="6"/>
      <c r="E857" s="6"/>
      <c r="F857" s="6"/>
      <c r="G857" s="5"/>
      <c r="H857" s="37"/>
      <c r="I857" s="36"/>
      <c r="J857" s="7"/>
      <c r="K857" s="7"/>
      <c r="L857" s="7"/>
      <c r="M857" s="74"/>
      <c r="N857" s="74"/>
      <c r="O857" s="7"/>
      <c r="P857" s="74"/>
      <c r="Q857" s="7"/>
      <c r="R857" s="74"/>
      <c r="S857" s="74"/>
      <c r="T857" s="7"/>
      <c r="U857" s="7"/>
      <c r="V857" s="74"/>
      <c r="W857" s="74"/>
      <c r="X857" s="74"/>
      <c r="Y857" s="229"/>
      <c r="Z857" s="230"/>
      <c r="AA857" s="74"/>
      <c r="AB857" s="74"/>
      <c r="AC857" s="74"/>
      <c r="AD857" s="74"/>
      <c r="AE857" s="7"/>
      <c r="AF857" s="74"/>
      <c r="AG857" s="74"/>
      <c r="AH857" s="7"/>
      <c r="AI857" s="7"/>
      <c r="AJ857" s="7"/>
      <c r="AK857" s="7"/>
      <c r="AL857" s="7"/>
      <c r="AM857" s="7"/>
      <c r="AN857" s="7"/>
      <c r="AO857" s="74"/>
      <c r="AP857" s="7"/>
      <c r="AQ857" s="74"/>
      <c r="AR857" s="101"/>
      <c r="AS857" s="7"/>
      <c r="AT857" s="101"/>
      <c r="AU857" s="7"/>
      <c r="AV857" s="101"/>
      <c r="AW857" s="7"/>
      <c r="AX857" s="8"/>
      <c r="AY857" s="36"/>
      <c r="AZ857" s="74"/>
      <c r="BA857" s="74"/>
      <c r="BB857" s="74"/>
      <c r="BC857" s="74"/>
      <c r="BD857" s="74"/>
      <c r="BE857" s="74"/>
      <c r="BF857" s="74"/>
      <c r="BG857" s="74"/>
      <c r="BH857" s="74"/>
      <c r="BI857" s="74"/>
      <c r="BJ857" s="74"/>
      <c r="BK857" s="7"/>
      <c r="BL857" s="74"/>
      <c r="BM857" s="7"/>
      <c r="BN857" s="74"/>
      <c r="BO857" s="74"/>
      <c r="BP857" s="74"/>
      <c r="BQ857" s="74"/>
      <c r="BR857" s="74"/>
      <c r="BS857" s="74"/>
      <c r="BT857" s="74"/>
      <c r="BU857" s="74"/>
      <c r="BV857" s="74"/>
      <c r="BW857" s="74"/>
      <c r="BX857" s="74"/>
      <c r="BY857" s="74"/>
      <c r="BZ857" s="74"/>
      <c r="CA857" s="74"/>
      <c r="CB857" s="74"/>
      <c r="CC857" s="74"/>
      <c r="CD857" s="74"/>
      <c r="CE857" s="7"/>
      <c r="CF857" s="74"/>
      <c r="CG857" s="101"/>
      <c r="CH857" s="7"/>
      <c r="CI857" s="74"/>
      <c r="CJ857" s="74"/>
      <c r="CK857" s="101"/>
      <c r="CL857" s="74"/>
      <c r="CM857" s="74"/>
      <c r="CN857" s="74"/>
      <c r="CO857" s="101"/>
      <c r="CP857" s="74"/>
      <c r="CQ857" s="74"/>
      <c r="CR857" s="74"/>
      <c r="CS857" s="74"/>
      <c r="CT857" s="74"/>
      <c r="CU857" s="74"/>
      <c r="CV857" s="74"/>
      <c r="CW857" s="74"/>
      <c r="CX857" s="74"/>
      <c r="CY857" s="74"/>
      <c r="CZ857" s="74"/>
      <c r="DA857" s="74"/>
      <c r="DB857" s="74"/>
      <c r="DC857" s="74"/>
      <c r="DD857" s="74"/>
      <c r="DE857" s="74"/>
      <c r="DF857" s="74"/>
      <c r="DG857" s="74"/>
      <c r="DH857" s="74"/>
      <c r="DI857" s="74"/>
      <c r="DJ857" s="74"/>
      <c r="DK857" s="74"/>
      <c r="DL857" s="74"/>
      <c r="DM857" s="74"/>
      <c r="DN857" s="74"/>
      <c r="DO857" s="74"/>
      <c r="DP857" s="74"/>
      <c r="DQ857" s="74"/>
      <c r="DR857" s="74"/>
      <c r="DS857" s="74"/>
      <c r="DT857" s="74"/>
      <c r="DU857" s="74"/>
      <c r="DV857" s="74"/>
      <c r="DW857" s="74"/>
      <c r="DX857" s="74"/>
      <c r="DY857" s="74"/>
      <c r="DZ857" s="8">
        <f t="shared" si="222"/>
        <v>0</v>
      </c>
      <c r="EA857" s="3">
        <f t="shared" si="223"/>
        <v>0</v>
      </c>
      <c r="EB857" s="2">
        <f t="shared" si="224"/>
        <v>0</v>
      </c>
      <c r="EC857" s="112">
        <f t="shared" si="232"/>
        <v>0</v>
      </c>
      <c r="ED857" s="29">
        <f t="shared" si="225"/>
        <v>0</v>
      </c>
      <c r="EE857" s="2">
        <f t="shared" si="226"/>
        <v>0</v>
      </c>
      <c r="EF857" s="46">
        <f t="shared" si="227"/>
        <v>0</v>
      </c>
      <c r="EG857" s="46">
        <f t="shared" si="228"/>
        <v>0</v>
      </c>
      <c r="EH857" s="29">
        <f t="shared" si="229"/>
        <v>0</v>
      </c>
      <c r="EI857" s="29">
        <f>IF(COUNT(I857:AD857)&lt;5,DZ857,SUMPRODUCT(LARGE(I857:AD857,{1,2,3,4,5}))/5)</f>
        <v>0</v>
      </c>
      <c r="EJ857" s="29">
        <f>IF(COUNT(I857:BE857)&lt;5,DZ857,SUMPRODUCT(LARGE(I857:BE857,{1,2,3,4,5}))/5)</f>
        <v>0</v>
      </c>
      <c r="EK857" s="29">
        <f t="shared" si="231"/>
        <v>0</v>
      </c>
      <c r="EL857" s="29">
        <f t="shared" si="233"/>
        <v>0</v>
      </c>
      <c r="EM857" s="116">
        <f t="shared" si="230"/>
        <v>0</v>
      </c>
      <c r="EQ857"/>
    </row>
    <row r="858" spans="1:147" x14ac:dyDescent="0.25">
      <c r="A858" s="59"/>
      <c r="B858" s="32"/>
      <c r="C858" s="5"/>
      <c r="D858" s="6"/>
      <c r="E858" s="6"/>
      <c r="F858" s="6"/>
      <c r="G858" s="5"/>
      <c r="H858" s="37"/>
      <c r="I858" s="36"/>
      <c r="J858" s="7"/>
      <c r="K858" s="7"/>
      <c r="L858" s="7"/>
      <c r="M858" s="74"/>
      <c r="N858" s="74"/>
      <c r="O858" s="7"/>
      <c r="P858" s="74"/>
      <c r="Q858" s="7"/>
      <c r="R858" s="74"/>
      <c r="S858" s="74"/>
      <c r="T858" s="7"/>
      <c r="U858" s="7"/>
      <c r="V858" s="74"/>
      <c r="W858" s="74"/>
      <c r="X858" s="74"/>
      <c r="Y858" s="229"/>
      <c r="Z858" s="230"/>
      <c r="AA858" s="74"/>
      <c r="AB858" s="74"/>
      <c r="AC858" s="74"/>
      <c r="AD858" s="74"/>
      <c r="AE858" s="7"/>
      <c r="AF858" s="74"/>
      <c r="AG858" s="74"/>
      <c r="AH858" s="7"/>
      <c r="AI858" s="7"/>
      <c r="AJ858" s="7"/>
      <c r="AK858" s="7"/>
      <c r="AL858" s="7"/>
      <c r="AM858" s="7"/>
      <c r="AN858" s="7"/>
      <c r="AO858" s="74"/>
      <c r="AP858" s="7"/>
      <c r="AQ858" s="74"/>
      <c r="AR858" s="101"/>
      <c r="AS858" s="7"/>
      <c r="AT858" s="101"/>
      <c r="AU858" s="7"/>
      <c r="AV858" s="101"/>
      <c r="AW858" s="7"/>
      <c r="AX858" s="183"/>
      <c r="AY858" s="107"/>
      <c r="AZ858" s="74"/>
      <c r="BA858" s="74"/>
      <c r="BB858" s="74"/>
      <c r="BC858" s="74"/>
      <c r="BD858" s="74"/>
      <c r="BE858" s="74"/>
      <c r="BF858" s="74"/>
      <c r="BG858" s="74"/>
      <c r="BH858" s="74"/>
      <c r="BI858" s="74"/>
      <c r="BJ858" s="74"/>
      <c r="BK858" s="7"/>
      <c r="BL858" s="74"/>
      <c r="BM858" s="7"/>
      <c r="BN858" s="74"/>
      <c r="BO858" s="74"/>
      <c r="BP858" s="74"/>
      <c r="BQ858" s="74"/>
      <c r="BR858" s="74"/>
      <c r="BS858" s="74"/>
      <c r="BT858" s="74"/>
      <c r="BU858" s="74"/>
      <c r="BV858" s="74"/>
      <c r="BW858" s="74"/>
      <c r="BX858" s="74"/>
      <c r="BY858" s="74"/>
      <c r="BZ858" s="74"/>
      <c r="CA858" s="74"/>
      <c r="CB858" s="74"/>
      <c r="CC858" s="74"/>
      <c r="CD858" s="74"/>
      <c r="CE858" s="7"/>
      <c r="CF858" s="74"/>
      <c r="CG858" s="74"/>
      <c r="CH858" s="70"/>
      <c r="CI858" s="74"/>
      <c r="CJ858" s="74"/>
      <c r="CK858" s="101"/>
      <c r="CL858" s="74"/>
      <c r="CM858" s="74"/>
      <c r="CN858" s="74"/>
      <c r="CO858" s="101"/>
      <c r="CP858" s="74"/>
      <c r="CQ858" s="74"/>
      <c r="CR858" s="74"/>
      <c r="CS858" s="74"/>
      <c r="CT858" s="74"/>
      <c r="CU858" s="74"/>
      <c r="CV858" s="74"/>
      <c r="CW858" s="74"/>
      <c r="CX858" s="74"/>
      <c r="CY858" s="74"/>
      <c r="CZ858" s="74"/>
      <c r="DA858" s="74"/>
      <c r="DB858" s="74"/>
      <c r="DC858" s="74"/>
      <c r="DD858" s="74"/>
      <c r="DE858" s="74"/>
      <c r="DF858" s="74"/>
      <c r="DG858" s="74"/>
      <c r="DH858" s="74"/>
      <c r="DI858" s="74"/>
      <c r="DJ858" s="74"/>
      <c r="DK858" s="74"/>
      <c r="DL858" s="74"/>
      <c r="DM858" s="74"/>
      <c r="DN858" s="74"/>
      <c r="DO858" s="74"/>
      <c r="DP858" s="74"/>
      <c r="DQ858" s="74"/>
      <c r="DR858" s="74"/>
      <c r="DS858" s="74"/>
      <c r="DT858" s="74"/>
      <c r="DU858" s="74"/>
      <c r="DV858" s="74"/>
      <c r="DW858" s="74"/>
      <c r="DX858" s="74"/>
      <c r="DY858" s="74"/>
      <c r="DZ858" s="8">
        <f t="shared" si="222"/>
        <v>0</v>
      </c>
      <c r="EA858" s="3">
        <f t="shared" si="223"/>
        <v>0</v>
      </c>
      <c r="EB858" s="2">
        <f t="shared" si="224"/>
        <v>0</v>
      </c>
      <c r="EC858" s="112">
        <f t="shared" si="232"/>
        <v>0</v>
      </c>
      <c r="ED858" s="29">
        <f t="shared" si="225"/>
        <v>0</v>
      </c>
      <c r="EE858" s="2">
        <f t="shared" si="226"/>
        <v>0</v>
      </c>
      <c r="EF858" s="46">
        <f t="shared" si="227"/>
        <v>0</v>
      </c>
      <c r="EG858" s="46">
        <f t="shared" si="228"/>
        <v>0</v>
      </c>
      <c r="EH858" s="29">
        <f t="shared" si="229"/>
        <v>0</v>
      </c>
      <c r="EI858" s="29">
        <f>IF(COUNT(I858:AD858)&lt;5,DZ858,SUMPRODUCT(LARGE(I858:AD858,{1,2,3,4,5}))/5)</f>
        <v>0</v>
      </c>
      <c r="EJ858" s="29">
        <f>IF(COUNT(I858:BE858)&lt;5,DZ858,SUMPRODUCT(LARGE(I858:BE858,{1,2,3,4,5}))/5)</f>
        <v>0</v>
      </c>
      <c r="EK858" s="29">
        <f t="shared" si="231"/>
        <v>0</v>
      </c>
      <c r="EL858" s="29">
        <f t="shared" si="233"/>
        <v>0</v>
      </c>
      <c r="EM858" s="116">
        <f t="shared" si="230"/>
        <v>0</v>
      </c>
      <c r="EQ858"/>
    </row>
    <row r="859" spans="1:147" x14ac:dyDescent="0.25">
      <c r="A859" s="59"/>
      <c r="B859" s="32"/>
      <c r="C859" s="5"/>
      <c r="D859" s="6"/>
      <c r="E859" s="6"/>
      <c r="F859" s="6"/>
      <c r="G859" s="5"/>
      <c r="H859" s="99"/>
      <c r="I859" s="36"/>
      <c r="J859" s="7"/>
      <c r="K859" s="7"/>
      <c r="L859" s="7"/>
      <c r="M859" s="74"/>
      <c r="N859" s="74"/>
      <c r="O859" s="7"/>
      <c r="P859" s="74"/>
      <c r="Q859" s="7"/>
      <c r="R859" s="74"/>
      <c r="S859" s="74"/>
      <c r="T859" s="7"/>
      <c r="U859" s="7"/>
      <c r="V859" s="74"/>
      <c r="W859" s="74"/>
      <c r="X859" s="74"/>
      <c r="Y859" s="229"/>
      <c r="Z859" s="230"/>
      <c r="AA859" s="74"/>
      <c r="AB859" s="74"/>
      <c r="AC859" s="74"/>
      <c r="AD859" s="74"/>
      <c r="AE859" s="7"/>
      <c r="AF859" s="74"/>
      <c r="AG859" s="74"/>
      <c r="AH859" s="7"/>
      <c r="AI859" s="7"/>
      <c r="AJ859" s="7"/>
      <c r="AK859" s="7"/>
      <c r="AL859" s="7"/>
      <c r="AM859" s="7"/>
      <c r="AN859" s="7"/>
      <c r="AO859" s="74"/>
      <c r="AP859" s="7"/>
      <c r="AQ859" s="74"/>
      <c r="AR859" s="101"/>
      <c r="AS859" s="7"/>
      <c r="AT859" s="101"/>
      <c r="AU859" s="7"/>
      <c r="AV859" s="101"/>
      <c r="AW859" s="7"/>
      <c r="AX859" s="183"/>
      <c r="AY859" s="107"/>
      <c r="AZ859" s="74"/>
      <c r="BA859" s="74"/>
      <c r="BB859" s="74"/>
      <c r="BC859" s="74"/>
      <c r="BD859" s="74"/>
      <c r="BE859" s="74"/>
      <c r="BF859" s="74"/>
      <c r="BG859" s="74"/>
      <c r="BH859" s="74"/>
      <c r="BI859" s="74"/>
      <c r="BJ859" s="74"/>
      <c r="BK859" s="7"/>
      <c r="BL859" s="74"/>
      <c r="BM859" s="7"/>
      <c r="BN859" s="74"/>
      <c r="BO859" s="74"/>
      <c r="BP859" s="74"/>
      <c r="BQ859" s="74"/>
      <c r="BR859" s="74"/>
      <c r="BS859" s="74"/>
      <c r="BT859" s="74"/>
      <c r="BU859" s="74"/>
      <c r="BV859" s="74"/>
      <c r="BW859" s="74"/>
      <c r="BX859" s="74"/>
      <c r="BY859" s="74"/>
      <c r="BZ859" s="74"/>
      <c r="CA859" s="74"/>
      <c r="CB859" s="74"/>
      <c r="CC859" s="74"/>
      <c r="CD859" s="74"/>
      <c r="CE859" s="7"/>
      <c r="CF859" s="74"/>
      <c r="CG859" s="74"/>
      <c r="CH859" s="70"/>
      <c r="CI859" s="74"/>
      <c r="CJ859" s="74"/>
      <c r="CK859" s="101"/>
      <c r="CL859" s="74"/>
      <c r="CM859" s="74"/>
      <c r="CN859" s="74"/>
      <c r="CO859" s="101"/>
      <c r="CP859" s="74"/>
      <c r="CQ859" s="74"/>
      <c r="CR859" s="74"/>
      <c r="CS859" s="74"/>
      <c r="CT859" s="74"/>
      <c r="CU859" s="74"/>
      <c r="CV859" s="74"/>
      <c r="CW859" s="74"/>
      <c r="CX859" s="74"/>
      <c r="CY859" s="74"/>
      <c r="CZ859" s="74"/>
      <c r="DA859" s="74"/>
      <c r="DB859" s="74"/>
      <c r="DC859" s="74"/>
      <c r="DD859" s="74"/>
      <c r="DE859" s="74"/>
      <c r="DF859" s="74"/>
      <c r="DG859" s="74"/>
      <c r="DH859" s="74"/>
      <c r="DI859" s="74"/>
      <c r="DJ859" s="74"/>
      <c r="DK859" s="74"/>
      <c r="DL859" s="74"/>
      <c r="DM859" s="74"/>
      <c r="DN859" s="74"/>
      <c r="DO859" s="74"/>
      <c r="DP859" s="74"/>
      <c r="DQ859" s="74"/>
      <c r="DR859" s="74"/>
      <c r="DS859" s="74"/>
      <c r="DT859" s="74"/>
      <c r="DU859" s="74"/>
      <c r="DV859" s="74"/>
      <c r="DW859" s="74"/>
      <c r="DX859" s="74"/>
      <c r="DY859" s="74"/>
      <c r="DZ859" s="8">
        <f t="shared" si="222"/>
        <v>0</v>
      </c>
      <c r="EA859" s="3">
        <f t="shared" si="223"/>
        <v>0</v>
      </c>
      <c r="EB859" s="2">
        <f t="shared" si="224"/>
        <v>0</v>
      </c>
      <c r="EC859" s="112">
        <f t="shared" si="232"/>
        <v>0</v>
      </c>
      <c r="ED859" s="29">
        <f t="shared" si="225"/>
        <v>0</v>
      </c>
      <c r="EE859" s="2">
        <f t="shared" si="226"/>
        <v>0</v>
      </c>
      <c r="EF859" s="46">
        <f t="shared" si="227"/>
        <v>0</v>
      </c>
      <c r="EG859" s="46">
        <f t="shared" si="228"/>
        <v>0</v>
      </c>
      <c r="EH859" s="29">
        <f t="shared" si="229"/>
        <v>0</v>
      </c>
      <c r="EI859" s="29">
        <f>IF(COUNT(I859:AD859)&lt;5,DZ859,SUMPRODUCT(LARGE(I859:AD859,{1,2,3,4,5}))/5)</f>
        <v>0</v>
      </c>
      <c r="EJ859" s="29">
        <f>IF(COUNT(I859:BE859)&lt;5,DZ859,SUMPRODUCT(LARGE(I859:BE859,{1,2,3,4,5}))/5)</f>
        <v>0</v>
      </c>
      <c r="EK859" s="29">
        <f t="shared" si="231"/>
        <v>0</v>
      </c>
      <c r="EL859" s="29">
        <f t="shared" si="233"/>
        <v>0</v>
      </c>
      <c r="EM859" s="116">
        <f t="shared" si="230"/>
        <v>0</v>
      </c>
      <c r="EQ859"/>
    </row>
    <row r="860" spans="1:147" x14ac:dyDescent="0.25">
      <c r="A860" s="59"/>
      <c r="B860" s="32"/>
      <c r="C860" s="5"/>
      <c r="D860" s="6"/>
      <c r="E860" s="6"/>
      <c r="F860" s="6"/>
      <c r="G860" s="5"/>
      <c r="H860" s="37"/>
      <c r="I860" s="36"/>
      <c r="J860" s="7"/>
      <c r="K860" s="7"/>
      <c r="L860" s="7"/>
      <c r="M860" s="74"/>
      <c r="N860" s="74"/>
      <c r="O860" s="7"/>
      <c r="P860" s="74"/>
      <c r="Q860" s="7"/>
      <c r="R860" s="74"/>
      <c r="S860" s="74"/>
      <c r="T860" s="7"/>
      <c r="U860" s="7"/>
      <c r="V860" s="74"/>
      <c r="W860" s="74"/>
      <c r="X860" s="74"/>
      <c r="Y860" s="229"/>
      <c r="Z860" s="230"/>
      <c r="AA860" s="74"/>
      <c r="AB860" s="74"/>
      <c r="AC860" s="74"/>
      <c r="AD860" s="74"/>
      <c r="AE860" s="7"/>
      <c r="AF860" s="74"/>
      <c r="AG860" s="74"/>
      <c r="AH860" s="7"/>
      <c r="AI860" s="7"/>
      <c r="AJ860" s="7"/>
      <c r="AK860" s="7"/>
      <c r="AL860" s="7"/>
      <c r="AM860" s="7"/>
      <c r="AN860" s="7"/>
      <c r="AO860" s="74"/>
      <c r="AP860" s="7"/>
      <c r="AQ860" s="74"/>
      <c r="AR860" s="101"/>
      <c r="AS860" s="7"/>
      <c r="AT860" s="101"/>
      <c r="AU860" s="7"/>
      <c r="AV860" s="101"/>
      <c r="AW860" s="7"/>
      <c r="AX860" s="183"/>
      <c r="AY860" s="107"/>
      <c r="AZ860" s="74"/>
      <c r="BA860" s="74"/>
      <c r="BB860" s="74"/>
      <c r="BC860" s="74"/>
      <c r="BD860" s="74"/>
      <c r="BE860" s="74"/>
      <c r="BF860" s="74"/>
      <c r="BG860" s="74"/>
      <c r="BH860" s="74"/>
      <c r="BI860" s="74"/>
      <c r="BJ860" s="74"/>
      <c r="BK860" s="7"/>
      <c r="BL860" s="74"/>
      <c r="BM860" s="7"/>
      <c r="BN860" s="74"/>
      <c r="BO860" s="74"/>
      <c r="BP860" s="74"/>
      <c r="BQ860" s="74"/>
      <c r="BR860" s="74"/>
      <c r="BS860" s="74"/>
      <c r="BT860" s="74"/>
      <c r="BU860" s="74"/>
      <c r="BV860" s="74"/>
      <c r="BW860" s="74"/>
      <c r="BX860" s="74"/>
      <c r="BY860" s="74"/>
      <c r="BZ860" s="74"/>
      <c r="CA860" s="74"/>
      <c r="CB860" s="74"/>
      <c r="CC860" s="74"/>
      <c r="CD860" s="74"/>
      <c r="CE860" s="7"/>
      <c r="CF860" s="74"/>
      <c r="CG860" s="74"/>
      <c r="CH860" s="70"/>
      <c r="CI860" s="74"/>
      <c r="CJ860" s="74"/>
      <c r="CK860" s="101"/>
      <c r="CL860" s="74"/>
      <c r="CM860" s="74"/>
      <c r="CN860" s="74"/>
      <c r="CO860" s="101"/>
      <c r="CP860" s="74"/>
      <c r="CQ860" s="74"/>
      <c r="CR860" s="74"/>
      <c r="CS860" s="74"/>
      <c r="CT860" s="74"/>
      <c r="CU860" s="74"/>
      <c r="CV860" s="74"/>
      <c r="CW860" s="74"/>
      <c r="CX860" s="74"/>
      <c r="CY860" s="74"/>
      <c r="CZ860" s="74"/>
      <c r="DA860" s="74"/>
      <c r="DB860" s="74"/>
      <c r="DC860" s="74"/>
      <c r="DD860" s="74"/>
      <c r="DE860" s="74"/>
      <c r="DF860" s="74"/>
      <c r="DG860" s="74"/>
      <c r="DH860" s="74"/>
      <c r="DI860" s="74"/>
      <c r="DJ860" s="74"/>
      <c r="DK860" s="74"/>
      <c r="DL860" s="74"/>
      <c r="DM860" s="74"/>
      <c r="DN860" s="74"/>
      <c r="DO860" s="74"/>
      <c r="DP860" s="74"/>
      <c r="DQ860" s="74"/>
      <c r="DR860" s="74"/>
      <c r="DS860" s="74"/>
      <c r="DT860" s="74"/>
      <c r="DU860" s="74"/>
      <c r="DV860" s="74"/>
      <c r="DW860" s="74"/>
      <c r="DX860" s="74"/>
      <c r="DY860" s="74"/>
      <c r="DZ860" s="8">
        <f t="shared" si="222"/>
        <v>0</v>
      </c>
      <c r="EA860" s="3">
        <f t="shared" si="223"/>
        <v>0</v>
      </c>
      <c r="EB860" s="2">
        <f t="shared" si="224"/>
        <v>0</v>
      </c>
      <c r="EC860" s="112">
        <f t="shared" si="232"/>
        <v>0</v>
      </c>
      <c r="ED860" s="29">
        <f t="shared" si="225"/>
        <v>0</v>
      </c>
      <c r="EE860" s="2">
        <f t="shared" si="226"/>
        <v>0</v>
      </c>
      <c r="EF860" s="46">
        <f t="shared" si="227"/>
        <v>0</v>
      </c>
      <c r="EG860" s="46">
        <f t="shared" si="228"/>
        <v>0</v>
      </c>
      <c r="EH860" s="29">
        <f t="shared" si="229"/>
        <v>0</v>
      </c>
      <c r="EI860" s="29">
        <f>IF(COUNT(I860:AD860)&lt;5,DZ860,SUMPRODUCT(LARGE(I860:AD860,{1,2,3,4,5}))/5)</f>
        <v>0</v>
      </c>
      <c r="EJ860" s="29">
        <f>IF(COUNT(I860:BE860)&lt;5,DZ860,SUMPRODUCT(LARGE(I860:BE860,{1,2,3,4,5}))/5)</f>
        <v>0</v>
      </c>
      <c r="EK860" s="29">
        <f t="shared" si="231"/>
        <v>0</v>
      </c>
      <c r="EL860" s="29">
        <f t="shared" si="233"/>
        <v>0</v>
      </c>
      <c r="EM860" s="116">
        <f t="shared" si="230"/>
        <v>0</v>
      </c>
      <c r="EQ860"/>
    </row>
    <row r="861" spans="1:147" x14ac:dyDescent="0.25">
      <c r="A861" s="59"/>
      <c r="B861" s="32"/>
      <c r="C861" s="5"/>
      <c r="D861" s="6"/>
      <c r="E861" s="6"/>
      <c r="F861" s="6"/>
      <c r="G861" s="5"/>
      <c r="H861" s="37"/>
      <c r="I861" s="36"/>
      <c r="J861" s="7"/>
      <c r="K861" s="7"/>
      <c r="L861" s="7"/>
      <c r="M861" s="74"/>
      <c r="N861" s="74"/>
      <c r="O861" s="7"/>
      <c r="P861" s="74"/>
      <c r="Q861" s="7"/>
      <c r="R861" s="74"/>
      <c r="S861" s="74"/>
      <c r="T861" s="7"/>
      <c r="U861" s="7"/>
      <c r="V861" s="74"/>
      <c r="W861" s="74"/>
      <c r="X861" s="74"/>
      <c r="Y861" s="229"/>
      <c r="Z861" s="230"/>
      <c r="AA861" s="74"/>
      <c r="AB861" s="74"/>
      <c r="AC861" s="74"/>
      <c r="AD861" s="74"/>
      <c r="AE861" s="7"/>
      <c r="AF861" s="74"/>
      <c r="AG861" s="74"/>
      <c r="AH861" s="7"/>
      <c r="AI861" s="7"/>
      <c r="AJ861" s="7"/>
      <c r="AK861" s="7"/>
      <c r="AL861" s="7"/>
      <c r="AM861" s="7"/>
      <c r="AN861" s="7"/>
      <c r="AO861" s="74"/>
      <c r="AP861" s="7"/>
      <c r="AQ861" s="74"/>
      <c r="AR861" s="101"/>
      <c r="AS861" s="7"/>
      <c r="AT861" s="101"/>
      <c r="AU861" s="7"/>
      <c r="AV861" s="101"/>
      <c r="AW861" s="7"/>
      <c r="AX861" s="183"/>
      <c r="AY861" s="107"/>
      <c r="AZ861" s="74"/>
      <c r="BA861" s="74"/>
      <c r="BB861" s="74"/>
      <c r="BC861" s="74"/>
      <c r="BD861" s="74"/>
      <c r="BE861" s="74"/>
      <c r="BF861" s="74"/>
      <c r="BG861" s="74"/>
      <c r="BH861" s="74"/>
      <c r="BI861" s="74"/>
      <c r="BJ861" s="74"/>
      <c r="BK861" s="7"/>
      <c r="BL861" s="74"/>
      <c r="BM861" s="7"/>
      <c r="BN861" s="74"/>
      <c r="BO861" s="74"/>
      <c r="BP861" s="74"/>
      <c r="BQ861" s="74"/>
      <c r="BR861" s="74"/>
      <c r="BS861" s="74"/>
      <c r="BT861" s="74"/>
      <c r="BU861" s="74"/>
      <c r="BV861" s="74"/>
      <c r="BW861" s="74"/>
      <c r="BX861" s="74"/>
      <c r="BY861" s="74"/>
      <c r="BZ861" s="74"/>
      <c r="CA861" s="74"/>
      <c r="CB861" s="74"/>
      <c r="CC861" s="74"/>
      <c r="CD861" s="74"/>
      <c r="CE861" s="7"/>
      <c r="CF861" s="74"/>
      <c r="CG861" s="74"/>
      <c r="CH861" s="7"/>
      <c r="CI861" s="74"/>
      <c r="CJ861" s="74"/>
      <c r="CK861" s="101"/>
      <c r="CL861" s="74"/>
      <c r="CM861" s="74"/>
      <c r="CN861" s="74"/>
      <c r="CO861" s="101"/>
      <c r="CP861" s="101"/>
      <c r="CQ861" s="74"/>
      <c r="CR861" s="74"/>
      <c r="CS861" s="74"/>
      <c r="CT861" s="74"/>
      <c r="CU861" s="74"/>
      <c r="CV861" s="74"/>
      <c r="CW861" s="74"/>
      <c r="CX861" s="74"/>
      <c r="CY861" s="74"/>
      <c r="CZ861" s="74"/>
      <c r="DA861" s="74"/>
      <c r="DB861" s="74"/>
      <c r="DC861" s="74"/>
      <c r="DD861" s="74"/>
      <c r="DE861" s="74"/>
      <c r="DF861" s="74"/>
      <c r="DG861" s="74"/>
      <c r="DH861" s="74"/>
      <c r="DI861" s="74"/>
      <c r="DJ861" s="74"/>
      <c r="DK861" s="74"/>
      <c r="DL861" s="74"/>
      <c r="DM861" s="74"/>
      <c r="DN861" s="74"/>
      <c r="DO861" s="74"/>
      <c r="DP861" s="74"/>
      <c r="DQ861" s="74"/>
      <c r="DR861" s="74"/>
      <c r="DS861" s="74"/>
      <c r="DT861" s="74"/>
      <c r="DU861" s="74"/>
      <c r="DV861" s="74"/>
      <c r="DW861" s="74"/>
      <c r="DX861" s="74"/>
      <c r="DY861" s="74"/>
      <c r="DZ861" s="8">
        <f t="shared" si="222"/>
        <v>0</v>
      </c>
      <c r="EA861" s="3">
        <f t="shared" si="223"/>
        <v>0</v>
      </c>
      <c r="EB861" s="2">
        <f t="shared" si="224"/>
        <v>0</v>
      </c>
      <c r="EC861" s="112">
        <f t="shared" si="232"/>
        <v>0</v>
      </c>
      <c r="ED861" s="29">
        <f t="shared" si="225"/>
        <v>0</v>
      </c>
      <c r="EE861" s="2">
        <f t="shared" si="226"/>
        <v>0</v>
      </c>
      <c r="EF861" s="46">
        <f t="shared" si="227"/>
        <v>0</v>
      </c>
      <c r="EG861" s="46">
        <f t="shared" si="228"/>
        <v>0</v>
      </c>
      <c r="EH861" s="29">
        <f t="shared" si="229"/>
        <v>0</v>
      </c>
      <c r="EI861" s="29">
        <f>IF(COUNT(I861:AD861)&lt;5,DZ861,SUMPRODUCT(LARGE(I861:AD861,{1,2,3,4,5}))/5)</f>
        <v>0</v>
      </c>
      <c r="EJ861" s="29">
        <f>IF(COUNT(I861:BE861)&lt;5,DZ861,SUMPRODUCT(LARGE(I861:BE861,{1,2,3,4,5}))/5)</f>
        <v>0</v>
      </c>
      <c r="EK861" s="29">
        <f t="shared" si="231"/>
        <v>0</v>
      </c>
      <c r="EL861" s="29">
        <f t="shared" si="233"/>
        <v>0</v>
      </c>
      <c r="EM861" s="116">
        <f t="shared" si="230"/>
        <v>0</v>
      </c>
      <c r="EQ861"/>
    </row>
    <row r="862" spans="1:147" x14ac:dyDescent="0.25">
      <c r="A862" s="59"/>
      <c r="B862" s="32"/>
      <c r="C862" s="5"/>
      <c r="D862" s="6"/>
      <c r="E862" s="6"/>
      <c r="F862" s="6"/>
      <c r="G862" s="5"/>
      <c r="H862" s="37"/>
      <c r="I862" s="36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227"/>
      <c r="Z862" s="228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4"/>
      <c r="AP862" s="7"/>
      <c r="AQ862" s="74"/>
      <c r="AR862" s="70"/>
      <c r="AS862" s="7"/>
      <c r="AT862" s="70"/>
      <c r="AU862" s="7"/>
      <c r="AV862" s="70"/>
      <c r="AW862" s="7"/>
      <c r="AX862" s="183"/>
      <c r="AY862" s="10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4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101"/>
      <c r="CL862" s="74"/>
      <c r="CM862" s="74"/>
      <c r="CN862" s="74"/>
      <c r="CO862" s="70"/>
      <c r="CP862" s="74"/>
      <c r="CQ862" s="7"/>
      <c r="CR862" s="74"/>
      <c r="CS862" s="74"/>
      <c r="CT862" s="74"/>
      <c r="CU862" s="74"/>
      <c r="CV862" s="7"/>
      <c r="CW862" s="7"/>
      <c r="CX862" s="7"/>
      <c r="CY862" s="7"/>
      <c r="CZ862" s="7"/>
      <c r="DA862" s="7"/>
      <c r="DB862" s="7"/>
      <c r="DC862" s="7"/>
      <c r="DD862" s="7"/>
      <c r="DE862" s="74"/>
      <c r="DF862" s="74"/>
      <c r="DG862" s="74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8">
        <f t="shared" si="222"/>
        <v>0</v>
      </c>
      <c r="EA862" s="3">
        <f t="shared" si="223"/>
        <v>0</v>
      </c>
      <c r="EB862" s="2">
        <f t="shared" si="224"/>
        <v>0</v>
      </c>
      <c r="EC862" s="112">
        <f t="shared" si="232"/>
        <v>0</v>
      </c>
      <c r="ED862" s="29">
        <f t="shared" si="225"/>
        <v>0</v>
      </c>
      <c r="EE862" s="2">
        <f t="shared" si="226"/>
        <v>0</v>
      </c>
      <c r="EF862" s="46">
        <f t="shared" si="227"/>
        <v>0</v>
      </c>
      <c r="EG862" s="46">
        <f t="shared" si="228"/>
        <v>0</v>
      </c>
      <c r="EH862" s="2">
        <f t="shared" si="229"/>
        <v>0</v>
      </c>
      <c r="EI862" s="29">
        <f>IF(COUNT(I862:AD862)&lt;5,DZ862,SUMPRODUCT(LARGE(I862:AD862,{1,2,3,4,5}))/5)</f>
        <v>0</v>
      </c>
      <c r="EJ862" s="29">
        <f>IF(COUNT(I862:BE862)&lt;5,DZ862,SUMPRODUCT(LARGE(I862:BE862,{1,2,3,4,5}))/5)</f>
        <v>0</v>
      </c>
      <c r="EK862" s="29">
        <f t="shared" si="231"/>
        <v>0</v>
      </c>
      <c r="EL862" s="29">
        <f>(EK862*100)/101.59</f>
        <v>0</v>
      </c>
      <c r="EM862" s="116">
        <f t="shared" si="230"/>
        <v>0</v>
      </c>
      <c r="EQ862"/>
    </row>
    <row r="863" spans="1:147" x14ac:dyDescent="0.25">
      <c r="A863" s="59"/>
      <c r="B863" s="32"/>
      <c r="C863" s="5"/>
      <c r="D863" s="6"/>
      <c r="E863" s="6"/>
      <c r="F863" s="6"/>
      <c r="G863" s="5"/>
      <c r="H863" s="37"/>
      <c r="I863" s="36"/>
      <c r="J863" s="7"/>
      <c r="K863" s="7"/>
      <c r="L863" s="7"/>
      <c r="M863" s="74"/>
      <c r="N863" s="74"/>
      <c r="O863" s="7"/>
      <c r="P863" s="74"/>
      <c r="Q863" s="7"/>
      <c r="R863" s="74"/>
      <c r="S863" s="74"/>
      <c r="T863" s="7"/>
      <c r="U863" s="7"/>
      <c r="V863" s="74"/>
      <c r="W863" s="74"/>
      <c r="X863" s="74"/>
      <c r="Y863" s="229"/>
      <c r="Z863" s="230"/>
      <c r="AA863" s="74"/>
      <c r="AB863" s="74"/>
      <c r="AC863" s="74"/>
      <c r="AD863" s="74"/>
      <c r="AE863" s="7"/>
      <c r="AF863" s="74"/>
      <c r="AG863" s="74"/>
      <c r="AH863" s="7"/>
      <c r="AI863" s="7"/>
      <c r="AJ863" s="7"/>
      <c r="AK863" s="7"/>
      <c r="AL863" s="7"/>
      <c r="AM863" s="7"/>
      <c r="AN863" s="7"/>
      <c r="AO863" s="74"/>
      <c r="AP863" s="7"/>
      <c r="AQ863" s="74"/>
      <c r="AR863" s="101"/>
      <c r="AS863" s="7"/>
      <c r="AT863" s="101"/>
      <c r="AU863" s="7"/>
      <c r="AV863" s="101"/>
      <c r="AW863" s="7"/>
      <c r="AX863" s="183"/>
      <c r="AY863" s="107"/>
      <c r="AZ863" s="74"/>
      <c r="BA863" s="74"/>
      <c r="BB863" s="74"/>
      <c r="BC863" s="74"/>
      <c r="BD863" s="74"/>
      <c r="BE863" s="74"/>
      <c r="BF863" s="74"/>
      <c r="BG863" s="74"/>
      <c r="BH863" s="74"/>
      <c r="BI863" s="74"/>
      <c r="BJ863" s="74"/>
      <c r="BK863" s="7"/>
      <c r="BL863" s="74"/>
      <c r="BM863" s="7"/>
      <c r="BN863" s="74"/>
      <c r="BO863" s="74"/>
      <c r="BP863" s="74"/>
      <c r="BQ863" s="74"/>
      <c r="BR863" s="74"/>
      <c r="BS863" s="74"/>
      <c r="BT863" s="74"/>
      <c r="BU863" s="74"/>
      <c r="BV863" s="74"/>
      <c r="BW863" s="74"/>
      <c r="BX863" s="74"/>
      <c r="BY863" s="74"/>
      <c r="BZ863" s="74"/>
      <c r="CA863" s="74"/>
      <c r="CB863" s="74"/>
      <c r="CC863" s="74"/>
      <c r="CD863" s="74"/>
      <c r="CE863" s="7"/>
      <c r="CF863" s="74"/>
      <c r="CG863" s="74"/>
      <c r="CH863" s="7"/>
      <c r="CI863" s="74"/>
      <c r="CJ863" s="74"/>
      <c r="CK863" s="101"/>
      <c r="CL863" s="74"/>
      <c r="CM863" s="74"/>
      <c r="CN863" s="74"/>
      <c r="CO863" s="101"/>
      <c r="CP863" s="74"/>
      <c r="CQ863" s="74"/>
      <c r="CR863" s="74"/>
      <c r="CS863" s="74"/>
      <c r="CT863" s="74"/>
      <c r="CU863" s="74"/>
      <c r="CV863" s="74"/>
      <c r="CW863" s="74"/>
      <c r="CX863" s="74"/>
      <c r="CY863" s="74"/>
      <c r="CZ863" s="74"/>
      <c r="DA863" s="74"/>
      <c r="DB863" s="74"/>
      <c r="DC863" s="74"/>
      <c r="DD863" s="74"/>
      <c r="DE863" s="74"/>
      <c r="DF863" s="74"/>
      <c r="DG863" s="74"/>
      <c r="DH863" s="74"/>
      <c r="DI863" s="74"/>
      <c r="DJ863" s="74"/>
      <c r="DK863" s="74"/>
      <c r="DL863" s="74"/>
      <c r="DM863" s="74"/>
      <c r="DN863" s="74"/>
      <c r="DO863" s="74"/>
      <c r="DP863" s="74"/>
      <c r="DQ863" s="74"/>
      <c r="DR863" s="74"/>
      <c r="DS863" s="74"/>
      <c r="DT863" s="74"/>
      <c r="DU863" s="74"/>
      <c r="DV863" s="74"/>
      <c r="DW863" s="74"/>
      <c r="DX863" s="74"/>
      <c r="DY863" s="74"/>
      <c r="DZ863" s="8">
        <f t="shared" si="222"/>
        <v>0</v>
      </c>
      <c r="EA863" s="3">
        <f t="shared" si="223"/>
        <v>0</v>
      </c>
      <c r="EB863" s="2">
        <f t="shared" si="224"/>
        <v>0</v>
      </c>
      <c r="EC863" s="112">
        <f t="shared" si="232"/>
        <v>0</v>
      </c>
      <c r="ED863" s="29">
        <f t="shared" si="225"/>
        <v>0</v>
      </c>
      <c r="EE863" s="2">
        <f t="shared" si="226"/>
        <v>0</v>
      </c>
      <c r="EF863" s="46">
        <f t="shared" si="227"/>
        <v>0</v>
      </c>
      <c r="EG863" s="46">
        <f t="shared" si="228"/>
        <v>0</v>
      </c>
      <c r="EH863" s="29">
        <f t="shared" si="229"/>
        <v>0</v>
      </c>
      <c r="EI863" s="29">
        <f>IF(COUNT(I863:AD863)&lt;5,DZ863,SUMPRODUCT(LARGE(I863:AD863,{1,2,3,4,5}))/5)</f>
        <v>0</v>
      </c>
      <c r="EJ863" s="29">
        <f>IF(COUNT(I863:BE863)&lt;5,DZ863,SUMPRODUCT(LARGE(I863:BE863,{1,2,3,4,5}))/5)</f>
        <v>0</v>
      </c>
      <c r="EK863" s="29">
        <f t="shared" si="231"/>
        <v>0</v>
      </c>
      <c r="EL863" s="29">
        <f t="shared" ref="EL863:EL868" si="234">(EK863*100)/101.28</f>
        <v>0</v>
      </c>
      <c r="EM863" s="116">
        <f t="shared" si="230"/>
        <v>0</v>
      </c>
      <c r="EQ863"/>
    </row>
    <row r="864" spans="1:147" x14ac:dyDescent="0.25">
      <c r="A864" s="59"/>
      <c r="B864" s="54"/>
      <c r="C864" s="55"/>
      <c r="D864" s="55"/>
      <c r="E864" s="6"/>
      <c r="F864" s="6"/>
      <c r="G864" s="5"/>
      <c r="H864" s="99"/>
      <c r="I864" s="36"/>
      <c r="J864" s="7"/>
      <c r="K864" s="7"/>
      <c r="L864" s="7"/>
      <c r="M864" s="74"/>
      <c r="N864" s="74"/>
      <c r="O864" s="7"/>
      <c r="P864" s="74"/>
      <c r="Q864" s="7"/>
      <c r="R864" s="74"/>
      <c r="S864" s="74"/>
      <c r="T864" s="7"/>
      <c r="U864" s="7"/>
      <c r="V864" s="74"/>
      <c r="W864" s="74"/>
      <c r="X864" s="74"/>
      <c r="Y864" s="229"/>
      <c r="Z864" s="230"/>
      <c r="AA864" s="74"/>
      <c r="AB864" s="74"/>
      <c r="AC864" s="74"/>
      <c r="AD864" s="74"/>
      <c r="AE864" s="7"/>
      <c r="AF864" s="74"/>
      <c r="AG864" s="74"/>
      <c r="AH864" s="7"/>
      <c r="AI864" s="7"/>
      <c r="AJ864" s="7"/>
      <c r="AK864" s="7"/>
      <c r="AL864" s="7"/>
      <c r="AM864" s="7"/>
      <c r="AN864" s="7"/>
      <c r="AO864" s="74"/>
      <c r="AP864" s="7"/>
      <c r="AQ864" s="74"/>
      <c r="AR864" s="101"/>
      <c r="AS864" s="7"/>
      <c r="AT864" s="101"/>
      <c r="AU864" s="7"/>
      <c r="AV864" s="101"/>
      <c r="AW864" s="7"/>
      <c r="AX864" s="183"/>
      <c r="AY864" s="107"/>
      <c r="AZ864" s="74"/>
      <c r="BA864" s="74"/>
      <c r="BB864" s="74"/>
      <c r="BC864" s="74"/>
      <c r="BD864" s="74"/>
      <c r="BE864" s="74"/>
      <c r="BF864" s="74"/>
      <c r="BG864" s="74"/>
      <c r="BH864" s="74"/>
      <c r="BI864" s="74"/>
      <c r="BJ864" s="74"/>
      <c r="BK864" s="7"/>
      <c r="BL864" s="74"/>
      <c r="BM864" s="7"/>
      <c r="BN864" s="74"/>
      <c r="BO864" s="74"/>
      <c r="BP864" s="74"/>
      <c r="BQ864" s="74"/>
      <c r="BR864" s="74"/>
      <c r="BS864" s="74"/>
      <c r="BT864" s="74"/>
      <c r="BU864" s="74"/>
      <c r="BV864" s="74"/>
      <c r="BW864" s="74"/>
      <c r="BX864" s="74"/>
      <c r="BY864" s="74"/>
      <c r="BZ864" s="74"/>
      <c r="CA864" s="74"/>
      <c r="CB864" s="74"/>
      <c r="CC864" s="74"/>
      <c r="CD864" s="74"/>
      <c r="CE864" s="7"/>
      <c r="CF864" s="74"/>
      <c r="CG864" s="74"/>
      <c r="CH864" s="7"/>
      <c r="CI864" s="74"/>
      <c r="CJ864" s="74"/>
      <c r="CK864" s="101"/>
      <c r="CL864" s="74"/>
      <c r="CM864" s="74"/>
      <c r="CN864" s="74"/>
      <c r="CO864" s="101"/>
      <c r="CP864" s="74"/>
      <c r="CQ864" s="74"/>
      <c r="CR864" s="74"/>
      <c r="CS864" s="74"/>
      <c r="CT864" s="74"/>
      <c r="CU864" s="74"/>
      <c r="CV864" s="74"/>
      <c r="CW864" s="74"/>
      <c r="CX864" s="74"/>
      <c r="CY864" s="74"/>
      <c r="CZ864" s="74"/>
      <c r="DA864" s="74"/>
      <c r="DB864" s="74"/>
      <c r="DC864" s="74"/>
      <c r="DD864" s="74"/>
      <c r="DE864" s="74"/>
      <c r="DF864" s="74"/>
      <c r="DG864" s="74"/>
      <c r="DH864" s="74"/>
      <c r="DI864" s="74"/>
      <c r="DJ864" s="74"/>
      <c r="DK864" s="74"/>
      <c r="DL864" s="74"/>
      <c r="DM864" s="74"/>
      <c r="DN864" s="74"/>
      <c r="DO864" s="74"/>
      <c r="DP864" s="74"/>
      <c r="DQ864" s="74"/>
      <c r="DR864" s="74"/>
      <c r="DS864" s="74"/>
      <c r="DT864" s="74"/>
      <c r="DU864" s="74"/>
      <c r="DV864" s="74"/>
      <c r="DW864" s="74"/>
      <c r="DX864" s="74"/>
      <c r="DY864" s="74"/>
      <c r="DZ864" s="8">
        <f t="shared" si="222"/>
        <v>0</v>
      </c>
      <c r="EA864" s="3">
        <f t="shared" si="223"/>
        <v>0</v>
      </c>
      <c r="EB864" s="2">
        <f t="shared" si="224"/>
        <v>0</v>
      </c>
      <c r="EC864" s="112">
        <f t="shared" si="232"/>
        <v>0</v>
      </c>
      <c r="ED864" s="29">
        <f t="shared" si="225"/>
        <v>0</v>
      </c>
      <c r="EE864" s="2">
        <f t="shared" si="226"/>
        <v>0</v>
      </c>
      <c r="EF864" s="46">
        <f t="shared" si="227"/>
        <v>0</v>
      </c>
      <c r="EG864" s="46">
        <f t="shared" si="228"/>
        <v>0</v>
      </c>
      <c r="EH864" s="29">
        <f t="shared" si="229"/>
        <v>0</v>
      </c>
      <c r="EI864" s="29">
        <f>IF(COUNT(I864:AD864)&lt;5,DZ864,SUMPRODUCT(LARGE(I864:AD864,{1,2,3,4,5}))/5)</f>
        <v>0</v>
      </c>
      <c r="EJ864" s="29">
        <f>IF(COUNT(I864:BE864)&lt;5,DZ864,SUMPRODUCT(LARGE(I864:BE864,{1,2,3,4,5}))/5)</f>
        <v>0</v>
      </c>
      <c r="EK864" s="29">
        <f t="shared" si="231"/>
        <v>0</v>
      </c>
      <c r="EL864" s="29">
        <f t="shared" si="234"/>
        <v>0</v>
      </c>
      <c r="EM864" s="116">
        <f t="shared" si="230"/>
        <v>0</v>
      </c>
      <c r="EQ864"/>
    </row>
    <row r="865" spans="1:147" x14ac:dyDescent="0.25">
      <c r="A865" s="59"/>
      <c r="B865" s="32"/>
      <c r="C865" s="5"/>
      <c r="D865" s="6"/>
      <c r="E865" s="6"/>
      <c r="F865" s="6"/>
      <c r="G865" s="5"/>
      <c r="H865" s="37"/>
      <c r="I865" s="36"/>
      <c r="J865" s="7"/>
      <c r="K865" s="7"/>
      <c r="L865" s="7"/>
      <c r="M865" s="74"/>
      <c r="N865" s="74"/>
      <c r="O865" s="7"/>
      <c r="P865" s="74"/>
      <c r="Q865" s="7"/>
      <c r="R865" s="74"/>
      <c r="S865" s="74"/>
      <c r="T865" s="7"/>
      <c r="U865" s="7"/>
      <c r="V865" s="74"/>
      <c r="W865" s="74"/>
      <c r="X865" s="74"/>
      <c r="Y865" s="229"/>
      <c r="Z865" s="230"/>
      <c r="AA865" s="74"/>
      <c r="AB865" s="74"/>
      <c r="AC865" s="74"/>
      <c r="AD865" s="74"/>
      <c r="AE865" s="7"/>
      <c r="AF865" s="74"/>
      <c r="AG865" s="74"/>
      <c r="AH865" s="7"/>
      <c r="AI865" s="7"/>
      <c r="AJ865" s="7"/>
      <c r="AK865" s="7"/>
      <c r="AL865" s="7"/>
      <c r="AM865" s="7"/>
      <c r="AN865" s="7"/>
      <c r="AO865" s="74"/>
      <c r="AP865" s="7"/>
      <c r="AQ865" s="74"/>
      <c r="AR865" s="101"/>
      <c r="AS865" s="7"/>
      <c r="AT865" s="101"/>
      <c r="AU865" s="7"/>
      <c r="AV865" s="101"/>
      <c r="AW865" s="7"/>
      <c r="AX865" s="8"/>
      <c r="AY865" s="36"/>
      <c r="AZ865" s="74"/>
      <c r="BA865" s="74"/>
      <c r="BB865" s="74"/>
      <c r="BC865" s="74"/>
      <c r="BD865" s="74"/>
      <c r="BE865" s="74"/>
      <c r="BF865" s="74"/>
      <c r="BG865" s="74"/>
      <c r="BH865" s="74"/>
      <c r="BI865" s="74"/>
      <c r="BJ865" s="74"/>
      <c r="BK865" s="7"/>
      <c r="BL865" s="74"/>
      <c r="BM865" s="7"/>
      <c r="BN865" s="74"/>
      <c r="BO865" s="74"/>
      <c r="BP865" s="74"/>
      <c r="BQ865" s="74"/>
      <c r="BR865" s="74"/>
      <c r="BS865" s="74"/>
      <c r="BT865" s="74"/>
      <c r="BU865" s="74"/>
      <c r="BV865" s="74"/>
      <c r="BW865" s="74"/>
      <c r="BX865" s="74"/>
      <c r="BY865" s="74"/>
      <c r="BZ865" s="74"/>
      <c r="CA865" s="74"/>
      <c r="CB865" s="74"/>
      <c r="CC865" s="74"/>
      <c r="CD865" s="74"/>
      <c r="CE865" s="7"/>
      <c r="CF865" s="74"/>
      <c r="CG865" s="74"/>
      <c r="CH865" s="7"/>
      <c r="CI865" s="74"/>
      <c r="CJ865" s="74"/>
      <c r="CK865" s="101"/>
      <c r="CL865" s="74"/>
      <c r="CM865" s="74"/>
      <c r="CN865" s="74"/>
      <c r="CO865" s="101"/>
      <c r="CP865" s="74"/>
      <c r="CQ865" s="74"/>
      <c r="CR865" s="74"/>
      <c r="CS865" s="74"/>
      <c r="CT865" s="74"/>
      <c r="CU865" s="74"/>
      <c r="CV865" s="74"/>
      <c r="CW865" s="74"/>
      <c r="CX865" s="74"/>
      <c r="CY865" s="74"/>
      <c r="CZ865" s="74"/>
      <c r="DA865" s="74"/>
      <c r="DB865" s="74"/>
      <c r="DC865" s="74"/>
      <c r="DD865" s="74"/>
      <c r="DE865" s="74"/>
      <c r="DF865" s="74"/>
      <c r="DG865" s="74"/>
      <c r="DH865" s="74"/>
      <c r="DI865" s="74"/>
      <c r="DJ865" s="74"/>
      <c r="DK865" s="74"/>
      <c r="DL865" s="74"/>
      <c r="DM865" s="74"/>
      <c r="DN865" s="74"/>
      <c r="DO865" s="74"/>
      <c r="DP865" s="74"/>
      <c r="DQ865" s="74"/>
      <c r="DR865" s="74"/>
      <c r="DS865" s="74"/>
      <c r="DT865" s="74"/>
      <c r="DU865" s="74"/>
      <c r="DV865" s="74"/>
      <c r="DW865" s="74"/>
      <c r="DX865" s="74"/>
      <c r="DY865" s="74"/>
      <c r="DZ865" s="8">
        <f t="shared" si="222"/>
        <v>0</v>
      </c>
      <c r="EA865" s="3">
        <f t="shared" si="223"/>
        <v>0</v>
      </c>
      <c r="EB865" s="2">
        <f t="shared" si="224"/>
        <v>0</v>
      </c>
      <c r="EC865" s="112">
        <f t="shared" si="232"/>
        <v>0</v>
      </c>
      <c r="ED865" s="29">
        <f t="shared" si="225"/>
        <v>0</v>
      </c>
      <c r="EE865" s="2">
        <f t="shared" si="226"/>
        <v>0</v>
      </c>
      <c r="EF865" s="46">
        <f t="shared" si="227"/>
        <v>0</v>
      </c>
      <c r="EG865" s="46">
        <f t="shared" si="228"/>
        <v>0</v>
      </c>
      <c r="EH865" s="29">
        <f t="shared" si="229"/>
        <v>0</v>
      </c>
      <c r="EI865" s="29">
        <f>IF(COUNT(I865:AD865)&lt;5,DZ865,SUMPRODUCT(LARGE(I865:AD865,{1,2,3,4,5}))/5)</f>
        <v>0</v>
      </c>
      <c r="EJ865" s="29">
        <f>IF(COUNT(I865:BE865)&lt;5,DZ865,SUMPRODUCT(LARGE(I865:BE865,{1,2,3,4,5}))/5)</f>
        <v>0</v>
      </c>
      <c r="EK865" s="29">
        <f t="shared" si="231"/>
        <v>0</v>
      </c>
      <c r="EL865" s="29">
        <f t="shared" si="234"/>
        <v>0</v>
      </c>
      <c r="EM865" s="116">
        <f t="shared" si="230"/>
        <v>0</v>
      </c>
      <c r="EQ865"/>
    </row>
    <row r="866" spans="1:147" x14ac:dyDescent="0.25">
      <c r="A866" s="59"/>
      <c r="B866" s="32"/>
      <c r="C866" s="5"/>
      <c r="D866" s="6"/>
      <c r="E866" s="6"/>
      <c r="F866" s="6"/>
      <c r="G866" s="5"/>
      <c r="H866" s="37"/>
      <c r="I866" s="36"/>
      <c r="J866" s="7"/>
      <c r="K866" s="7"/>
      <c r="L866" s="7"/>
      <c r="M866" s="74"/>
      <c r="N866" s="74"/>
      <c r="O866" s="7"/>
      <c r="P866" s="74"/>
      <c r="Q866" s="7"/>
      <c r="R866" s="74"/>
      <c r="S866" s="74"/>
      <c r="T866" s="7"/>
      <c r="U866" s="7"/>
      <c r="V866" s="74"/>
      <c r="W866" s="74"/>
      <c r="X866" s="74"/>
      <c r="Y866" s="229"/>
      <c r="Z866" s="230"/>
      <c r="AA866" s="74"/>
      <c r="AB866" s="74"/>
      <c r="AC866" s="74"/>
      <c r="AD866" s="74"/>
      <c r="AE866" s="7"/>
      <c r="AF866" s="74"/>
      <c r="AG866" s="74"/>
      <c r="AH866" s="7"/>
      <c r="AI866" s="7"/>
      <c r="AJ866" s="7"/>
      <c r="AK866" s="7"/>
      <c r="AL866" s="7"/>
      <c r="AM866" s="7"/>
      <c r="AN866" s="7"/>
      <c r="AO866" s="74"/>
      <c r="AP866" s="7"/>
      <c r="AQ866" s="74"/>
      <c r="AR866" s="101"/>
      <c r="AS866" s="7"/>
      <c r="AT866" s="101"/>
      <c r="AU866" s="7"/>
      <c r="AV866" s="101"/>
      <c r="AW866" s="7"/>
      <c r="AX866" s="183"/>
      <c r="AY866" s="107"/>
      <c r="AZ866" s="74"/>
      <c r="BA866" s="74"/>
      <c r="BB866" s="74"/>
      <c r="BC866" s="74"/>
      <c r="BD866" s="74"/>
      <c r="BE866" s="74"/>
      <c r="BF866" s="74"/>
      <c r="BG866" s="74"/>
      <c r="BH866" s="74"/>
      <c r="BI866" s="74"/>
      <c r="BJ866" s="74"/>
      <c r="BK866" s="7"/>
      <c r="BL866" s="74"/>
      <c r="BM866" s="7"/>
      <c r="BN866" s="74"/>
      <c r="BO866" s="74"/>
      <c r="BP866" s="74"/>
      <c r="BQ866" s="74"/>
      <c r="BR866" s="74"/>
      <c r="BS866" s="74"/>
      <c r="BT866" s="74"/>
      <c r="BU866" s="74"/>
      <c r="BV866" s="74"/>
      <c r="BW866" s="74"/>
      <c r="BX866" s="74"/>
      <c r="BY866" s="74"/>
      <c r="BZ866" s="74"/>
      <c r="CA866" s="74"/>
      <c r="CB866" s="74"/>
      <c r="CC866" s="74"/>
      <c r="CD866" s="74"/>
      <c r="CE866" s="7"/>
      <c r="CF866" s="74"/>
      <c r="CG866" s="74"/>
      <c r="CH866" s="7"/>
      <c r="CI866" s="74"/>
      <c r="CJ866" s="74"/>
      <c r="CK866" s="101"/>
      <c r="CL866" s="74"/>
      <c r="CM866" s="74"/>
      <c r="CN866" s="74"/>
      <c r="CO866" s="101"/>
      <c r="CP866" s="74"/>
      <c r="CQ866" s="74"/>
      <c r="CR866" s="74"/>
      <c r="CS866" s="74"/>
      <c r="CT866" s="74"/>
      <c r="CU866" s="74"/>
      <c r="CV866" s="74"/>
      <c r="CW866" s="74"/>
      <c r="CX866" s="74"/>
      <c r="CY866" s="74"/>
      <c r="CZ866" s="74"/>
      <c r="DA866" s="74"/>
      <c r="DB866" s="74"/>
      <c r="DC866" s="74"/>
      <c r="DD866" s="74"/>
      <c r="DE866" s="74"/>
      <c r="DF866" s="74"/>
      <c r="DG866" s="74"/>
      <c r="DH866" s="74"/>
      <c r="DI866" s="74"/>
      <c r="DJ866" s="74"/>
      <c r="DK866" s="74"/>
      <c r="DL866" s="74"/>
      <c r="DM866" s="74"/>
      <c r="DN866" s="74"/>
      <c r="DO866" s="74"/>
      <c r="DP866" s="74"/>
      <c r="DQ866" s="74"/>
      <c r="DR866" s="74"/>
      <c r="DS866" s="74"/>
      <c r="DT866" s="74"/>
      <c r="DU866" s="74"/>
      <c r="DV866" s="74"/>
      <c r="DW866" s="74"/>
      <c r="DX866" s="74"/>
      <c r="DY866" s="74"/>
      <c r="DZ866" s="8">
        <f t="shared" si="222"/>
        <v>0</v>
      </c>
      <c r="EA866" s="3">
        <f t="shared" si="223"/>
        <v>0</v>
      </c>
      <c r="EB866" s="2">
        <f t="shared" si="224"/>
        <v>0</v>
      </c>
      <c r="EC866" s="112">
        <f t="shared" si="232"/>
        <v>0</v>
      </c>
      <c r="ED866" s="29">
        <f t="shared" si="225"/>
        <v>0</v>
      </c>
      <c r="EE866" s="2">
        <f t="shared" si="226"/>
        <v>0</v>
      </c>
      <c r="EF866" s="46">
        <f t="shared" si="227"/>
        <v>0</v>
      </c>
      <c r="EG866" s="46">
        <f t="shared" si="228"/>
        <v>0</v>
      </c>
      <c r="EH866" s="29">
        <f t="shared" si="229"/>
        <v>0</v>
      </c>
      <c r="EI866" s="29">
        <f>IF(COUNT(I866:AD866)&lt;5,DZ866,SUMPRODUCT(LARGE(I866:AD866,{1,2,3,4,5}))/5)</f>
        <v>0</v>
      </c>
      <c r="EJ866" s="29">
        <f>IF(COUNT(I866:BE866)&lt;5,DZ866,SUMPRODUCT(LARGE(I866:BE866,{1,2,3,4,5}))/5)</f>
        <v>0</v>
      </c>
      <c r="EK866" s="29">
        <f t="shared" si="231"/>
        <v>0</v>
      </c>
      <c r="EL866" s="29">
        <f t="shared" si="234"/>
        <v>0</v>
      </c>
      <c r="EM866" s="116">
        <f t="shared" si="230"/>
        <v>0</v>
      </c>
      <c r="EQ866"/>
    </row>
    <row r="867" spans="1:147" x14ac:dyDescent="0.25">
      <c r="A867" s="59"/>
      <c r="B867" s="32"/>
      <c r="C867" s="5"/>
      <c r="D867" s="6"/>
      <c r="E867" s="6"/>
      <c r="F867" s="6"/>
      <c r="G867" s="5"/>
      <c r="H867" s="37"/>
      <c r="I867" s="36"/>
      <c r="J867" s="7"/>
      <c r="K867" s="7"/>
      <c r="L867" s="7"/>
      <c r="M867" s="74"/>
      <c r="N867" s="74"/>
      <c r="O867" s="7"/>
      <c r="P867" s="74"/>
      <c r="Q867" s="7"/>
      <c r="R867" s="74"/>
      <c r="S867" s="74"/>
      <c r="T867" s="7"/>
      <c r="U867" s="7"/>
      <c r="V867" s="74"/>
      <c r="W867" s="74"/>
      <c r="X867" s="74"/>
      <c r="Y867" s="229"/>
      <c r="Z867" s="230"/>
      <c r="AA867" s="74"/>
      <c r="AB867" s="74"/>
      <c r="AC867" s="74"/>
      <c r="AD867" s="74"/>
      <c r="AE867" s="7"/>
      <c r="AF867" s="74"/>
      <c r="AG867" s="74"/>
      <c r="AH867" s="7"/>
      <c r="AI867" s="7"/>
      <c r="AJ867" s="7"/>
      <c r="AK867" s="7"/>
      <c r="AL867" s="7"/>
      <c r="AM867" s="7"/>
      <c r="AN867" s="7"/>
      <c r="AO867" s="74"/>
      <c r="AP867" s="7"/>
      <c r="AQ867" s="74"/>
      <c r="AR867" s="101"/>
      <c r="AS867" s="7"/>
      <c r="AT867" s="101"/>
      <c r="AU867" s="7"/>
      <c r="AV867" s="101"/>
      <c r="AW867" s="7"/>
      <c r="AX867" s="183"/>
      <c r="AY867" s="107"/>
      <c r="AZ867" s="74"/>
      <c r="BA867" s="74"/>
      <c r="BB867" s="74"/>
      <c r="BC867" s="74"/>
      <c r="BD867" s="74"/>
      <c r="BE867" s="74"/>
      <c r="BF867" s="74"/>
      <c r="BG867" s="74"/>
      <c r="BH867" s="74"/>
      <c r="BI867" s="74"/>
      <c r="BJ867" s="74"/>
      <c r="BK867" s="7"/>
      <c r="BL867" s="74"/>
      <c r="BM867" s="7"/>
      <c r="BN867" s="74"/>
      <c r="BO867" s="74"/>
      <c r="BP867" s="74"/>
      <c r="BQ867" s="74"/>
      <c r="BR867" s="74"/>
      <c r="BS867" s="74"/>
      <c r="BT867" s="74"/>
      <c r="BU867" s="74"/>
      <c r="BV867" s="74"/>
      <c r="BW867" s="74"/>
      <c r="BX867" s="74"/>
      <c r="BY867" s="74"/>
      <c r="BZ867" s="74"/>
      <c r="CA867" s="74"/>
      <c r="CB867" s="74"/>
      <c r="CC867" s="74"/>
      <c r="CD867" s="74"/>
      <c r="CE867" s="7"/>
      <c r="CF867" s="74"/>
      <c r="CG867" s="74"/>
      <c r="CH867" s="7"/>
      <c r="CI867" s="74"/>
      <c r="CJ867" s="74"/>
      <c r="CK867" s="101"/>
      <c r="CL867" s="74"/>
      <c r="CM867" s="74"/>
      <c r="CN867" s="74"/>
      <c r="CO867" s="101"/>
      <c r="CP867" s="74"/>
      <c r="CQ867" s="74"/>
      <c r="CR867" s="74"/>
      <c r="CS867" s="74"/>
      <c r="CT867" s="74"/>
      <c r="CU867" s="74"/>
      <c r="CV867" s="74"/>
      <c r="CW867" s="74"/>
      <c r="CX867" s="74"/>
      <c r="CY867" s="74"/>
      <c r="CZ867" s="74"/>
      <c r="DA867" s="74"/>
      <c r="DB867" s="74"/>
      <c r="DC867" s="74"/>
      <c r="DD867" s="74"/>
      <c r="DE867" s="74"/>
      <c r="DF867" s="74"/>
      <c r="DG867" s="74"/>
      <c r="DH867" s="74"/>
      <c r="DI867" s="74"/>
      <c r="DJ867" s="74"/>
      <c r="DK867" s="74"/>
      <c r="DL867" s="74"/>
      <c r="DM867" s="74"/>
      <c r="DN867" s="74"/>
      <c r="DO867" s="74"/>
      <c r="DP867" s="74"/>
      <c r="DQ867" s="74"/>
      <c r="DR867" s="74"/>
      <c r="DS867" s="74"/>
      <c r="DT867" s="74"/>
      <c r="DU867" s="74"/>
      <c r="DV867" s="74"/>
      <c r="DW867" s="74"/>
      <c r="DX867" s="74"/>
      <c r="DY867" s="74"/>
      <c r="DZ867" s="8">
        <f t="shared" si="222"/>
        <v>0</v>
      </c>
      <c r="EA867" s="3">
        <f t="shared" si="223"/>
        <v>0</v>
      </c>
      <c r="EB867" s="2">
        <f t="shared" si="224"/>
        <v>0</v>
      </c>
      <c r="EC867" s="112">
        <f t="shared" si="232"/>
        <v>0</v>
      </c>
      <c r="ED867" s="29">
        <f t="shared" si="225"/>
        <v>0</v>
      </c>
      <c r="EE867" s="2">
        <f t="shared" si="226"/>
        <v>0</v>
      </c>
      <c r="EF867" s="46">
        <f t="shared" si="227"/>
        <v>0</v>
      </c>
      <c r="EG867" s="46">
        <f t="shared" si="228"/>
        <v>0</v>
      </c>
      <c r="EH867" s="2">
        <f t="shared" si="229"/>
        <v>0</v>
      </c>
      <c r="EI867" s="29">
        <f>IF(COUNT(I867:AD867)&lt;5,DZ867,SUMPRODUCT(LARGE(I867:AD867,{1,2,3,4,5}))/5)</f>
        <v>0</v>
      </c>
      <c r="EJ867" s="29">
        <f>IF(COUNT(I867:BE867)&lt;5,DZ867,SUMPRODUCT(LARGE(I867:BE867,{1,2,3,4,5}))/5)</f>
        <v>0</v>
      </c>
      <c r="EK867" s="29">
        <f t="shared" si="231"/>
        <v>0</v>
      </c>
      <c r="EL867" s="29">
        <f t="shared" si="234"/>
        <v>0</v>
      </c>
      <c r="EM867" s="116">
        <f t="shared" si="230"/>
        <v>0</v>
      </c>
      <c r="EQ867"/>
    </row>
    <row r="868" spans="1:147" x14ac:dyDescent="0.25">
      <c r="A868" s="59"/>
      <c r="B868" s="4"/>
      <c r="C868" s="5"/>
      <c r="D868" s="5"/>
      <c r="E868" s="6"/>
      <c r="F868" s="6"/>
      <c r="G868" s="5"/>
      <c r="H868" s="37"/>
      <c r="I868" s="107"/>
      <c r="J868" s="7"/>
      <c r="K868" s="74"/>
      <c r="L868" s="7"/>
      <c r="M868" s="74"/>
      <c r="N868" s="74"/>
      <c r="O868" s="7"/>
      <c r="P868" s="74"/>
      <c r="Q868" s="74"/>
      <c r="R868" s="74"/>
      <c r="S868" s="74"/>
      <c r="T868" s="7"/>
      <c r="U868" s="7"/>
      <c r="V868" s="74"/>
      <c r="W868" s="7"/>
      <c r="X868" s="74"/>
      <c r="Y868" s="227"/>
      <c r="Z868" s="228"/>
      <c r="AA868" s="74"/>
      <c r="AB868" s="74"/>
      <c r="AC868" s="74"/>
      <c r="AD868" s="74"/>
      <c r="AE868" s="7"/>
      <c r="AF868" s="74"/>
      <c r="AG868" s="74"/>
      <c r="AH868" s="7"/>
      <c r="AI868" s="7"/>
      <c r="AJ868" s="7"/>
      <c r="AK868" s="7"/>
      <c r="AL868" s="7"/>
      <c r="AM868" s="7"/>
      <c r="AN868" s="7"/>
      <c r="AO868" s="74"/>
      <c r="AP868" s="7"/>
      <c r="AQ868" s="74"/>
      <c r="AR868" s="101"/>
      <c r="AS868" s="7"/>
      <c r="AT868" s="101"/>
      <c r="AU868" s="7"/>
      <c r="AV868" s="101"/>
      <c r="AW868" s="7"/>
      <c r="AX868" s="183"/>
      <c r="AY868" s="107"/>
      <c r="AZ868" s="74"/>
      <c r="BA868" s="74"/>
      <c r="BB868" s="74"/>
      <c r="BC868" s="74"/>
      <c r="BD868" s="74"/>
      <c r="BE868" s="74"/>
      <c r="BF868" s="74"/>
      <c r="BG868" s="74"/>
      <c r="BH868" s="74"/>
      <c r="BI868" s="74"/>
      <c r="BJ868" s="74"/>
      <c r="BK868" s="7"/>
      <c r="BL868" s="74"/>
      <c r="BM868" s="7"/>
      <c r="BN868" s="74"/>
      <c r="BO868" s="74"/>
      <c r="BP868" s="74"/>
      <c r="BQ868" s="74"/>
      <c r="BR868" s="74"/>
      <c r="BS868" s="74"/>
      <c r="BT868" s="74"/>
      <c r="BU868" s="74"/>
      <c r="BV868" s="74"/>
      <c r="BW868" s="74"/>
      <c r="BX868" s="74"/>
      <c r="BY868" s="74"/>
      <c r="BZ868" s="74"/>
      <c r="CA868" s="74"/>
      <c r="CB868" s="74"/>
      <c r="CC868" s="74"/>
      <c r="CD868" s="74"/>
      <c r="CE868" s="7"/>
      <c r="CF868" s="74"/>
      <c r="CG868" s="74"/>
      <c r="CH868" s="7"/>
      <c r="CI868" s="74"/>
      <c r="CJ868" s="74"/>
      <c r="CK868" s="101"/>
      <c r="CL868" s="74"/>
      <c r="CM868" s="74"/>
      <c r="CN868" s="74"/>
      <c r="CO868" s="101"/>
      <c r="CP868" s="74"/>
      <c r="CQ868" s="74"/>
      <c r="CR868" s="74"/>
      <c r="CS868" s="74"/>
      <c r="CT868" s="74"/>
      <c r="CU868" s="74"/>
      <c r="CV868" s="74"/>
      <c r="CW868" s="74"/>
      <c r="CX868" s="74"/>
      <c r="CY868" s="74"/>
      <c r="CZ868" s="74"/>
      <c r="DA868" s="74"/>
      <c r="DB868" s="74"/>
      <c r="DC868" s="74"/>
      <c r="DD868" s="74"/>
      <c r="DE868" s="74"/>
      <c r="DF868" s="74"/>
      <c r="DG868" s="74"/>
      <c r="DH868" s="74"/>
      <c r="DI868" s="74"/>
      <c r="DJ868" s="74"/>
      <c r="DK868" s="74"/>
      <c r="DL868" s="74"/>
      <c r="DM868" s="74"/>
      <c r="DN868" s="74"/>
      <c r="DO868" s="74"/>
      <c r="DP868" s="74"/>
      <c r="DQ868" s="74"/>
      <c r="DR868" s="74"/>
      <c r="DS868" s="74"/>
      <c r="DT868" s="74"/>
      <c r="DU868" s="74"/>
      <c r="DV868" s="74"/>
      <c r="DW868" s="74"/>
      <c r="DX868" s="74"/>
      <c r="DY868" s="74"/>
      <c r="DZ868" s="8">
        <f t="shared" si="222"/>
        <v>0</v>
      </c>
      <c r="EA868" s="3">
        <f t="shared" si="223"/>
        <v>0</v>
      </c>
      <c r="EB868" s="2">
        <f t="shared" si="224"/>
        <v>0</v>
      </c>
      <c r="EC868" s="112">
        <f t="shared" si="232"/>
        <v>0</v>
      </c>
      <c r="ED868" s="29">
        <f t="shared" si="225"/>
        <v>0</v>
      </c>
      <c r="EE868" s="2">
        <f t="shared" si="226"/>
        <v>0</v>
      </c>
      <c r="EF868" s="46">
        <f t="shared" si="227"/>
        <v>0</v>
      </c>
      <c r="EG868" s="46">
        <f t="shared" si="228"/>
        <v>0</v>
      </c>
      <c r="EH868" s="29">
        <f t="shared" si="229"/>
        <v>0</v>
      </c>
      <c r="EI868" s="29">
        <f>IF(COUNT(I868:AD868)&lt;5,DZ868,SUMPRODUCT(LARGE(I868:AD868,{1,2,3,4,5}))/5)</f>
        <v>0</v>
      </c>
      <c r="EJ868" s="29">
        <f>IF(COUNT(I868:BE868)&lt;5,DZ868,SUMPRODUCT(LARGE(I868:BE868,{1,2,3,4,5}))/5)</f>
        <v>0</v>
      </c>
      <c r="EK868" s="29">
        <f t="shared" si="231"/>
        <v>0</v>
      </c>
      <c r="EL868" s="29">
        <f t="shared" si="234"/>
        <v>0</v>
      </c>
      <c r="EM868" s="116">
        <f t="shared" si="230"/>
        <v>0</v>
      </c>
      <c r="EQ868"/>
    </row>
    <row r="869" spans="1:147" x14ac:dyDescent="0.25">
      <c r="A869" s="59"/>
      <c r="B869" s="32"/>
      <c r="C869" s="5"/>
      <c r="D869" s="6"/>
      <c r="E869" s="6"/>
      <c r="F869" s="6"/>
      <c r="G869" s="5"/>
      <c r="H869" s="37"/>
      <c r="I869" s="36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227"/>
      <c r="Z869" s="228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4"/>
      <c r="AP869" s="7"/>
      <c r="AQ869" s="74"/>
      <c r="AR869" s="70"/>
      <c r="AS869" s="7"/>
      <c r="AT869" s="70"/>
      <c r="AU869" s="7"/>
      <c r="AV869" s="70"/>
      <c r="AW869" s="7"/>
      <c r="AX869" s="183"/>
      <c r="AY869" s="10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4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101"/>
      <c r="CL869" s="74"/>
      <c r="CM869" s="74"/>
      <c r="CN869" s="74"/>
      <c r="CO869" s="70"/>
      <c r="CP869" s="74"/>
      <c r="CQ869" s="7"/>
      <c r="CR869" s="74"/>
      <c r="CS869" s="74"/>
      <c r="CT869" s="74"/>
      <c r="CU869" s="74"/>
      <c r="CV869" s="7"/>
      <c r="CW869" s="7"/>
      <c r="CX869" s="7"/>
      <c r="CY869" s="7"/>
      <c r="CZ869" s="7"/>
      <c r="DA869" s="7"/>
      <c r="DB869" s="7"/>
      <c r="DC869" s="7"/>
      <c r="DD869" s="7"/>
      <c r="DE869" s="74"/>
      <c r="DF869" s="74"/>
      <c r="DG869" s="74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8">
        <f t="shared" si="222"/>
        <v>0</v>
      </c>
      <c r="EA869" s="3">
        <f t="shared" si="223"/>
        <v>0</v>
      </c>
      <c r="EB869" s="2">
        <f t="shared" si="224"/>
        <v>0</v>
      </c>
      <c r="EC869" s="112">
        <f t="shared" si="232"/>
        <v>0</v>
      </c>
      <c r="ED869" s="29">
        <f t="shared" si="225"/>
        <v>0</v>
      </c>
      <c r="EE869" s="2">
        <f t="shared" si="226"/>
        <v>0</v>
      </c>
      <c r="EF869" s="46">
        <f t="shared" si="227"/>
        <v>0</v>
      </c>
      <c r="EG869" s="46">
        <f t="shared" si="228"/>
        <v>0</v>
      </c>
      <c r="EH869" s="2">
        <f t="shared" si="229"/>
        <v>0</v>
      </c>
      <c r="EI869" s="29">
        <f>IF(COUNT(I869:AD869)&lt;5,DZ869,SUMPRODUCT(LARGE(I869:AD869,{1,2,3,4,5}))/5)</f>
        <v>0</v>
      </c>
      <c r="EJ869" s="29">
        <f>IF(COUNT(I869:BE869)&lt;5,DZ869,SUMPRODUCT(LARGE(I869:BE869,{1,2,3,4,5}))/5)</f>
        <v>0</v>
      </c>
      <c r="EK869" s="29">
        <f t="shared" si="231"/>
        <v>0</v>
      </c>
      <c r="EL869" s="29">
        <f>(EK869*100)/101.59</f>
        <v>0</v>
      </c>
      <c r="EM869" s="116">
        <f t="shared" si="230"/>
        <v>0</v>
      </c>
      <c r="EQ869"/>
    </row>
    <row r="870" spans="1:147" x14ac:dyDescent="0.25">
      <c r="A870" s="59"/>
      <c r="B870" s="32"/>
      <c r="C870" s="5"/>
      <c r="D870" s="6"/>
      <c r="E870" s="6"/>
      <c r="F870" s="6"/>
      <c r="G870" s="5"/>
      <c r="H870" s="37"/>
      <c r="I870" s="36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227"/>
      <c r="Z870" s="228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4"/>
      <c r="AP870" s="7"/>
      <c r="AQ870" s="74"/>
      <c r="AR870" s="70"/>
      <c r="AS870" s="7"/>
      <c r="AT870" s="70"/>
      <c r="AU870" s="7"/>
      <c r="AV870" s="70"/>
      <c r="AW870" s="7"/>
      <c r="AX870" s="183"/>
      <c r="AY870" s="10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4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101"/>
      <c r="CL870" s="74"/>
      <c r="CM870" s="74"/>
      <c r="CN870" s="74"/>
      <c r="CO870" s="70"/>
      <c r="CP870" s="74"/>
      <c r="CQ870" s="7"/>
      <c r="CR870" s="74"/>
      <c r="CS870" s="74"/>
      <c r="CT870" s="74"/>
      <c r="CU870" s="74"/>
      <c r="CV870" s="7"/>
      <c r="CW870" s="7"/>
      <c r="CX870" s="7"/>
      <c r="CY870" s="7"/>
      <c r="CZ870" s="7"/>
      <c r="DA870" s="7"/>
      <c r="DB870" s="7"/>
      <c r="DC870" s="7"/>
      <c r="DD870" s="7"/>
      <c r="DE870" s="74"/>
      <c r="DF870" s="74"/>
      <c r="DG870" s="74"/>
      <c r="DH870" s="7"/>
      <c r="DI870" s="74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8">
        <f t="shared" si="222"/>
        <v>0</v>
      </c>
      <c r="EA870" s="3">
        <f t="shared" si="223"/>
        <v>0</v>
      </c>
      <c r="EB870" s="2">
        <f t="shared" si="224"/>
        <v>0</v>
      </c>
      <c r="EC870" s="112">
        <f t="shared" si="232"/>
        <v>0</v>
      </c>
      <c r="ED870" s="29">
        <f t="shared" si="225"/>
        <v>0</v>
      </c>
      <c r="EE870" s="2">
        <f t="shared" si="226"/>
        <v>0</v>
      </c>
      <c r="EF870" s="46">
        <f t="shared" si="227"/>
        <v>0</v>
      </c>
      <c r="EG870" s="46">
        <f t="shared" si="228"/>
        <v>0</v>
      </c>
      <c r="EH870" s="2">
        <f t="shared" si="229"/>
        <v>0</v>
      </c>
      <c r="EI870" s="29">
        <f>IF(COUNT(I870:AD870)&lt;5,DZ870,SUMPRODUCT(LARGE(I870:AD870,{1,2,3,4,5}))/5)</f>
        <v>0</v>
      </c>
      <c r="EJ870" s="29">
        <f>IF(COUNT(I870:BE870)&lt;5,DZ870,SUMPRODUCT(LARGE(I870:BE870,{1,2,3,4,5}))/5)</f>
        <v>0</v>
      </c>
      <c r="EK870" s="29">
        <f t="shared" si="231"/>
        <v>0</v>
      </c>
      <c r="EL870" s="29">
        <f t="shared" ref="EL870:EL893" si="235">(EK870*100)/101.28</f>
        <v>0</v>
      </c>
      <c r="EM870" s="116">
        <f t="shared" si="230"/>
        <v>0</v>
      </c>
      <c r="EQ870"/>
    </row>
    <row r="871" spans="1:147" x14ac:dyDescent="0.25">
      <c r="A871" s="59"/>
      <c r="B871" s="32"/>
      <c r="C871" s="5"/>
      <c r="D871" s="6"/>
      <c r="E871" s="6"/>
      <c r="F871" s="6"/>
      <c r="G871" s="5"/>
      <c r="H871" s="37"/>
      <c r="I871" s="36"/>
      <c r="J871" s="7"/>
      <c r="K871" s="7"/>
      <c r="L871" s="7"/>
      <c r="M871" s="74"/>
      <c r="N871" s="74"/>
      <c r="O871" s="7"/>
      <c r="P871" s="74"/>
      <c r="Q871" s="7"/>
      <c r="R871" s="74"/>
      <c r="S871" s="74"/>
      <c r="T871" s="7"/>
      <c r="U871" s="7"/>
      <c r="V871" s="74"/>
      <c r="W871" s="74"/>
      <c r="X871" s="74"/>
      <c r="Y871" s="229"/>
      <c r="Z871" s="230"/>
      <c r="AA871" s="74"/>
      <c r="AB871" s="74"/>
      <c r="AC871" s="74"/>
      <c r="AD871" s="74"/>
      <c r="AE871" s="7"/>
      <c r="AF871" s="74"/>
      <c r="AG871" s="74"/>
      <c r="AH871" s="7"/>
      <c r="AI871" s="7"/>
      <c r="AJ871" s="7"/>
      <c r="AK871" s="7"/>
      <c r="AL871" s="7"/>
      <c r="AM871" s="7"/>
      <c r="AN871" s="7"/>
      <c r="AO871" s="74"/>
      <c r="AP871" s="7"/>
      <c r="AQ871" s="74"/>
      <c r="AR871" s="101"/>
      <c r="AS871" s="7"/>
      <c r="AT871" s="101"/>
      <c r="AU871" s="7"/>
      <c r="AV871" s="101"/>
      <c r="AW871" s="7"/>
      <c r="AX871" s="183"/>
      <c r="AY871" s="107"/>
      <c r="AZ871" s="74"/>
      <c r="BA871" s="74"/>
      <c r="BB871" s="74"/>
      <c r="BC871" s="74"/>
      <c r="BD871" s="74"/>
      <c r="BE871" s="74"/>
      <c r="BF871" s="74"/>
      <c r="BG871" s="74"/>
      <c r="BH871" s="74"/>
      <c r="BI871" s="74"/>
      <c r="BJ871" s="74"/>
      <c r="BK871" s="7"/>
      <c r="BL871" s="74"/>
      <c r="BM871" s="7"/>
      <c r="BN871" s="74"/>
      <c r="BO871" s="74"/>
      <c r="BP871" s="74"/>
      <c r="BQ871" s="74"/>
      <c r="BR871" s="74"/>
      <c r="BS871" s="74"/>
      <c r="BT871" s="74"/>
      <c r="BU871" s="74"/>
      <c r="BV871" s="74"/>
      <c r="BW871" s="74"/>
      <c r="BX871" s="74"/>
      <c r="BY871" s="74"/>
      <c r="BZ871" s="74"/>
      <c r="CA871" s="74"/>
      <c r="CB871" s="74"/>
      <c r="CC871" s="74"/>
      <c r="CD871" s="74"/>
      <c r="CE871" s="7"/>
      <c r="CF871" s="74"/>
      <c r="CG871" s="74"/>
      <c r="CH871" s="7"/>
      <c r="CI871" s="74"/>
      <c r="CJ871" s="74"/>
      <c r="CK871" s="101"/>
      <c r="CL871" s="74"/>
      <c r="CM871" s="74"/>
      <c r="CN871" s="74"/>
      <c r="CO871" s="101"/>
      <c r="CP871" s="74"/>
      <c r="CQ871" s="74"/>
      <c r="CR871" s="74"/>
      <c r="CS871" s="74"/>
      <c r="CT871" s="74"/>
      <c r="CU871" s="74"/>
      <c r="CV871" s="74"/>
      <c r="CW871" s="74"/>
      <c r="CX871" s="74"/>
      <c r="CY871" s="74"/>
      <c r="CZ871" s="74"/>
      <c r="DA871" s="74"/>
      <c r="DB871" s="74"/>
      <c r="DC871" s="74"/>
      <c r="DD871" s="74"/>
      <c r="DE871" s="74"/>
      <c r="DF871" s="74"/>
      <c r="DG871" s="74"/>
      <c r="DH871" s="74"/>
      <c r="DI871" s="74"/>
      <c r="DJ871" s="74"/>
      <c r="DK871" s="74"/>
      <c r="DL871" s="74"/>
      <c r="DM871" s="74"/>
      <c r="DN871" s="74"/>
      <c r="DO871" s="74"/>
      <c r="DP871" s="74"/>
      <c r="DQ871" s="74"/>
      <c r="DR871" s="74"/>
      <c r="DS871" s="74"/>
      <c r="DT871" s="74"/>
      <c r="DU871" s="74"/>
      <c r="DV871" s="74"/>
      <c r="DW871" s="74"/>
      <c r="DX871" s="74"/>
      <c r="DY871" s="74"/>
      <c r="DZ871" s="8">
        <f t="shared" si="222"/>
        <v>0</v>
      </c>
      <c r="EA871" s="3">
        <f t="shared" si="223"/>
        <v>0</v>
      </c>
      <c r="EB871" s="2">
        <f t="shared" si="224"/>
        <v>0</v>
      </c>
      <c r="EC871" s="112">
        <f t="shared" si="232"/>
        <v>0</v>
      </c>
      <c r="ED871" s="29">
        <f t="shared" si="225"/>
        <v>0</v>
      </c>
      <c r="EE871" s="2">
        <f t="shared" si="226"/>
        <v>0</v>
      </c>
      <c r="EF871" s="46">
        <f t="shared" si="227"/>
        <v>0</v>
      </c>
      <c r="EG871" s="46">
        <f t="shared" si="228"/>
        <v>0</v>
      </c>
      <c r="EH871" s="2">
        <f t="shared" si="229"/>
        <v>0</v>
      </c>
      <c r="EI871" s="29">
        <f>IF(COUNT(I871:AD871)&lt;5,DZ871,SUMPRODUCT(LARGE(I871:AD871,{1,2,3,4,5}))/5)</f>
        <v>0</v>
      </c>
      <c r="EJ871" s="29">
        <f>IF(COUNT(I871:BE871)&lt;5,DZ871,SUMPRODUCT(LARGE(I871:BE871,{1,2,3,4,5}))/5)</f>
        <v>0</v>
      </c>
      <c r="EK871" s="29">
        <f t="shared" si="231"/>
        <v>0</v>
      </c>
      <c r="EL871" s="29">
        <f t="shared" si="235"/>
        <v>0</v>
      </c>
      <c r="EM871" s="116">
        <f t="shared" si="230"/>
        <v>0</v>
      </c>
      <c r="EQ871"/>
    </row>
    <row r="872" spans="1:147" x14ac:dyDescent="0.25">
      <c r="A872" s="59"/>
      <c r="B872" s="4"/>
      <c r="C872" s="5"/>
      <c r="D872" s="5"/>
      <c r="E872" s="6"/>
      <c r="F872" s="6"/>
      <c r="G872" s="5"/>
      <c r="H872" s="37"/>
      <c r="I872" s="36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227"/>
      <c r="Z872" s="228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4"/>
      <c r="AP872" s="7"/>
      <c r="AQ872" s="74"/>
      <c r="AR872" s="70"/>
      <c r="AS872" s="7"/>
      <c r="AT872" s="70"/>
      <c r="AU872" s="7"/>
      <c r="AV872" s="70"/>
      <c r="AW872" s="7"/>
      <c r="AX872" s="8"/>
      <c r="AY872" s="36"/>
      <c r="AZ872" s="74"/>
      <c r="BA872" s="7"/>
      <c r="BB872" s="7"/>
      <c r="BC872" s="7"/>
      <c r="BD872" s="7"/>
      <c r="BE872" s="7"/>
      <c r="BF872" s="7"/>
      <c r="BG872" s="7"/>
      <c r="BH872" s="7"/>
      <c r="BI872" s="7"/>
      <c r="BJ872" s="74"/>
      <c r="BK872" s="7"/>
      <c r="BL872" s="74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101"/>
      <c r="CL872" s="74"/>
      <c r="CM872" s="74"/>
      <c r="CN872" s="74"/>
      <c r="CO872" s="70"/>
      <c r="CP872" s="7"/>
      <c r="CQ872" s="7"/>
      <c r="CR872" s="74"/>
      <c r="CS872" s="74"/>
      <c r="CT872" s="7"/>
      <c r="CU872" s="74"/>
      <c r="CV872" s="7"/>
      <c r="CW872" s="7"/>
      <c r="CX872" s="7"/>
      <c r="CY872" s="7"/>
      <c r="CZ872" s="7"/>
      <c r="DA872" s="7"/>
      <c r="DB872" s="7"/>
      <c r="DC872" s="7"/>
      <c r="DD872" s="7"/>
      <c r="DE872" s="74"/>
      <c r="DF872" s="74"/>
      <c r="DG872" s="74"/>
      <c r="DH872" s="74"/>
      <c r="DI872" s="74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8">
        <f t="shared" si="222"/>
        <v>0</v>
      </c>
      <c r="EA872" s="3">
        <f t="shared" si="223"/>
        <v>0</v>
      </c>
      <c r="EB872" s="2">
        <f t="shared" si="224"/>
        <v>0</v>
      </c>
      <c r="EC872" s="112">
        <f t="shared" si="232"/>
        <v>0</v>
      </c>
      <c r="ED872" s="29">
        <f t="shared" si="225"/>
        <v>0</v>
      </c>
      <c r="EE872" s="2">
        <f t="shared" si="226"/>
        <v>0</v>
      </c>
      <c r="EF872" s="46">
        <f t="shared" si="227"/>
        <v>0</v>
      </c>
      <c r="EG872" s="46">
        <f t="shared" si="228"/>
        <v>0</v>
      </c>
      <c r="EH872" s="2">
        <f t="shared" si="229"/>
        <v>0</v>
      </c>
      <c r="EI872" s="29">
        <f>IF(COUNT(I872:AD872)&lt;5,DZ872,SUMPRODUCT(LARGE(I872:AD872,{1,2,3,4,5}))/5)</f>
        <v>0</v>
      </c>
      <c r="EJ872" s="29">
        <f>IF(COUNT(I872:BE872)&lt;5,DZ872,SUMPRODUCT(LARGE(I872:BE872,{1,2,3,4,5}))/5)</f>
        <v>0</v>
      </c>
      <c r="EK872" s="29">
        <f t="shared" si="231"/>
        <v>0</v>
      </c>
      <c r="EL872" s="29">
        <f t="shared" si="235"/>
        <v>0</v>
      </c>
      <c r="EM872" s="116">
        <f t="shared" si="230"/>
        <v>0</v>
      </c>
      <c r="EQ872"/>
    </row>
    <row r="873" spans="1:147" x14ac:dyDescent="0.25">
      <c r="A873" s="59"/>
      <c r="B873" s="32"/>
      <c r="C873" s="5"/>
      <c r="D873" s="6"/>
      <c r="E873" s="6"/>
      <c r="F873" s="6"/>
      <c r="G873" s="5"/>
      <c r="H873" s="37"/>
      <c r="I873" s="36"/>
      <c r="J873" s="7"/>
      <c r="K873" s="7"/>
      <c r="L873" s="7"/>
      <c r="M873" s="74"/>
      <c r="N873" s="74"/>
      <c r="O873" s="7"/>
      <c r="P873" s="74"/>
      <c r="Q873" s="7"/>
      <c r="R873" s="74"/>
      <c r="S873" s="74"/>
      <c r="T873" s="7"/>
      <c r="U873" s="7"/>
      <c r="V873" s="74"/>
      <c r="W873" s="74"/>
      <c r="X873" s="74"/>
      <c r="Y873" s="229"/>
      <c r="Z873" s="230"/>
      <c r="AA873" s="74"/>
      <c r="AB873" s="74"/>
      <c r="AC873" s="74"/>
      <c r="AD873" s="74"/>
      <c r="AE873" s="7"/>
      <c r="AF873" s="74"/>
      <c r="AG873" s="74"/>
      <c r="AH873" s="7"/>
      <c r="AI873" s="7"/>
      <c r="AJ873" s="7"/>
      <c r="AK873" s="7"/>
      <c r="AL873" s="7"/>
      <c r="AM873" s="7"/>
      <c r="AN873" s="7"/>
      <c r="AO873" s="74"/>
      <c r="AP873" s="7"/>
      <c r="AQ873" s="74"/>
      <c r="AR873" s="101"/>
      <c r="AS873" s="7"/>
      <c r="AT873" s="101"/>
      <c r="AU873" s="7"/>
      <c r="AV873" s="101"/>
      <c r="AW873" s="7"/>
      <c r="AX873" s="8"/>
      <c r="AY873" s="36"/>
      <c r="AZ873" s="74"/>
      <c r="BA873" s="74"/>
      <c r="BB873" s="74"/>
      <c r="BC873" s="74"/>
      <c r="BD873" s="74"/>
      <c r="BE873" s="74"/>
      <c r="BF873" s="74"/>
      <c r="BG873" s="74"/>
      <c r="BH873" s="74"/>
      <c r="BI873" s="74"/>
      <c r="BJ873" s="74"/>
      <c r="BK873" s="7"/>
      <c r="BL873" s="74"/>
      <c r="BM873" s="7"/>
      <c r="BN873" s="74"/>
      <c r="BO873" s="74"/>
      <c r="BP873" s="74"/>
      <c r="BQ873" s="74"/>
      <c r="BR873" s="74"/>
      <c r="BS873" s="74"/>
      <c r="BT873" s="74"/>
      <c r="BU873" s="74"/>
      <c r="BV873" s="74"/>
      <c r="BW873" s="74"/>
      <c r="BX873" s="74"/>
      <c r="BY873" s="74"/>
      <c r="BZ873" s="74"/>
      <c r="CA873" s="74"/>
      <c r="CB873" s="74"/>
      <c r="CC873" s="74"/>
      <c r="CD873" s="74"/>
      <c r="CE873" s="7"/>
      <c r="CF873" s="74"/>
      <c r="CG873" s="74"/>
      <c r="CH873" s="7"/>
      <c r="CI873" s="74"/>
      <c r="CJ873" s="74"/>
      <c r="CK873" s="101"/>
      <c r="CL873" s="74"/>
      <c r="CM873" s="74"/>
      <c r="CN873" s="74"/>
      <c r="CO873" s="101"/>
      <c r="CP873" s="74"/>
      <c r="CQ873" s="74"/>
      <c r="CR873" s="74"/>
      <c r="CS873" s="74"/>
      <c r="CT873" s="74"/>
      <c r="CU873" s="74"/>
      <c r="CV873" s="74"/>
      <c r="CW873" s="74"/>
      <c r="CX873" s="74"/>
      <c r="CY873" s="74"/>
      <c r="CZ873" s="74"/>
      <c r="DA873" s="74"/>
      <c r="DB873" s="74"/>
      <c r="DC873" s="74"/>
      <c r="DD873" s="74"/>
      <c r="DE873" s="74"/>
      <c r="DF873" s="74"/>
      <c r="DG873" s="74"/>
      <c r="DH873" s="74"/>
      <c r="DI873" s="74"/>
      <c r="DJ873" s="74"/>
      <c r="DK873" s="74"/>
      <c r="DL873" s="74"/>
      <c r="DM873" s="74"/>
      <c r="DN873" s="74"/>
      <c r="DO873" s="74"/>
      <c r="DP873" s="74"/>
      <c r="DQ873" s="74"/>
      <c r="DR873" s="74"/>
      <c r="DS873" s="74"/>
      <c r="DT873" s="74"/>
      <c r="DU873" s="74"/>
      <c r="DV873" s="74"/>
      <c r="DW873" s="74"/>
      <c r="DX873" s="74"/>
      <c r="DY873" s="74"/>
      <c r="DZ873" s="8">
        <f t="shared" si="222"/>
        <v>0</v>
      </c>
      <c r="EA873" s="3">
        <f t="shared" si="223"/>
        <v>0</v>
      </c>
      <c r="EB873" s="2">
        <f t="shared" si="224"/>
        <v>0</v>
      </c>
      <c r="EC873" s="112">
        <f t="shared" si="232"/>
        <v>0</v>
      </c>
      <c r="ED873" s="29">
        <f t="shared" si="225"/>
        <v>0</v>
      </c>
      <c r="EE873" s="2">
        <f t="shared" si="226"/>
        <v>0</v>
      </c>
      <c r="EF873" s="46">
        <f t="shared" si="227"/>
        <v>0</v>
      </c>
      <c r="EG873" s="46">
        <f t="shared" si="228"/>
        <v>0</v>
      </c>
      <c r="EH873" s="2">
        <f t="shared" si="229"/>
        <v>0</v>
      </c>
      <c r="EI873" s="29">
        <f>IF(COUNT(I873:AD873)&lt;5,DZ873,SUMPRODUCT(LARGE(I873:AD873,{1,2,3,4,5}))/5)</f>
        <v>0</v>
      </c>
      <c r="EJ873" s="29">
        <f>IF(COUNT(I873:BE873)&lt;5,DZ873,SUMPRODUCT(LARGE(I873:BE873,{1,2,3,4,5}))/5)</f>
        <v>0</v>
      </c>
      <c r="EK873" s="29">
        <f t="shared" si="231"/>
        <v>0</v>
      </c>
      <c r="EL873" s="29">
        <f t="shared" si="235"/>
        <v>0</v>
      </c>
      <c r="EM873" s="116">
        <f t="shared" si="230"/>
        <v>0</v>
      </c>
      <c r="EQ873"/>
    </row>
    <row r="874" spans="1:147" x14ac:dyDescent="0.25">
      <c r="A874" s="59"/>
      <c r="B874" s="32"/>
      <c r="C874" s="5"/>
      <c r="D874" s="6"/>
      <c r="E874" s="6"/>
      <c r="F874" s="6"/>
      <c r="G874" s="5"/>
      <c r="H874" s="37"/>
      <c r="I874" s="36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227"/>
      <c r="Z874" s="228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4"/>
      <c r="AP874" s="7"/>
      <c r="AQ874" s="74"/>
      <c r="AR874" s="70"/>
      <c r="AS874" s="7"/>
      <c r="AT874" s="70"/>
      <c r="AU874" s="7"/>
      <c r="AV874" s="70"/>
      <c r="AW874" s="7"/>
      <c r="AX874" s="183"/>
      <c r="AY874" s="10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4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101"/>
      <c r="CL874" s="74"/>
      <c r="CM874" s="74"/>
      <c r="CN874" s="74"/>
      <c r="CO874" s="70"/>
      <c r="CP874" s="74"/>
      <c r="CQ874" s="7"/>
      <c r="CR874" s="74"/>
      <c r="CS874" s="74"/>
      <c r="CT874" s="74"/>
      <c r="CU874" s="74"/>
      <c r="CV874" s="7"/>
      <c r="CW874" s="7"/>
      <c r="CX874" s="7"/>
      <c r="CY874" s="7"/>
      <c r="CZ874" s="7"/>
      <c r="DA874" s="7"/>
      <c r="DB874" s="7"/>
      <c r="DC874" s="7"/>
      <c r="DD874" s="7"/>
      <c r="DE874" s="74"/>
      <c r="DF874" s="74"/>
      <c r="DG874" s="74"/>
      <c r="DH874" s="7"/>
      <c r="DI874" s="74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8">
        <f t="shared" si="222"/>
        <v>0</v>
      </c>
      <c r="EA874" s="3">
        <f t="shared" si="223"/>
        <v>0</v>
      </c>
      <c r="EB874" s="2">
        <f t="shared" si="224"/>
        <v>0</v>
      </c>
      <c r="EC874" s="112">
        <f t="shared" si="232"/>
        <v>0</v>
      </c>
      <c r="ED874" s="29">
        <f t="shared" si="225"/>
        <v>0</v>
      </c>
      <c r="EE874" s="2">
        <f t="shared" si="226"/>
        <v>0</v>
      </c>
      <c r="EF874" s="46">
        <f t="shared" si="227"/>
        <v>0</v>
      </c>
      <c r="EG874" s="46">
        <f t="shared" si="228"/>
        <v>0</v>
      </c>
      <c r="EH874" s="2">
        <f t="shared" si="229"/>
        <v>0</v>
      </c>
      <c r="EI874" s="29">
        <f>IF(COUNT(I874:AD874)&lt;5,DZ874,SUMPRODUCT(LARGE(I874:AD874,{1,2,3,4,5}))/5)</f>
        <v>0</v>
      </c>
      <c r="EJ874" s="29">
        <f>IF(COUNT(I874:BE874)&lt;5,DZ874,SUMPRODUCT(LARGE(I874:BE874,{1,2,3,4,5}))/5)</f>
        <v>0</v>
      </c>
      <c r="EK874" s="29">
        <f t="shared" si="231"/>
        <v>0</v>
      </c>
      <c r="EL874" s="29">
        <f t="shared" si="235"/>
        <v>0</v>
      </c>
      <c r="EM874" s="116">
        <f t="shared" si="230"/>
        <v>0</v>
      </c>
      <c r="EQ874"/>
    </row>
    <row r="875" spans="1:147" x14ac:dyDescent="0.25">
      <c r="A875" s="59"/>
      <c r="B875" s="33"/>
      <c r="C875" s="5"/>
      <c r="D875" s="6"/>
      <c r="E875" s="6"/>
      <c r="F875" s="6"/>
      <c r="G875" s="5"/>
      <c r="H875" s="99"/>
      <c r="I875" s="107"/>
      <c r="J875" s="7"/>
      <c r="K875" s="74"/>
      <c r="L875" s="7"/>
      <c r="M875" s="74"/>
      <c r="N875" s="74"/>
      <c r="O875" s="7"/>
      <c r="P875" s="74"/>
      <c r="Q875" s="74"/>
      <c r="R875" s="74"/>
      <c r="S875" s="74"/>
      <c r="T875" s="7"/>
      <c r="U875" s="7"/>
      <c r="V875" s="74"/>
      <c r="W875" s="7"/>
      <c r="X875" s="74"/>
      <c r="Y875" s="227"/>
      <c r="Z875" s="228"/>
      <c r="AA875" s="7"/>
      <c r="AB875" s="7"/>
      <c r="AC875" s="7"/>
      <c r="AD875" s="74"/>
      <c r="AE875" s="7"/>
      <c r="AF875" s="74"/>
      <c r="AG875" s="74"/>
      <c r="AH875" s="7"/>
      <c r="AI875" s="7"/>
      <c r="AJ875" s="7"/>
      <c r="AK875" s="7"/>
      <c r="AL875" s="7"/>
      <c r="AM875" s="7"/>
      <c r="AN875" s="7"/>
      <c r="AO875" s="74"/>
      <c r="AP875" s="7"/>
      <c r="AQ875" s="74"/>
      <c r="AR875" s="101"/>
      <c r="AS875" s="7"/>
      <c r="AT875" s="101"/>
      <c r="AU875" s="7"/>
      <c r="AV875" s="101"/>
      <c r="AW875" s="7"/>
      <c r="AX875" s="8"/>
      <c r="AY875" s="36"/>
      <c r="AZ875" s="74"/>
      <c r="BA875" s="74"/>
      <c r="BB875" s="74"/>
      <c r="BC875" s="74"/>
      <c r="BD875" s="74"/>
      <c r="BE875" s="74"/>
      <c r="BF875" s="74"/>
      <c r="BG875" s="74"/>
      <c r="BH875" s="74"/>
      <c r="BI875" s="74"/>
      <c r="BJ875" s="74"/>
      <c r="BK875" s="7"/>
      <c r="BL875" s="74"/>
      <c r="BM875" s="7"/>
      <c r="BN875" s="74"/>
      <c r="BO875" s="74"/>
      <c r="BP875" s="74"/>
      <c r="BQ875" s="74"/>
      <c r="BR875" s="74"/>
      <c r="BS875" s="74"/>
      <c r="BT875" s="74"/>
      <c r="BU875" s="74"/>
      <c r="BV875" s="74"/>
      <c r="BW875" s="74"/>
      <c r="BX875" s="74"/>
      <c r="BY875" s="74"/>
      <c r="BZ875" s="74"/>
      <c r="CA875" s="74"/>
      <c r="CB875" s="74"/>
      <c r="CC875" s="74"/>
      <c r="CD875" s="74"/>
      <c r="CE875" s="7"/>
      <c r="CF875" s="74"/>
      <c r="CG875" s="74"/>
      <c r="CH875" s="74"/>
      <c r="CI875" s="74"/>
      <c r="CJ875" s="74"/>
      <c r="CK875" s="101"/>
      <c r="CL875" s="74"/>
      <c r="CM875" s="74"/>
      <c r="CN875" s="74"/>
      <c r="CO875" s="101"/>
      <c r="CP875" s="74"/>
      <c r="CQ875" s="74"/>
      <c r="CR875" s="74"/>
      <c r="CS875" s="74"/>
      <c r="CT875" s="74"/>
      <c r="CU875" s="74"/>
      <c r="CV875" s="74"/>
      <c r="CW875" s="74"/>
      <c r="CX875" s="74"/>
      <c r="CY875" s="74"/>
      <c r="CZ875" s="74"/>
      <c r="DA875" s="74"/>
      <c r="DB875" s="74"/>
      <c r="DC875" s="74"/>
      <c r="DD875" s="74"/>
      <c r="DE875" s="74"/>
      <c r="DF875" s="74"/>
      <c r="DG875" s="74"/>
      <c r="DH875" s="74"/>
      <c r="DI875" s="74"/>
      <c r="DJ875" s="74"/>
      <c r="DK875" s="74"/>
      <c r="DL875" s="74"/>
      <c r="DM875" s="74"/>
      <c r="DN875" s="74"/>
      <c r="DO875" s="74"/>
      <c r="DP875" s="74"/>
      <c r="DQ875" s="74"/>
      <c r="DR875" s="74"/>
      <c r="DS875" s="74"/>
      <c r="DT875" s="74"/>
      <c r="DU875" s="74"/>
      <c r="DV875" s="74"/>
      <c r="DW875" s="74"/>
      <c r="DX875" s="74"/>
      <c r="DY875" s="74"/>
      <c r="DZ875" s="8">
        <f t="shared" si="222"/>
        <v>0</v>
      </c>
      <c r="EA875" s="3">
        <f t="shared" si="223"/>
        <v>0</v>
      </c>
      <c r="EB875" s="2">
        <f t="shared" si="224"/>
        <v>0</v>
      </c>
      <c r="EC875" s="112">
        <f t="shared" si="232"/>
        <v>0</v>
      </c>
      <c r="ED875" s="29">
        <f t="shared" si="225"/>
        <v>0</v>
      </c>
      <c r="EE875" s="2">
        <f t="shared" si="226"/>
        <v>0</v>
      </c>
      <c r="EF875" s="46">
        <f t="shared" si="227"/>
        <v>0</v>
      </c>
      <c r="EG875" s="46">
        <f t="shared" si="228"/>
        <v>0</v>
      </c>
      <c r="EH875" s="29">
        <f t="shared" si="229"/>
        <v>0</v>
      </c>
      <c r="EI875" s="29">
        <f>IF(COUNT(I875:AD875)&lt;5,DZ875,SUMPRODUCT(LARGE(I875:AD875,{1,2,3,4,5}))/5)</f>
        <v>0</v>
      </c>
      <c r="EJ875" s="29">
        <f>IF(COUNT(I875:BE875)&lt;5,DZ875,SUMPRODUCT(LARGE(I875:BE875,{1,2,3,4,5}))/5)</f>
        <v>0</v>
      </c>
      <c r="EK875" s="29">
        <f t="shared" si="231"/>
        <v>0</v>
      </c>
      <c r="EL875" s="29">
        <f t="shared" si="235"/>
        <v>0</v>
      </c>
      <c r="EM875" s="116">
        <f t="shared" si="230"/>
        <v>0</v>
      </c>
      <c r="EQ875"/>
    </row>
    <row r="876" spans="1:147" x14ac:dyDescent="0.25">
      <c r="A876" s="59"/>
      <c r="B876" s="32"/>
      <c r="C876" s="5"/>
      <c r="D876" s="6"/>
      <c r="E876" s="6"/>
      <c r="F876" s="6"/>
      <c r="G876" s="5"/>
      <c r="H876" s="37"/>
      <c r="I876" s="36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227"/>
      <c r="Z876" s="228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0"/>
      <c r="AS876" s="7"/>
      <c r="AT876" s="70"/>
      <c r="AU876" s="7"/>
      <c r="AV876" s="70"/>
      <c r="AW876" s="7"/>
      <c r="AX876" s="183"/>
      <c r="AY876" s="107"/>
      <c r="AZ876" s="7"/>
      <c r="BA876" s="7"/>
      <c r="BB876" s="7"/>
      <c r="BC876" s="74"/>
      <c r="BD876" s="7"/>
      <c r="BE876" s="74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101"/>
      <c r="CL876" s="74"/>
      <c r="CM876" s="74"/>
      <c r="CN876" s="74"/>
      <c r="CO876" s="70"/>
      <c r="CP876" s="74"/>
      <c r="CQ876" s="7"/>
      <c r="CR876" s="74"/>
      <c r="CS876" s="74"/>
      <c r="CT876" s="74"/>
      <c r="CU876" s="74"/>
      <c r="CV876" s="74"/>
      <c r="CW876" s="7"/>
      <c r="CX876" s="7"/>
      <c r="CY876" s="7"/>
      <c r="CZ876" s="7"/>
      <c r="DA876" s="7"/>
      <c r="DB876" s="7"/>
      <c r="DC876" s="7"/>
      <c r="DD876" s="7"/>
      <c r="DE876" s="74"/>
      <c r="DF876" s="74"/>
      <c r="DG876" s="74"/>
      <c r="DH876" s="74"/>
      <c r="DI876" s="74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8">
        <f t="shared" si="222"/>
        <v>0</v>
      </c>
      <c r="EA876" s="3">
        <f t="shared" si="223"/>
        <v>0</v>
      </c>
      <c r="EB876" s="2">
        <f t="shared" si="224"/>
        <v>0</v>
      </c>
      <c r="EC876" s="112">
        <f t="shared" si="232"/>
        <v>0</v>
      </c>
      <c r="ED876" s="29">
        <f t="shared" si="225"/>
        <v>0</v>
      </c>
      <c r="EE876" s="2">
        <f t="shared" si="226"/>
        <v>0</v>
      </c>
      <c r="EF876" s="46">
        <f t="shared" si="227"/>
        <v>0</v>
      </c>
      <c r="EG876" s="46">
        <f t="shared" si="228"/>
        <v>0</v>
      </c>
      <c r="EH876" s="2">
        <f t="shared" si="229"/>
        <v>0</v>
      </c>
      <c r="EI876" s="29">
        <f>IF(COUNT(I876:AD876)&lt;5,DZ876,SUMPRODUCT(LARGE(I876:AD876,{1,2,3,4,5}))/5)</f>
        <v>0</v>
      </c>
      <c r="EJ876" s="29">
        <f>IF(COUNT(I876:BE876)&lt;5,DZ876,SUMPRODUCT(LARGE(I876:BE876,{1,2,3,4,5}))/5)</f>
        <v>0</v>
      </c>
      <c r="EK876" s="29">
        <f t="shared" si="231"/>
        <v>0</v>
      </c>
      <c r="EL876" s="29">
        <f t="shared" si="235"/>
        <v>0</v>
      </c>
      <c r="EM876" s="116">
        <f t="shared" si="230"/>
        <v>0</v>
      </c>
      <c r="EQ876"/>
    </row>
    <row r="877" spans="1:147" x14ac:dyDescent="0.25">
      <c r="A877" s="59"/>
      <c r="B877" s="32"/>
      <c r="C877" s="5"/>
      <c r="D877" s="6"/>
      <c r="E877" s="6"/>
      <c r="F877" s="6"/>
      <c r="G877" s="5"/>
      <c r="H877" s="37"/>
      <c r="I877" s="107"/>
      <c r="J877" s="7"/>
      <c r="K877" s="74"/>
      <c r="L877" s="7"/>
      <c r="M877" s="74"/>
      <c r="N877" s="74"/>
      <c r="O877" s="7"/>
      <c r="P877" s="74"/>
      <c r="Q877" s="7"/>
      <c r="R877" s="74"/>
      <c r="S877" s="74"/>
      <c r="T877" s="7"/>
      <c r="U877" s="7"/>
      <c r="V877" s="74"/>
      <c r="W877" s="7"/>
      <c r="X877" s="74"/>
      <c r="Y877" s="227"/>
      <c r="Z877" s="228"/>
      <c r="AA877" s="74"/>
      <c r="AB877" s="74"/>
      <c r="AC877" s="74"/>
      <c r="AD877" s="74"/>
      <c r="AE877" s="7"/>
      <c r="AF877" s="74"/>
      <c r="AG877" s="74"/>
      <c r="AH877" s="7"/>
      <c r="AI877" s="7"/>
      <c r="AJ877" s="7"/>
      <c r="AK877" s="7"/>
      <c r="AL877" s="7"/>
      <c r="AM877" s="7"/>
      <c r="AN877" s="7"/>
      <c r="AO877" s="74"/>
      <c r="AP877" s="7"/>
      <c r="AQ877" s="74"/>
      <c r="AR877" s="101"/>
      <c r="AS877" s="7"/>
      <c r="AT877" s="101"/>
      <c r="AU877" s="7"/>
      <c r="AV877" s="101"/>
      <c r="AW877" s="7"/>
      <c r="AX877" s="8"/>
      <c r="AY877" s="36"/>
      <c r="AZ877" s="74"/>
      <c r="BA877" s="74"/>
      <c r="BB877" s="74"/>
      <c r="BC877" s="74"/>
      <c r="BD877" s="74"/>
      <c r="BE877" s="74"/>
      <c r="BF877" s="74"/>
      <c r="BG877" s="74"/>
      <c r="BH877" s="74"/>
      <c r="BI877" s="74"/>
      <c r="BJ877" s="74"/>
      <c r="BK877" s="7"/>
      <c r="BL877" s="74"/>
      <c r="BM877" s="7"/>
      <c r="BN877" s="74"/>
      <c r="BO877" s="74"/>
      <c r="BP877" s="74"/>
      <c r="BQ877" s="74"/>
      <c r="BR877" s="74"/>
      <c r="BS877" s="74"/>
      <c r="BT877" s="74"/>
      <c r="BU877" s="74"/>
      <c r="BV877" s="74"/>
      <c r="BW877" s="74"/>
      <c r="BX877" s="74"/>
      <c r="BY877" s="74"/>
      <c r="BZ877" s="74"/>
      <c r="CA877" s="74"/>
      <c r="CB877" s="74"/>
      <c r="CC877" s="74"/>
      <c r="CD877" s="74"/>
      <c r="CE877" s="7"/>
      <c r="CF877" s="74"/>
      <c r="CG877" s="74"/>
      <c r="CH877" s="7"/>
      <c r="CI877" s="74"/>
      <c r="CJ877" s="74"/>
      <c r="CK877" s="101"/>
      <c r="CL877" s="101"/>
      <c r="CM877" s="74"/>
      <c r="CN877" s="74"/>
      <c r="CO877" s="101"/>
      <c r="CP877" s="74"/>
      <c r="CQ877" s="74"/>
      <c r="CR877" s="74"/>
      <c r="CS877" s="74"/>
      <c r="CT877" s="74"/>
      <c r="CU877" s="74"/>
      <c r="CV877" s="74"/>
      <c r="CW877" s="74"/>
      <c r="CX877" s="74"/>
      <c r="CY877" s="74"/>
      <c r="CZ877" s="74"/>
      <c r="DA877" s="74"/>
      <c r="DB877" s="74"/>
      <c r="DC877" s="74"/>
      <c r="DD877" s="74"/>
      <c r="DE877" s="74"/>
      <c r="DF877" s="74"/>
      <c r="DG877" s="74"/>
      <c r="DH877" s="74"/>
      <c r="DI877" s="74"/>
      <c r="DJ877" s="7"/>
      <c r="DK877" s="74"/>
      <c r="DL877" s="7"/>
      <c r="DM877" s="74"/>
      <c r="DN877" s="74"/>
      <c r="DO877" s="74"/>
      <c r="DP877" s="74"/>
      <c r="DQ877" s="74"/>
      <c r="DR877" s="74"/>
      <c r="DS877" s="74"/>
      <c r="DT877" s="74"/>
      <c r="DU877" s="74"/>
      <c r="DV877" s="74"/>
      <c r="DW877" s="74"/>
      <c r="DX877" s="74"/>
      <c r="DY877" s="74"/>
      <c r="DZ877" s="8">
        <f t="shared" si="222"/>
        <v>0</v>
      </c>
      <c r="EA877" s="3">
        <f t="shared" si="223"/>
        <v>0</v>
      </c>
      <c r="EB877" s="2">
        <f t="shared" si="224"/>
        <v>0</v>
      </c>
      <c r="EC877" s="112">
        <f t="shared" si="232"/>
        <v>0</v>
      </c>
      <c r="ED877" s="29">
        <f t="shared" si="225"/>
        <v>0</v>
      </c>
      <c r="EE877" s="2">
        <f t="shared" si="226"/>
        <v>0</v>
      </c>
      <c r="EF877" s="46">
        <f t="shared" si="227"/>
        <v>0</v>
      </c>
      <c r="EG877" s="46">
        <f t="shared" si="228"/>
        <v>0</v>
      </c>
      <c r="EH877" s="2">
        <f t="shared" si="229"/>
        <v>0</v>
      </c>
      <c r="EI877" s="29">
        <f>IF(COUNT(I877:AD877)&lt;5,DZ877,SUMPRODUCT(LARGE(I877:AD877,{1,2,3,4,5}))/5)</f>
        <v>0</v>
      </c>
      <c r="EJ877" s="29">
        <f>IF(COUNT(I877:BE877)&lt;5,DZ877,SUMPRODUCT(LARGE(I877:BE877,{1,2,3,4,5}))/5)</f>
        <v>0</v>
      </c>
      <c r="EK877" s="29">
        <f t="shared" si="231"/>
        <v>0</v>
      </c>
      <c r="EL877" s="29">
        <f t="shared" si="235"/>
        <v>0</v>
      </c>
      <c r="EM877" s="116">
        <f t="shared" si="230"/>
        <v>0</v>
      </c>
      <c r="EQ877"/>
    </row>
    <row r="878" spans="1:147" x14ac:dyDescent="0.25">
      <c r="A878" s="59"/>
      <c r="B878" s="32"/>
      <c r="C878" s="5"/>
      <c r="D878" s="6"/>
      <c r="E878" s="6"/>
      <c r="F878" s="6"/>
      <c r="G878" s="5"/>
      <c r="H878" s="37"/>
      <c r="I878" s="36"/>
      <c r="J878" s="7"/>
      <c r="K878" s="7"/>
      <c r="L878" s="7"/>
      <c r="M878" s="74"/>
      <c r="N878" s="74"/>
      <c r="O878" s="7"/>
      <c r="P878" s="74"/>
      <c r="Q878" s="7"/>
      <c r="R878" s="74"/>
      <c r="S878" s="74"/>
      <c r="T878" s="7"/>
      <c r="U878" s="7"/>
      <c r="V878" s="74"/>
      <c r="W878" s="74"/>
      <c r="X878" s="74"/>
      <c r="Y878" s="229"/>
      <c r="Z878" s="230"/>
      <c r="AA878" s="74"/>
      <c r="AB878" s="74"/>
      <c r="AC878" s="74"/>
      <c r="AD878" s="74"/>
      <c r="AE878" s="7"/>
      <c r="AF878" s="74"/>
      <c r="AG878" s="74"/>
      <c r="AH878" s="7"/>
      <c r="AI878" s="7"/>
      <c r="AJ878" s="7"/>
      <c r="AK878" s="7"/>
      <c r="AL878" s="7"/>
      <c r="AM878" s="7"/>
      <c r="AN878" s="7"/>
      <c r="AO878" s="74"/>
      <c r="AP878" s="7"/>
      <c r="AQ878" s="74"/>
      <c r="AR878" s="101"/>
      <c r="AS878" s="7"/>
      <c r="AT878" s="101"/>
      <c r="AU878" s="7"/>
      <c r="AV878" s="101"/>
      <c r="AW878" s="7"/>
      <c r="AX878" s="183"/>
      <c r="AY878" s="107"/>
      <c r="AZ878" s="74"/>
      <c r="BA878" s="74"/>
      <c r="BB878" s="74"/>
      <c r="BC878" s="74"/>
      <c r="BD878" s="74"/>
      <c r="BE878" s="74"/>
      <c r="BF878" s="74"/>
      <c r="BG878" s="74"/>
      <c r="BH878" s="74"/>
      <c r="BI878" s="74"/>
      <c r="BJ878" s="74"/>
      <c r="BK878" s="7"/>
      <c r="BL878" s="74"/>
      <c r="BM878" s="7"/>
      <c r="BN878" s="74"/>
      <c r="BO878" s="74"/>
      <c r="BP878" s="74"/>
      <c r="BQ878" s="74"/>
      <c r="BR878" s="74"/>
      <c r="BS878" s="74"/>
      <c r="BT878" s="74"/>
      <c r="BU878" s="74"/>
      <c r="BV878" s="74"/>
      <c r="BW878" s="74"/>
      <c r="BX878" s="74"/>
      <c r="BY878" s="74"/>
      <c r="BZ878" s="74"/>
      <c r="CA878" s="74"/>
      <c r="CB878" s="74"/>
      <c r="CC878" s="74"/>
      <c r="CD878" s="74"/>
      <c r="CE878" s="7"/>
      <c r="CF878" s="74"/>
      <c r="CG878" s="74"/>
      <c r="CH878" s="7"/>
      <c r="CI878" s="74"/>
      <c r="CJ878" s="74"/>
      <c r="CK878" s="101"/>
      <c r="CL878" s="74"/>
      <c r="CM878" s="74"/>
      <c r="CN878" s="74"/>
      <c r="CO878" s="101"/>
      <c r="CP878" s="74"/>
      <c r="CQ878" s="74"/>
      <c r="CR878" s="74"/>
      <c r="CS878" s="74"/>
      <c r="CT878" s="74"/>
      <c r="CU878" s="74"/>
      <c r="CV878" s="74"/>
      <c r="CW878" s="74"/>
      <c r="CX878" s="74"/>
      <c r="CY878" s="74"/>
      <c r="CZ878" s="74"/>
      <c r="DA878" s="74"/>
      <c r="DB878" s="74"/>
      <c r="DC878" s="74"/>
      <c r="DD878" s="74"/>
      <c r="DE878" s="74"/>
      <c r="DF878" s="74"/>
      <c r="DG878" s="74"/>
      <c r="DH878" s="74"/>
      <c r="DI878" s="74"/>
      <c r="DJ878" s="74"/>
      <c r="DK878" s="74"/>
      <c r="DL878" s="74"/>
      <c r="DM878" s="74"/>
      <c r="DN878" s="74"/>
      <c r="DO878" s="74"/>
      <c r="DP878" s="74"/>
      <c r="DQ878" s="74"/>
      <c r="DR878" s="74"/>
      <c r="DS878" s="74"/>
      <c r="DT878" s="74"/>
      <c r="DU878" s="74"/>
      <c r="DV878" s="74"/>
      <c r="DW878" s="74"/>
      <c r="DX878" s="74"/>
      <c r="DY878" s="74"/>
      <c r="DZ878" s="8">
        <f t="shared" si="222"/>
        <v>0</v>
      </c>
      <c r="EA878" s="3">
        <f t="shared" si="223"/>
        <v>0</v>
      </c>
      <c r="EB878" s="2">
        <f t="shared" si="224"/>
        <v>0</v>
      </c>
      <c r="EC878" s="112">
        <f t="shared" si="232"/>
        <v>0</v>
      </c>
      <c r="ED878" s="29">
        <f t="shared" si="225"/>
        <v>0</v>
      </c>
      <c r="EE878" s="2">
        <f t="shared" si="226"/>
        <v>0</v>
      </c>
      <c r="EF878" s="46">
        <f t="shared" si="227"/>
        <v>0</v>
      </c>
      <c r="EG878" s="46">
        <f t="shared" si="228"/>
        <v>0</v>
      </c>
      <c r="EH878" s="2">
        <f t="shared" si="229"/>
        <v>0</v>
      </c>
      <c r="EI878" s="29">
        <f>IF(COUNT(I878:AD878)&lt;5,DZ878,SUMPRODUCT(LARGE(I878:AD878,{1,2,3,4,5}))/5)</f>
        <v>0</v>
      </c>
      <c r="EJ878" s="29">
        <f>IF(COUNT(I878:BE878)&lt;5,DZ878,SUMPRODUCT(LARGE(I878:BE878,{1,2,3,4,5}))/5)</f>
        <v>0</v>
      </c>
      <c r="EK878" s="29">
        <f t="shared" si="231"/>
        <v>0</v>
      </c>
      <c r="EL878" s="29">
        <f t="shared" si="235"/>
        <v>0</v>
      </c>
      <c r="EM878" s="116">
        <f t="shared" si="230"/>
        <v>0</v>
      </c>
      <c r="EQ878"/>
    </row>
    <row r="879" spans="1:147" x14ac:dyDescent="0.25">
      <c r="A879" s="59"/>
      <c r="B879" s="32"/>
      <c r="C879" s="5"/>
      <c r="D879" s="6"/>
      <c r="E879" s="6"/>
      <c r="F879" s="6"/>
      <c r="G879" s="5"/>
      <c r="H879" s="99"/>
      <c r="I879" s="36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227"/>
      <c r="Z879" s="228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4"/>
      <c r="AP879" s="7"/>
      <c r="AQ879" s="74"/>
      <c r="AR879" s="70"/>
      <c r="AS879" s="7"/>
      <c r="AT879" s="70"/>
      <c r="AU879" s="7"/>
      <c r="AV879" s="70"/>
      <c r="AW879" s="7"/>
      <c r="AX879" s="8"/>
      <c r="AY879" s="36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4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101"/>
      <c r="CL879" s="74"/>
      <c r="CM879" s="74"/>
      <c r="CN879" s="74"/>
      <c r="CO879" s="70"/>
      <c r="CP879" s="74"/>
      <c r="CQ879" s="7"/>
      <c r="CR879" s="74"/>
      <c r="CS879" s="74"/>
      <c r="CT879" s="74"/>
      <c r="CU879" s="74"/>
      <c r="CV879" s="7"/>
      <c r="CW879" s="7"/>
      <c r="CX879" s="7"/>
      <c r="CY879" s="7"/>
      <c r="CZ879" s="7"/>
      <c r="DA879" s="7"/>
      <c r="DB879" s="7"/>
      <c r="DC879" s="7"/>
      <c r="DD879" s="7"/>
      <c r="DE879" s="74"/>
      <c r="DF879" s="74"/>
      <c r="DG879" s="74"/>
      <c r="DH879" s="7"/>
      <c r="DI879" s="74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8">
        <f t="shared" si="222"/>
        <v>0</v>
      </c>
      <c r="EA879" s="3">
        <f t="shared" si="223"/>
        <v>0</v>
      </c>
      <c r="EB879" s="2">
        <f t="shared" si="224"/>
        <v>0</v>
      </c>
      <c r="EC879" s="112">
        <f t="shared" si="232"/>
        <v>0</v>
      </c>
      <c r="ED879" s="29">
        <f t="shared" si="225"/>
        <v>0</v>
      </c>
      <c r="EE879" s="2">
        <f t="shared" si="226"/>
        <v>0</v>
      </c>
      <c r="EF879" s="46">
        <f t="shared" si="227"/>
        <v>0</v>
      </c>
      <c r="EG879" s="46">
        <f t="shared" si="228"/>
        <v>0</v>
      </c>
      <c r="EH879" s="2">
        <f t="shared" si="229"/>
        <v>0</v>
      </c>
      <c r="EI879" s="29">
        <f>IF(COUNT(I879:AD879)&lt;5,DZ879,SUMPRODUCT(LARGE(I879:AD879,{1,2,3,4,5}))/5)</f>
        <v>0</v>
      </c>
      <c r="EJ879" s="29">
        <f>IF(COUNT(I879:BE879)&lt;5,DZ879,SUMPRODUCT(LARGE(I879:BE879,{1,2,3,4,5}))/5)</f>
        <v>0</v>
      </c>
      <c r="EK879" s="29">
        <f t="shared" si="231"/>
        <v>0</v>
      </c>
      <c r="EL879" s="29">
        <f t="shared" si="235"/>
        <v>0</v>
      </c>
      <c r="EM879" s="116">
        <f t="shared" si="230"/>
        <v>0</v>
      </c>
      <c r="EQ879"/>
    </row>
    <row r="880" spans="1:147" x14ac:dyDescent="0.25">
      <c r="A880" s="59"/>
      <c r="B880" s="32"/>
      <c r="C880" s="5"/>
      <c r="D880" s="6"/>
      <c r="E880" s="6"/>
      <c r="F880" s="6"/>
      <c r="G880" s="5"/>
      <c r="H880" s="37"/>
      <c r="I880" s="107"/>
      <c r="J880" s="7"/>
      <c r="K880" s="74"/>
      <c r="L880" s="7"/>
      <c r="M880" s="74"/>
      <c r="N880" s="74"/>
      <c r="O880" s="7"/>
      <c r="P880" s="74"/>
      <c r="Q880" s="74"/>
      <c r="R880" s="74"/>
      <c r="S880" s="74"/>
      <c r="T880" s="7"/>
      <c r="U880" s="7"/>
      <c r="V880" s="74"/>
      <c r="W880" s="7"/>
      <c r="X880" s="74"/>
      <c r="Y880" s="227"/>
      <c r="Z880" s="228"/>
      <c r="AA880" s="74"/>
      <c r="AB880" s="74"/>
      <c r="AC880" s="74"/>
      <c r="AD880" s="74"/>
      <c r="AE880" s="7"/>
      <c r="AF880" s="74"/>
      <c r="AG880" s="74"/>
      <c r="AH880" s="7"/>
      <c r="AI880" s="7"/>
      <c r="AJ880" s="7"/>
      <c r="AK880" s="7"/>
      <c r="AL880" s="7"/>
      <c r="AM880" s="7"/>
      <c r="AN880" s="7"/>
      <c r="AO880" s="74"/>
      <c r="AP880" s="7"/>
      <c r="AQ880" s="74"/>
      <c r="AR880" s="101"/>
      <c r="AS880" s="7"/>
      <c r="AT880" s="101"/>
      <c r="AU880" s="7"/>
      <c r="AV880" s="101"/>
      <c r="AW880" s="7"/>
      <c r="AX880" s="183"/>
      <c r="AY880" s="107"/>
      <c r="AZ880" s="74"/>
      <c r="BA880" s="74"/>
      <c r="BB880" s="74"/>
      <c r="BC880" s="74"/>
      <c r="BD880" s="74"/>
      <c r="BE880" s="74"/>
      <c r="BF880" s="74"/>
      <c r="BG880" s="74"/>
      <c r="BH880" s="74"/>
      <c r="BI880" s="74"/>
      <c r="BJ880" s="74"/>
      <c r="BK880" s="7"/>
      <c r="BL880" s="74"/>
      <c r="BM880" s="7"/>
      <c r="BN880" s="74"/>
      <c r="BO880" s="74"/>
      <c r="BP880" s="74"/>
      <c r="BQ880" s="74"/>
      <c r="BR880" s="74"/>
      <c r="BS880" s="74"/>
      <c r="BT880" s="74"/>
      <c r="BU880" s="74"/>
      <c r="BV880" s="74"/>
      <c r="BW880" s="74"/>
      <c r="BX880" s="74"/>
      <c r="BY880" s="74"/>
      <c r="BZ880" s="74"/>
      <c r="CA880" s="74"/>
      <c r="CB880" s="74"/>
      <c r="CC880" s="74"/>
      <c r="CD880" s="74"/>
      <c r="CE880" s="7"/>
      <c r="CF880" s="74"/>
      <c r="CG880" s="74"/>
      <c r="CH880" s="7"/>
      <c r="CI880" s="74"/>
      <c r="CJ880" s="74"/>
      <c r="CK880" s="101"/>
      <c r="CL880" s="74"/>
      <c r="CM880" s="74"/>
      <c r="CN880" s="74"/>
      <c r="CO880" s="101"/>
      <c r="CP880" s="74"/>
      <c r="CQ880" s="74"/>
      <c r="CR880" s="74"/>
      <c r="CS880" s="74"/>
      <c r="CT880" s="74"/>
      <c r="CU880" s="74"/>
      <c r="CV880" s="74"/>
      <c r="CW880" s="74"/>
      <c r="CX880" s="74"/>
      <c r="CY880" s="74"/>
      <c r="CZ880" s="74"/>
      <c r="DA880" s="74"/>
      <c r="DB880" s="74"/>
      <c r="DC880" s="74"/>
      <c r="DD880" s="74"/>
      <c r="DE880" s="74"/>
      <c r="DF880" s="74"/>
      <c r="DG880" s="74"/>
      <c r="DH880" s="74"/>
      <c r="DI880" s="74"/>
      <c r="DJ880" s="74"/>
      <c r="DK880" s="74"/>
      <c r="DL880" s="74"/>
      <c r="DM880" s="74"/>
      <c r="DN880" s="74"/>
      <c r="DO880" s="74"/>
      <c r="DP880" s="74"/>
      <c r="DQ880" s="74"/>
      <c r="DR880" s="74"/>
      <c r="DS880" s="74"/>
      <c r="DT880" s="74"/>
      <c r="DU880" s="74"/>
      <c r="DV880" s="74"/>
      <c r="DW880" s="74"/>
      <c r="DX880" s="74"/>
      <c r="DY880" s="74"/>
      <c r="DZ880" s="8">
        <f t="shared" si="222"/>
        <v>0</v>
      </c>
      <c r="EA880" s="3">
        <f t="shared" si="223"/>
        <v>0</v>
      </c>
      <c r="EB880" s="2">
        <f t="shared" si="224"/>
        <v>0</v>
      </c>
      <c r="EC880" s="112">
        <f t="shared" si="232"/>
        <v>0</v>
      </c>
      <c r="ED880" s="29">
        <f t="shared" si="225"/>
        <v>0</v>
      </c>
      <c r="EE880" s="2">
        <f t="shared" si="226"/>
        <v>0</v>
      </c>
      <c r="EF880" s="46">
        <f t="shared" si="227"/>
        <v>0</v>
      </c>
      <c r="EG880" s="46">
        <f t="shared" si="228"/>
        <v>0</v>
      </c>
      <c r="EH880" s="2">
        <f t="shared" si="229"/>
        <v>0</v>
      </c>
      <c r="EI880" s="29">
        <f>IF(COUNT(I880:AD880)&lt;5,DZ880,SUMPRODUCT(LARGE(I880:AD880,{1,2,3,4,5}))/5)</f>
        <v>0</v>
      </c>
      <c r="EJ880" s="29">
        <f>IF(COUNT(I880:BE880)&lt;5,DZ880,SUMPRODUCT(LARGE(I880:BE880,{1,2,3,4,5}))/5)</f>
        <v>0</v>
      </c>
      <c r="EK880" s="29">
        <f t="shared" si="231"/>
        <v>0</v>
      </c>
      <c r="EL880" s="29">
        <f t="shared" si="235"/>
        <v>0</v>
      </c>
      <c r="EM880" s="116">
        <f t="shared" si="230"/>
        <v>0</v>
      </c>
      <c r="EQ880"/>
    </row>
    <row r="881" spans="1:147" x14ac:dyDescent="0.25">
      <c r="A881" s="59"/>
      <c r="B881" s="32"/>
      <c r="C881" s="5"/>
      <c r="D881" s="6"/>
      <c r="E881" s="6"/>
      <c r="F881" s="6"/>
      <c r="G881" s="5"/>
      <c r="H881" s="37"/>
      <c r="I881" s="36"/>
      <c r="J881" s="7"/>
      <c r="K881" s="7"/>
      <c r="L881" s="7"/>
      <c r="M881" s="74"/>
      <c r="N881" s="74"/>
      <c r="O881" s="7"/>
      <c r="P881" s="74"/>
      <c r="Q881" s="7"/>
      <c r="R881" s="74"/>
      <c r="S881" s="74"/>
      <c r="T881" s="7"/>
      <c r="U881" s="7"/>
      <c r="V881" s="74"/>
      <c r="W881" s="74"/>
      <c r="X881" s="74"/>
      <c r="Y881" s="229"/>
      <c r="Z881" s="230"/>
      <c r="AA881" s="74"/>
      <c r="AB881" s="74"/>
      <c r="AC881" s="74"/>
      <c r="AD881" s="74"/>
      <c r="AE881" s="7"/>
      <c r="AF881" s="74"/>
      <c r="AG881" s="74"/>
      <c r="AH881" s="7"/>
      <c r="AI881" s="7"/>
      <c r="AJ881" s="7"/>
      <c r="AK881" s="7"/>
      <c r="AL881" s="7"/>
      <c r="AM881" s="7"/>
      <c r="AN881" s="7"/>
      <c r="AO881" s="74"/>
      <c r="AP881" s="7"/>
      <c r="AQ881" s="74"/>
      <c r="AR881" s="101"/>
      <c r="AS881" s="7"/>
      <c r="AT881" s="101"/>
      <c r="AU881" s="7"/>
      <c r="AV881" s="101"/>
      <c r="AW881" s="7"/>
      <c r="AX881" s="183"/>
      <c r="AY881" s="107"/>
      <c r="AZ881" s="74"/>
      <c r="BA881" s="74"/>
      <c r="BB881" s="74"/>
      <c r="BC881" s="74"/>
      <c r="BD881" s="74"/>
      <c r="BE881" s="74"/>
      <c r="BF881" s="74"/>
      <c r="BG881" s="74"/>
      <c r="BH881" s="74"/>
      <c r="BI881" s="74"/>
      <c r="BJ881" s="74"/>
      <c r="BK881" s="7"/>
      <c r="BL881" s="74"/>
      <c r="BM881" s="7"/>
      <c r="BN881" s="74"/>
      <c r="BO881" s="74"/>
      <c r="BP881" s="74"/>
      <c r="BQ881" s="74"/>
      <c r="BR881" s="74"/>
      <c r="BS881" s="74"/>
      <c r="BT881" s="74"/>
      <c r="BU881" s="74"/>
      <c r="BV881" s="74"/>
      <c r="BW881" s="74"/>
      <c r="BX881" s="74"/>
      <c r="BY881" s="74"/>
      <c r="BZ881" s="74"/>
      <c r="CA881" s="74"/>
      <c r="CB881" s="74"/>
      <c r="CC881" s="74"/>
      <c r="CD881" s="74"/>
      <c r="CE881" s="7"/>
      <c r="CF881" s="74"/>
      <c r="CG881" s="74"/>
      <c r="CH881" s="7"/>
      <c r="CI881" s="74"/>
      <c r="CJ881" s="74"/>
      <c r="CK881" s="101"/>
      <c r="CL881" s="74"/>
      <c r="CM881" s="74"/>
      <c r="CN881" s="74"/>
      <c r="CO881" s="101"/>
      <c r="CP881" s="74"/>
      <c r="CQ881" s="74"/>
      <c r="CR881" s="74"/>
      <c r="CS881" s="74"/>
      <c r="CT881" s="74"/>
      <c r="CU881" s="74"/>
      <c r="CV881" s="74"/>
      <c r="CW881" s="74"/>
      <c r="CX881" s="74"/>
      <c r="CY881" s="74"/>
      <c r="CZ881" s="74"/>
      <c r="DA881" s="74"/>
      <c r="DB881" s="74"/>
      <c r="DC881" s="74"/>
      <c r="DD881" s="74"/>
      <c r="DE881" s="74"/>
      <c r="DF881" s="74"/>
      <c r="DG881" s="74"/>
      <c r="DH881" s="74"/>
      <c r="DI881" s="74"/>
      <c r="DJ881" s="74"/>
      <c r="DK881" s="74"/>
      <c r="DL881" s="74"/>
      <c r="DM881" s="74"/>
      <c r="DN881" s="74"/>
      <c r="DO881" s="74"/>
      <c r="DP881" s="74"/>
      <c r="DQ881" s="74"/>
      <c r="DR881" s="74"/>
      <c r="DS881" s="74"/>
      <c r="DT881" s="74"/>
      <c r="DU881" s="74"/>
      <c r="DV881" s="74"/>
      <c r="DW881" s="74"/>
      <c r="DX881" s="74"/>
      <c r="DY881" s="74"/>
      <c r="DZ881" s="8">
        <f t="shared" si="222"/>
        <v>0</v>
      </c>
      <c r="EA881" s="3">
        <f t="shared" si="223"/>
        <v>0</v>
      </c>
      <c r="EB881" s="2">
        <f t="shared" si="224"/>
        <v>0</v>
      </c>
      <c r="EC881" s="112">
        <f t="shared" si="232"/>
        <v>0</v>
      </c>
      <c r="ED881" s="29">
        <f t="shared" si="225"/>
        <v>0</v>
      </c>
      <c r="EE881" s="2">
        <f t="shared" si="226"/>
        <v>0</v>
      </c>
      <c r="EF881" s="46">
        <f t="shared" si="227"/>
        <v>0</v>
      </c>
      <c r="EG881" s="46">
        <f t="shared" si="228"/>
        <v>0</v>
      </c>
      <c r="EH881" s="2">
        <f t="shared" si="229"/>
        <v>0</v>
      </c>
      <c r="EI881" s="29">
        <f>IF(COUNT(I881:AD881)&lt;5,DZ881,SUMPRODUCT(LARGE(I881:AD881,{1,2,3,4,5}))/5)</f>
        <v>0</v>
      </c>
      <c r="EJ881" s="29">
        <f>IF(COUNT(I881:BE881)&lt;5,DZ881,SUMPRODUCT(LARGE(I881:BE881,{1,2,3,4,5}))/5)</f>
        <v>0</v>
      </c>
      <c r="EK881" s="29">
        <f t="shared" si="231"/>
        <v>0</v>
      </c>
      <c r="EL881" s="29">
        <f t="shared" si="235"/>
        <v>0</v>
      </c>
      <c r="EM881" s="116">
        <f t="shared" si="230"/>
        <v>0</v>
      </c>
      <c r="EQ881"/>
    </row>
    <row r="882" spans="1:147" x14ac:dyDescent="0.25">
      <c r="A882" s="59"/>
      <c r="B882" s="4"/>
      <c r="C882" s="5"/>
      <c r="D882" s="6"/>
      <c r="E882" s="6"/>
      <c r="F882" s="6"/>
      <c r="G882" s="5"/>
      <c r="H882" s="99"/>
      <c r="I882" s="36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227"/>
      <c r="Z882" s="228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4"/>
      <c r="AP882" s="7"/>
      <c r="AQ882" s="74"/>
      <c r="AR882" s="70"/>
      <c r="AS882" s="7"/>
      <c r="AT882" s="70"/>
      <c r="AU882" s="7"/>
      <c r="AV882" s="70"/>
      <c r="AW882" s="7"/>
      <c r="AX882" s="8"/>
      <c r="AY882" s="36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101"/>
      <c r="CL882" s="74"/>
      <c r="CM882" s="74"/>
      <c r="CN882" s="74"/>
      <c r="CO882" s="70"/>
      <c r="CP882" s="74"/>
      <c r="CQ882" s="7"/>
      <c r="CR882" s="74"/>
      <c r="CS882" s="74"/>
      <c r="CT882" s="74"/>
      <c r="CU882" s="74"/>
      <c r="CV882" s="74"/>
      <c r="CW882" s="7"/>
      <c r="CX882" s="7"/>
      <c r="CY882" s="7"/>
      <c r="CZ882" s="74"/>
      <c r="DA882" s="7"/>
      <c r="DB882" s="7"/>
      <c r="DC882" s="7"/>
      <c r="DD882" s="7"/>
      <c r="DE882" s="74"/>
      <c r="DF882" s="74"/>
      <c r="DG882" s="74"/>
      <c r="DH882" s="74"/>
      <c r="DI882" s="74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4"/>
      <c r="DU882" s="7"/>
      <c r="DV882" s="7"/>
      <c r="DW882" s="7"/>
      <c r="DX882" s="7"/>
      <c r="DY882" s="7"/>
      <c r="DZ882" s="8">
        <f t="shared" si="222"/>
        <v>0</v>
      </c>
      <c r="EA882" s="3">
        <f t="shared" si="223"/>
        <v>0</v>
      </c>
      <c r="EB882" s="2">
        <f t="shared" si="224"/>
        <v>0</v>
      </c>
      <c r="EC882" s="112">
        <f t="shared" si="232"/>
        <v>0</v>
      </c>
      <c r="ED882" s="29">
        <f t="shared" si="225"/>
        <v>0</v>
      </c>
      <c r="EE882" s="2">
        <f t="shared" si="226"/>
        <v>0</v>
      </c>
      <c r="EF882" s="46">
        <f t="shared" si="227"/>
        <v>0</v>
      </c>
      <c r="EG882" s="46">
        <f t="shared" si="228"/>
        <v>0</v>
      </c>
      <c r="EH882" s="2">
        <f t="shared" si="229"/>
        <v>0</v>
      </c>
      <c r="EI882" s="29">
        <f>IF(COUNT(I882:AD882)&lt;5,DZ882,SUMPRODUCT(LARGE(I882:AD882,{1,2,3,4,5}))/5)</f>
        <v>0</v>
      </c>
      <c r="EJ882" s="29">
        <f>IF(COUNT(I882:BE882)&lt;5,DZ882,SUMPRODUCT(LARGE(I882:BE882,{1,2,3,4,5}))/5)</f>
        <v>0</v>
      </c>
      <c r="EK882" s="29">
        <f t="shared" si="231"/>
        <v>0</v>
      </c>
      <c r="EL882" s="29">
        <f t="shared" si="235"/>
        <v>0</v>
      </c>
      <c r="EM882" s="116">
        <f t="shared" si="230"/>
        <v>0</v>
      </c>
      <c r="EQ882"/>
    </row>
    <row r="883" spans="1:147" x14ac:dyDescent="0.25">
      <c r="A883" s="59"/>
      <c r="B883" s="32"/>
      <c r="C883" s="5"/>
      <c r="D883" s="6"/>
      <c r="E883" s="6"/>
      <c r="F883" s="6"/>
      <c r="G883" s="5"/>
      <c r="H883" s="99"/>
      <c r="I883" s="36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227"/>
      <c r="Z883" s="228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4"/>
      <c r="AP883" s="7"/>
      <c r="AQ883" s="74"/>
      <c r="AR883" s="70"/>
      <c r="AS883" s="7"/>
      <c r="AT883" s="70"/>
      <c r="AU883" s="7"/>
      <c r="AV883" s="70"/>
      <c r="AW883" s="7"/>
      <c r="AX883" s="183"/>
      <c r="AY883" s="10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101"/>
      <c r="CL883" s="74"/>
      <c r="CM883" s="74"/>
      <c r="CN883" s="74"/>
      <c r="CO883" s="70"/>
      <c r="CP883" s="74"/>
      <c r="CQ883" s="7"/>
      <c r="CR883" s="74"/>
      <c r="CS883" s="74"/>
      <c r="CT883" s="74"/>
      <c r="CU883" s="74"/>
      <c r="CV883" s="74"/>
      <c r="CW883" s="7"/>
      <c r="CX883" s="7"/>
      <c r="CY883" s="7"/>
      <c r="CZ883" s="74"/>
      <c r="DA883" s="7"/>
      <c r="DB883" s="7"/>
      <c r="DC883" s="7"/>
      <c r="DD883" s="7"/>
      <c r="DE883" s="74"/>
      <c r="DF883" s="74"/>
      <c r="DG883" s="74"/>
      <c r="DH883" s="74"/>
      <c r="DI883" s="74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4"/>
      <c r="DU883" s="7"/>
      <c r="DV883" s="7"/>
      <c r="DW883" s="7"/>
      <c r="DX883" s="7"/>
      <c r="DY883" s="7"/>
      <c r="DZ883" s="8">
        <f t="shared" si="222"/>
        <v>0</v>
      </c>
      <c r="EA883" s="3">
        <f t="shared" si="223"/>
        <v>0</v>
      </c>
      <c r="EB883" s="2">
        <f t="shared" si="224"/>
        <v>0</v>
      </c>
      <c r="EC883" s="112">
        <f t="shared" si="232"/>
        <v>0</v>
      </c>
      <c r="ED883" s="29">
        <f t="shared" si="225"/>
        <v>0</v>
      </c>
      <c r="EE883" s="2">
        <f t="shared" si="226"/>
        <v>0</v>
      </c>
      <c r="EF883" s="46">
        <f t="shared" si="227"/>
        <v>0</v>
      </c>
      <c r="EG883" s="46">
        <f t="shared" si="228"/>
        <v>0</v>
      </c>
      <c r="EH883" s="2">
        <f t="shared" si="229"/>
        <v>0</v>
      </c>
      <c r="EI883" s="29">
        <f>IF(COUNT(I883:AD883)&lt;5,DZ883,SUMPRODUCT(LARGE(I883:AD883,{1,2,3,4,5}))/5)</f>
        <v>0</v>
      </c>
      <c r="EJ883" s="29">
        <f>IF(COUNT(I883:BE883)&lt;5,DZ883,SUMPRODUCT(LARGE(I883:BE883,{1,2,3,4,5}))/5)</f>
        <v>0</v>
      </c>
      <c r="EK883" s="29">
        <f t="shared" si="231"/>
        <v>0</v>
      </c>
      <c r="EL883" s="29">
        <f t="shared" si="235"/>
        <v>0</v>
      </c>
      <c r="EM883" s="116">
        <f t="shared" si="230"/>
        <v>0</v>
      </c>
      <c r="EQ883"/>
    </row>
    <row r="884" spans="1:147" x14ac:dyDescent="0.25">
      <c r="A884" s="59"/>
      <c r="B884" s="32"/>
      <c r="C884" s="5"/>
      <c r="D884" s="6"/>
      <c r="E884" s="6"/>
      <c r="F884" s="6"/>
      <c r="G884" s="5"/>
      <c r="H884" s="37"/>
      <c r="I884" s="36"/>
      <c r="J884" s="7"/>
      <c r="K884" s="7"/>
      <c r="L884" s="7"/>
      <c r="M884" s="74"/>
      <c r="N884" s="74"/>
      <c r="O884" s="7"/>
      <c r="P884" s="74"/>
      <c r="Q884" s="7"/>
      <c r="R884" s="74"/>
      <c r="S884" s="74"/>
      <c r="T884" s="7"/>
      <c r="U884" s="7"/>
      <c r="V884" s="74"/>
      <c r="W884" s="74"/>
      <c r="X884" s="74"/>
      <c r="Y884" s="229"/>
      <c r="Z884" s="230"/>
      <c r="AA884" s="74"/>
      <c r="AB884" s="74"/>
      <c r="AC884" s="74"/>
      <c r="AD884" s="74"/>
      <c r="AE884" s="7"/>
      <c r="AF884" s="74"/>
      <c r="AG884" s="74"/>
      <c r="AH884" s="7"/>
      <c r="AI884" s="7"/>
      <c r="AJ884" s="7"/>
      <c r="AK884" s="7"/>
      <c r="AL884" s="7"/>
      <c r="AM884" s="7"/>
      <c r="AN884" s="7"/>
      <c r="AO884" s="74"/>
      <c r="AP884" s="7"/>
      <c r="AQ884" s="74"/>
      <c r="AR884" s="101"/>
      <c r="AS884" s="7"/>
      <c r="AT884" s="101"/>
      <c r="AU884" s="7"/>
      <c r="AV884" s="101"/>
      <c r="AW884" s="7"/>
      <c r="AX884" s="183"/>
      <c r="AY884" s="107"/>
      <c r="AZ884" s="74"/>
      <c r="BA884" s="74"/>
      <c r="BB884" s="74"/>
      <c r="BC884" s="74"/>
      <c r="BD884" s="74"/>
      <c r="BE884" s="74"/>
      <c r="BF884" s="74"/>
      <c r="BG884" s="74"/>
      <c r="BH884" s="74"/>
      <c r="BI884" s="74"/>
      <c r="BJ884" s="74"/>
      <c r="BK884" s="7"/>
      <c r="BL884" s="74"/>
      <c r="BM884" s="7"/>
      <c r="BN884" s="74"/>
      <c r="BO884" s="74"/>
      <c r="BP884" s="74"/>
      <c r="BQ884" s="74"/>
      <c r="BR884" s="74"/>
      <c r="BS884" s="74"/>
      <c r="BT884" s="74"/>
      <c r="BU884" s="74"/>
      <c r="BV884" s="74"/>
      <c r="BW884" s="74"/>
      <c r="BX884" s="74"/>
      <c r="BY884" s="74"/>
      <c r="BZ884" s="74"/>
      <c r="CA884" s="74"/>
      <c r="CB884" s="74"/>
      <c r="CC884" s="74"/>
      <c r="CD884" s="74"/>
      <c r="CE884" s="7"/>
      <c r="CF884" s="74"/>
      <c r="CG884" s="74"/>
      <c r="CH884" s="7"/>
      <c r="CI884" s="74"/>
      <c r="CJ884" s="74"/>
      <c r="CK884" s="101"/>
      <c r="CL884" s="74"/>
      <c r="CM884" s="74"/>
      <c r="CN884" s="74"/>
      <c r="CO884" s="101"/>
      <c r="CP884" s="74"/>
      <c r="CQ884" s="74"/>
      <c r="CR884" s="74"/>
      <c r="CS884" s="74"/>
      <c r="CT884" s="74"/>
      <c r="CU884" s="74"/>
      <c r="CV884" s="74"/>
      <c r="CW884" s="74"/>
      <c r="CX884" s="74"/>
      <c r="CY884" s="74"/>
      <c r="CZ884" s="74"/>
      <c r="DA884" s="74"/>
      <c r="DB884" s="74"/>
      <c r="DC884" s="74"/>
      <c r="DD884" s="74"/>
      <c r="DE884" s="74"/>
      <c r="DF884" s="74"/>
      <c r="DG884" s="74"/>
      <c r="DH884" s="74"/>
      <c r="DI884" s="74"/>
      <c r="DJ884" s="74"/>
      <c r="DK884" s="74"/>
      <c r="DL884" s="74"/>
      <c r="DM884" s="74"/>
      <c r="DN884" s="74"/>
      <c r="DO884" s="74"/>
      <c r="DP884" s="74"/>
      <c r="DQ884" s="74"/>
      <c r="DR884" s="74"/>
      <c r="DS884" s="74"/>
      <c r="DT884" s="74"/>
      <c r="DU884" s="74"/>
      <c r="DV884" s="74"/>
      <c r="DW884" s="74"/>
      <c r="DX884" s="74"/>
      <c r="DY884" s="74"/>
      <c r="DZ884" s="8">
        <f t="shared" si="222"/>
        <v>0</v>
      </c>
      <c r="EA884" s="3">
        <f t="shared" si="223"/>
        <v>0</v>
      </c>
      <c r="EB884" s="2">
        <f t="shared" si="224"/>
        <v>0</v>
      </c>
      <c r="EC884" s="112">
        <f t="shared" si="232"/>
        <v>0</v>
      </c>
      <c r="ED884" s="29">
        <f t="shared" si="225"/>
        <v>0</v>
      </c>
      <c r="EE884" s="2">
        <f t="shared" si="226"/>
        <v>0</v>
      </c>
      <c r="EF884" s="46">
        <f t="shared" si="227"/>
        <v>0</v>
      </c>
      <c r="EG884" s="46">
        <f t="shared" si="228"/>
        <v>0</v>
      </c>
      <c r="EH884" s="2">
        <f t="shared" si="229"/>
        <v>0</v>
      </c>
      <c r="EI884" s="29">
        <f>IF(COUNT(I884:AD884)&lt;5,DZ884,SUMPRODUCT(LARGE(I884:AD884,{1,2,3,4,5}))/5)</f>
        <v>0</v>
      </c>
      <c r="EJ884" s="29">
        <f>IF(COUNT(I884:BE884)&lt;5,DZ884,SUMPRODUCT(LARGE(I884:BE884,{1,2,3,4,5}))/5)</f>
        <v>0</v>
      </c>
      <c r="EK884" s="29">
        <f t="shared" si="231"/>
        <v>0</v>
      </c>
      <c r="EL884" s="29">
        <f t="shared" si="235"/>
        <v>0</v>
      </c>
      <c r="EM884" s="116">
        <f t="shared" si="230"/>
        <v>0</v>
      </c>
      <c r="EQ884"/>
    </row>
    <row r="885" spans="1:147" x14ac:dyDescent="0.25">
      <c r="A885" s="59"/>
      <c r="B885" s="4"/>
      <c r="C885" s="5"/>
      <c r="D885" s="6"/>
      <c r="E885" s="6"/>
      <c r="F885" s="6"/>
      <c r="G885" s="5"/>
      <c r="H885" s="37"/>
      <c r="I885" s="36"/>
      <c r="J885" s="7"/>
      <c r="K885" s="7"/>
      <c r="L885" s="7"/>
      <c r="M885" s="74"/>
      <c r="N885" s="74"/>
      <c r="O885" s="7"/>
      <c r="P885" s="74"/>
      <c r="Q885" s="7"/>
      <c r="R885" s="74"/>
      <c r="S885" s="74"/>
      <c r="T885" s="7"/>
      <c r="U885" s="7"/>
      <c r="V885" s="74"/>
      <c r="W885" s="74"/>
      <c r="X885" s="74"/>
      <c r="Y885" s="229"/>
      <c r="Z885" s="230"/>
      <c r="AA885" s="74"/>
      <c r="AB885" s="74"/>
      <c r="AC885" s="74"/>
      <c r="AD885" s="74"/>
      <c r="AE885" s="7"/>
      <c r="AF885" s="74"/>
      <c r="AG885" s="74"/>
      <c r="AH885" s="7"/>
      <c r="AI885" s="7"/>
      <c r="AJ885" s="7"/>
      <c r="AK885" s="7"/>
      <c r="AL885" s="7"/>
      <c r="AM885" s="7"/>
      <c r="AN885" s="7"/>
      <c r="AO885" s="74"/>
      <c r="AP885" s="7"/>
      <c r="AQ885" s="74"/>
      <c r="AR885" s="101"/>
      <c r="AS885" s="7"/>
      <c r="AT885" s="101"/>
      <c r="AU885" s="7"/>
      <c r="AV885" s="101"/>
      <c r="AW885" s="7"/>
      <c r="AX885" s="8"/>
      <c r="AY885" s="36"/>
      <c r="AZ885" s="74"/>
      <c r="BA885" s="74"/>
      <c r="BB885" s="74"/>
      <c r="BC885" s="74"/>
      <c r="BD885" s="74"/>
      <c r="BE885" s="74"/>
      <c r="BF885" s="74"/>
      <c r="BG885" s="74"/>
      <c r="BH885" s="74"/>
      <c r="BI885" s="74"/>
      <c r="BJ885" s="74"/>
      <c r="BK885" s="7"/>
      <c r="BL885" s="74"/>
      <c r="BM885" s="7"/>
      <c r="BN885" s="74"/>
      <c r="BO885" s="74"/>
      <c r="BP885" s="74"/>
      <c r="BQ885" s="74"/>
      <c r="BR885" s="74"/>
      <c r="BS885" s="74"/>
      <c r="BT885" s="74"/>
      <c r="BU885" s="74"/>
      <c r="BV885" s="74"/>
      <c r="BW885" s="74"/>
      <c r="BX885" s="74"/>
      <c r="BY885" s="74"/>
      <c r="BZ885" s="74"/>
      <c r="CA885" s="74"/>
      <c r="CB885" s="74"/>
      <c r="CC885" s="74"/>
      <c r="CD885" s="74"/>
      <c r="CE885" s="7"/>
      <c r="CF885" s="74"/>
      <c r="CG885" s="74"/>
      <c r="CH885" s="7"/>
      <c r="CI885" s="74"/>
      <c r="CJ885" s="74"/>
      <c r="CK885" s="101"/>
      <c r="CL885" s="74"/>
      <c r="CM885" s="74"/>
      <c r="CN885" s="74"/>
      <c r="CO885" s="101"/>
      <c r="CP885" s="74"/>
      <c r="CQ885" s="74"/>
      <c r="CR885" s="74"/>
      <c r="CS885" s="74"/>
      <c r="CT885" s="74"/>
      <c r="CU885" s="74"/>
      <c r="CV885" s="74"/>
      <c r="CW885" s="74"/>
      <c r="CX885" s="74"/>
      <c r="CY885" s="74"/>
      <c r="CZ885" s="74"/>
      <c r="DA885" s="74"/>
      <c r="DB885" s="74"/>
      <c r="DC885" s="74"/>
      <c r="DD885" s="74"/>
      <c r="DE885" s="74"/>
      <c r="DF885" s="74"/>
      <c r="DG885" s="74"/>
      <c r="DH885" s="74"/>
      <c r="DI885" s="74"/>
      <c r="DJ885" s="74"/>
      <c r="DK885" s="74"/>
      <c r="DL885" s="74"/>
      <c r="DM885" s="74"/>
      <c r="DN885" s="74"/>
      <c r="DO885" s="74"/>
      <c r="DP885" s="74"/>
      <c r="DQ885" s="74"/>
      <c r="DR885" s="74"/>
      <c r="DS885" s="74"/>
      <c r="DT885" s="74"/>
      <c r="DU885" s="74"/>
      <c r="DV885" s="74"/>
      <c r="DW885" s="74"/>
      <c r="DX885" s="74"/>
      <c r="DY885" s="74"/>
      <c r="DZ885" s="8">
        <f t="shared" si="222"/>
        <v>0</v>
      </c>
      <c r="EA885" s="3">
        <f t="shared" si="223"/>
        <v>0</v>
      </c>
      <c r="EB885" s="2">
        <f t="shared" si="224"/>
        <v>0</v>
      </c>
      <c r="EC885" s="112">
        <f t="shared" si="232"/>
        <v>0</v>
      </c>
      <c r="ED885" s="29">
        <f t="shared" si="225"/>
        <v>0</v>
      </c>
      <c r="EE885" s="2">
        <f t="shared" si="226"/>
        <v>0</v>
      </c>
      <c r="EF885" s="46">
        <f t="shared" si="227"/>
        <v>0</v>
      </c>
      <c r="EG885" s="46">
        <f t="shared" si="228"/>
        <v>0</v>
      </c>
      <c r="EH885" s="2">
        <f t="shared" si="229"/>
        <v>0</v>
      </c>
      <c r="EI885" s="29">
        <f>IF(COUNT(I885:AD885)&lt;5,DZ885,SUMPRODUCT(LARGE(I885:AD885,{1,2,3,4,5}))/5)</f>
        <v>0</v>
      </c>
      <c r="EJ885" s="29">
        <f>IF(COUNT(I885:BE885)&lt;5,DZ885,SUMPRODUCT(LARGE(I885:BE885,{1,2,3,4,5}))/5)</f>
        <v>0</v>
      </c>
      <c r="EK885" s="29">
        <f t="shared" si="231"/>
        <v>0</v>
      </c>
      <c r="EL885" s="29">
        <f t="shared" si="235"/>
        <v>0</v>
      </c>
      <c r="EM885" s="116">
        <f t="shared" si="230"/>
        <v>0</v>
      </c>
      <c r="EQ885"/>
    </row>
    <row r="886" spans="1:147" x14ac:dyDescent="0.25">
      <c r="A886" s="59"/>
      <c r="B886" s="32"/>
      <c r="C886" s="5"/>
      <c r="D886" s="6"/>
      <c r="E886" s="6"/>
      <c r="F886" s="6"/>
      <c r="G886" s="5"/>
      <c r="H886" s="37"/>
      <c r="I886" s="36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227"/>
      <c r="Z886" s="228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4"/>
      <c r="AP886" s="7"/>
      <c r="AQ886" s="74"/>
      <c r="AR886" s="70"/>
      <c r="AS886" s="7"/>
      <c r="AT886" s="70"/>
      <c r="AU886" s="7"/>
      <c r="AV886" s="70"/>
      <c r="AW886" s="7"/>
      <c r="AX886" s="8"/>
      <c r="AY886" s="36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4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101"/>
      <c r="CL886" s="74"/>
      <c r="CM886" s="74"/>
      <c r="CN886" s="74"/>
      <c r="CO886" s="70"/>
      <c r="CP886" s="74"/>
      <c r="CQ886" s="7"/>
      <c r="CR886" s="74"/>
      <c r="CS886" s="74"/>
      <c r="CT886" s="74"/>
      <c r="CU886" s="74"/>
      <c r="CV886" s="7"/>
      <c r="CW886" s="7"/>
      <c r="CX886" s="7"/>
      <c r="CY886" s="7"/>
      <c r="CZ886" s="7"/>
      <c r="DA886" s="7"/>
      <c r="DB886" s="7"/>
      <c r="DC886" s="7"/>
      <c r="DD886" s="7"/>
      <c r="DE886" s="74"/>
      <c r="DF886" s="74"/>
      <c r="DG886" s="74"/>
      <c r="DH886" s="7"/>
      <c r="DI886" s="74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8">
        <f t="shared" si="222"/>
        <v>0</v>
      </c>
      <c r="EA886" s="3">
        <f t="shared" si="223"/>
        <v>0</v>
      </c>
      <c r="EB886" s="2">
        <f t="shared" si="224"/>
        <v>0</v>
      </c>
      <c r="EC886" s="112">
        <f t="shared" si="232"/>
        <v>0</v>
      </c>
      <c r="ED886" s="29">
        <f t="shared" si="225"/>
        <v>0</v>
      </c>
      <c r="EE886" s="2">
        <f t="shared" si="226"/>
        <v>0</v>
      </c>
      <c r="EF886" s="46">
        <f t="shared" si="227"/>
        <v>0</v>
      </c>
      <c r="EG886" s="46">
        <f t="shared" si="228"/>
        <v>0</v>
      </c>
      <c r="EH886" s="2">
        <f t="shared" si="229"/>
        <v>0</v>
      </c>
      <c r="EI886" s="29">
        <f>IF(COUNT(I886:AD886)&lt;5,DZ886,SUMPRODUCT(LARGE(I886:AD886,{1,2,3,4,5}))/5)</f>
        <v>0</v>
      </c>
      <c r="EJ886" s="29">
        <f>IF(COUNT(I886:BE886)&lt;5,DZ886,SUMPRODUCT(LARGE(I886:BE886,{1,2,3,4,5}))/5)</f>
        <v>0</v>
      </c>
      <c r="EK886" s="29">
        <f t="shared" si="231"/>
        <v>0</v>
      </c>
      <c r="EL886" s="29">
        <f t="shared" si="235"/>
        <v>0</v>
      </c>
      <c r="EM886" s="116">
        <f t="shared" si="230"/>
        <v>0</v>
      </c>
      <c r="EQ886"/>
    </row>
    <row r="887" spans="1:147" x14ac:dyDescent="0.25">
      <c r="A887" s="59"/>
      <c r="B887" s="32"/>
      <c r="C887" s="5"/>
      <c r="D887" s="6"/>
      <c r="E887" s="6"/>
      <c r="F887" s="6"/>
      <c r="G887" s="5"/>
      <c r="H887" s="37"/>
      <c r="I887" s="36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227"/>
      <c r="Z887" s="228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4"/>
      <c r="AP887" s="7"/>
      <c r="AQ887" s="74"/>
      <c r="AR887" s="70"/>
      <c r="AS887" s="7"/>
      <c r="AT887" s="70"/>
      <c r="AU887" s="7"/>
      <c r="AV887" s="70"/>
      <c r="AW887" s="7"/>
      <c r="AX887" s="183"/>
      <c r="AY887" s="10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4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101"/>
      <c r="CL887" s="74"/>
      <c r="CM887" s="74"/>
      <c r="CN887" s="74"/>
      <c r="CO887" s="70"/>
      <c r="CP887" s="74"/>
      <c r="CQ887" s="7"/>
      <c r="CR887" s="74"/>
      <c r="CS887" s="74"/>
      <c r="CT887" s="74"/>
      <c r="CU887" s="74"/>
      <c r="CV887" s="7"/>
      <c r="CW887" s="7"/>
      <c r="CX887" s="7"/>
      <c r="CY887" s="7"/>
      <c r="CZ887" s="7"/>
      <c r="DA887" s="7"/>
      <c r="DB887" s="7"/>
      <c r="DC887" s="7"/>
      <c r="DD887" s="7"/>
      <c r="DE887" s="74"/>
      <c r="DF887" s="74"/>
      <c r="DG887" s="74"/>
      <c r="DH887" s="7"/>
      <c r="DI887" s="7"/>
      <c r="DJ887" s="7"/>
      <c r="DK887" s="7"/>
      <c r="DL887" s="7"/>
      <c r="DM887" s="7"/>
      <c r="DN887" s="7"/>
      <c r="DO887" s="7"/>
      <c r="DP887" s="7"/>
      <c r="DQ887" s="74"/>
      <c r="DR887" s="74"/>
      <c r="DS887" s="7"/>
      <c r="DT887" s="7"/>
      <c r="DU887" s="7"/>
      <c r="DV887" s="7"/>
      <c r="DW887" s="7"/>
      <c r="DX887" s="7"/>
      <c r="DY887" s="7"/>
      <c r="DZ887" s="8">
        <f t="shared" si="222"/>
        <v>0</v>
      </c>
      <c r="EA887" s="3">
        <f t="shared" si="223"/>
        <v>0</v>
      </c>
      <c r="EB887" s="2">
        <f t="shared" si="224"/>
        <v>0</v>
      </c>
      <c r="EC887" s="112">
        <f t="shared" si="232"/>
        <v>0</v>
      </c>
      <c r="ED887" s="29">
        <f t="shared" si="225"/>
        <v>0</v>
      </c>
      <c r="EE887" s="2">
        <f t="shared" si="226"/>
        <v>0</v>
      </c>
      <c r="EF887" s="46">
        <f t="shared" si="227"/>
        <v>0</v>
      </c>
      <c r="EG887" s="46">
        <f t="shared" si="228"/>
        <v>0</v>
      </c>
      <c r="EH887" s="2">
        <f t="shared" si="229"/>
        <v>0</v>
      </c>
      <c r="EI887" s="29">
        <f>IF(COUNT(I887:AD887)&lt;5,DZ887,SUMPRODUCT(LARGE(I887:AD887,{1,2,3,4,5}))/5)</f>
        <v>0</v>
      </c>
      <c r="EJ887" s="29">
        <f>IF(COUNT(I887:BE887)&lt;5,DZ887,SUMPRODUCT(LARGE(I887:BE887,{1,2,3,4,5}))/5)</f>
        <v>0</v>
      </c>
      <c r="EK887" s="29">
        <f t="shared" si="231"/>
        <v>0</v>
      </c>
      <c r="EL887" s="29">
        <f t="shared" si="235"/>
        <v>0</v>
      </c>
      <c r="EM887" s="116">
        <f t="shared" si="230"/>
        <v>0</v>
      </c>
      <c r="EQ887"/>
    </row>
    <row r="888" spans="1:147" x14ac:dyDescent="0.25">
      <c r="A888" s="59"/>
      <c r="B888" s="32"/>
      <c r="C888" s="5"/>
      <c r="D888" s="6"/>
      <c r="E888" s="6"/>
      <c r="F888" s="6"/>
      <c r="G888" s="5"/>
      <c r="H888" s="37"/>
      <c r="I888" s="36"/>
      <c r="J888" s="7"/>
      <c r="K888" s="7"/>
      <c r="L888" s="7"/>
      <c r="M888" s="74"/>
      <c r="N888" s="74"/>
      <c r="O888" s="7"/>
      <c r="P888" s="74"/>
      <c r="Q888" s="7"/>
      <c r="R888" s="74"/>
      <c r="S888" s="74"/>
      <c r="T888" s="7"/>
      <c r="U888" s="7"/>
      <c r="V888" s="74"/>
      <c r="W888" s="74"/>
      <c r="X888" s="74"/>
      <c r="Y888" s="229"/>
      <c r="Z888" s="230"/>
      <c r="AA888" s="74"/>
      <c r="AB888" s="74"/>
      <c r="AC888" s="74"/>
      <c r="AD888" s="74"/>
      <c r="AE888" s="7"/>
      <c r="AF888" s="74"/>
      <c r="AG888" s="74"/>
      <c r="AH888" s="7"/>
      <c r="AI888" s="7"/>
      <c r="AJ888" s="7"/>
      <c r="AK888" s="7"/>
      <c r="AL888" s="7"/>
      <c r="AM888" s="7"/>
      <c r="AN888" s="7"/>
      <c r="AO888" s="74"/>
      <c r="AP888" s="7"/>
      <c r="AQ888" s="74"/>
      <c r="AR888" s="101"/>
      <c r="AS888" s="7"/>
      <c r="AT888" s="101"/>
      <c r="AU888" s="7"/>
      <c r="AV888" s="101"/>
      <c r="AW888" s="7"/>
      <c r="AX888" s="183"/>
      <c r="AY888" s="107"/>
      <c r="AZ888" s="74"/>
      <c r="BA888" s="74"/>
      <c r="BB888" s="74"/>
      <c r="BC888" s="74"/>
      <c r="BD888" s="74"/>
      <c r="BE888" s="74"/>
      <c r="BF888" s="74"/>
      <c r="BG888" s="74"/>
      <c r="BH888" s="74"/>
      <c r="BI888" s="74"/>
      <c r="BJ888" s="74"/>
      <c r="BK888" s="7"/>
      <c r="BL888" s="74"/>
      <c r="BM888" s="7"/>
      <c r="BN888" s="74"/>
      <c r="BO888" s="74"/>
      <c r="BP888" s="74"/>
      <c r="BQ888" s="74"/>
      <c r="BR888" s="74"/>
      <c r="BS888" s="74"/>
      <c r="BT888" s="74"/>
      <c r="BU888" s="74"/>
      <c r="BV888" s="74"/>
      <c r="BW888" s="74"/>
      <c r="BX888" s="74"/>
      <c r="BY888" s="74"/>
      <c r="BZ888" s="74"/>
      <c r="CA888" s="74"/>
      <c r="CB888" s="74"/>
      <c r="CC888" s="74"/>
      <c r="CD888" s="74"/>
      <c r="CE888" s="7"/>
      <c r="CF888" s="74"/>
      <c r="CG888" s="74"/>
      <c r="CH888" s="7"/>
      <c r="CI888" s="74"/>
      <c r="CJ888" s="74"/>
      <c r="CK888" s="101"/>
      <c r="CL888" s="74"/>
      <c r="CM888" s="74"/>
      <c r="CN888" s="74"/>
      <c r="CO888" s="101"/>
      <c r="CP888" s="74"/>
      <c r="CQ888" s="74"/>
      <c r="CR888" s="74"/>
      <c r="CS888" s="74"/>
      <c r="CT888" s="74"/>
      <c r="CU888" s="74"/>
      <c r="CV888" s="74"/>
      <c r="CW888" s="74"/>
      <c r="CX888" s="74"/>
      <c r="CY888" s="74"/>
      <c r="CZ888" s="74"/>
      <c r="DA888" s="74"/>
      <c r="DB888" s="74"/>
      <c r="DC888" s="74"/>
      <c r="DD888" s="74"/>
      <c r="DE888" s="74"/>
      <c r="DF888" s="74"/>
      <c r="DG888" s="74"/>
      <c r="DH888" s="74"/>
      <c r="DI888" s="74"/>
      <c r="DJ888" s="74"/>
      <c r="DK888" s="74"/>
      <c r="DL888" s="74"/>
      <c r="DM888" s="74"/>
      <c r="DN888" s="74"/>
      <c r="DO888" s="74"/>
      <c r="DP888" s="74"/>
      <c r="DQ888" s="74"/>
      <c r="DR888" s="74"/>
      <c r="DS888" s="74"/>
      <c r="DT888" s="74"/>
      <c r="DU888" s="74"/>
      <c r="DV888" s="74"/>
      <c r="DW888" s="74"/>
      <c r="DX888" s="74"/>
      <c r="DY888" s="74"/>
      <c r="DZ888" s="8">
        <f t="shared" si="222"/>
        <v>0</v>
      </c>
      <c r="EA888" s="3">
        <f t="shared" si="223"/>
        <v>0</v>
      </c>
      <c r="EB888" s="2">
        <f t="shared" si="224"/>
        <v>0</v>
      </c>
      <c r="EC888" s="112">
        <f t="shared" si="232"/>
        <v>0</v>
      </c>
      <c r="ED888" s="29">
        <f t="shared" si="225"/>
        <v>0</v>
      </c>
      <c r="EE888" s="2">
        <f t="shared" si="226"/>
        <v>0</v>
      </c>
      <c r="EF888" s="46">
        <f t="shared" si="227"/>
        <v>0</v>
      </c>
      <c r="EG888" s="46">
        <f t="shared" si="228"/>
        <v>0</v>
      </c>
      <c r="EH888" s="2">
        <f t="shared" si="229"/>
        <v>0</v>
      </c>
      <c r="EI888" s="29">
        <f>IF(COUNT(I888:AD888)&lt;5,DZ888,SUMPRODUCT(LARGE(I888:AD888,{1,2,3,4,5}))/5)</f>
        <v>0</v>
      </c>
      <c r="EJ888" s="29">
        <f>IF(COUNT(I888:BE888)&lt;5,DZ888,SUMPRODUCT(LARGE(I888:BE888,{1,2,3,4,5}))/5)</f>
        <v>0</v>
      </c>
      <c r="EK888" s="29">
        <f t="shared" si="231"/>
        <v>0</v>
      </c>
      <c r="EL888" s="29">
        <f t="shared" si="235"/>
        <v>0</v>
      </c>
      <c r="EM888" s="116">
        <f t="shared" si="230"/>
        <v>0</v>
      </c>
      <c r="EQ888"/>
    </row>
    <row r="889" spans="1:147" x14ac:dyDescent="0.25">
      <c r="A889" s="59"/>
      <c r="B889" s="32"/>
      <c r="C889" s="5"/>
      <c r="D889" s="6"/>
      <c r="E889" s="6"/>
      <c r="F889" s="6"/>
      <c r="G889" s="5"/>
      <c r="H889" s="37"/>
      <c r="I889" s="36"/>
      <c r="J889" s="7"/>
      <c r="K889" s="7"/>
      <c r="L889" s="7"/>
      <c r="M889" s="74"/>
      <c r="N889" s="74"/>
      <c r="O889" s="7"/>
      <c r="P889" s="74"/>
      <c r="Q889" s="7"/>
      <c r="R889" s="74"/>
      <c r="S889" s="74"/>
      <c r="T889" s="7"/>
      <c r="U889" s="7"/>
      <c r="V889" s="74"/>
      <c r="W889" s="74"/>
      <c r="X889" s="74"/>
      <c r="Y889" s="229"/>
      <c r="Z889" s="228"/>
      <c r="AA889" s="74"/>
      <c r="AB889" s="74"/>
      <c r="AC889" s="74"/>
      <c r="AD889" s="74"/>
      <c r="AE889" s="7"/>
      <c r="AF889" s="74"/>
      <c r="AG889" s="74"/>
      <c r="AH889" s="7"/>
      <c r="AI889" s="7"/>
      <c r="AJ889" s="7"/>
      <c r="AK889" s="7"/>
      <c r="AL889" s="7"/>
      <c r="AM889" s="7"/>
      <c r="AN889" s="7"/>
      <c r="AO889" s="74"/>
      <c r="AP889" s="7"/>
      <c r="AQ889" s="74"/>
      <c r="AR889" s="101"/>
      <c r="AS889" s="7"/>
      <c r="AT889" s="101"/>
      <c r="AU889" s="7"/>
      <c r="AV889" s="101"/>
      <c r="AW889" s="7"/>
      <c r="AX889" s="8"/>
      <c r="AY889" s="36"/>
      <c r="AZ889" s="74"/>
      <c r="BA889" s="74"/>
      <c r="BB889" s="74"/>
      <c r="BC889" s="74"/>
      <c r="BD889" s="74"/>
      <c r="BE889" s="74"/>
      <c r="BF889" s="74"/>
      <c r="BG889" s="74"/>
      <c r="BH889" s="74"/>
      <c r="BI889" s="74"/>
      <c r="BJ889" s="74"/>
      <c r="BK889" s="7"/>
      <c r="BL889" s="74"/>
      <c r="BM889" s="7"/>
      <c r="BN889" s="74"/>
      <c r="BO889" s="74"/>
      <c r="BP889" s="74"/>
      <c r="BQ889" s="74"/>
      <c r="BR889" s="74"/>
      <c r="BS889" s="74"/>
      <c r="BT889" s="74"/>
      <c r="BU889" s="74"/>
      <c r="BV889" s="74"/>
      <c r="BW889" s="74"/>
      <c r="BX889" s="74"/>
      <c r="BY889" s="74"/>
      <c r="BZ889" s="74"/>
      <c r="CA889" s="74"/>
      <c r="CB889" s="74"/>
      <c r="CC889" s="74"/>
      <c r="CD889" s="74"/>
      <c r="CE889" s="7"/>
      <c r="CF889" s="74"/>
      <c r="CG889" s="74"/>
      <c r="CH889" s="7"/>
      <c r="CI889" s="74"/>
      <c r="CJ889" s="74"/>
      <c r="CK889" s="101"/>
      <c r="CL889" s="74"/>
      <c r="CM889" s="74"/>
      <c r="CN889" s="74"/>
      <c r="CO889" s="101"/>
      <c r="CP889" s="74"/>
      <c r="CQ889" s="74"/>
      <c r="CR889" s="74"/>
      <c r="CS889" s="74"/>
      <c r="CT889" s="74"/>
      <c r="CU889" s="74"/>
      <c r="CV889" s="74"/>
      <c r="CW889" s="74"/>
      <c r="CX889" s="74"/>
      <c r="CY889" s="74"/>
      <c r="CZ889" s="74"/>
      <c r="DA889" s="74"/>
      <c r="DB889" s="74"/>
      <c r="DC889" s="74"/>
      <c r="DD889" s="74"/>
      <c r="DE889" s="74"/>
      <c r="DF889" s="74"/>
      <c r="DG889" s="74"/>
      <c r="DH889" s="74"/>
      <c r="DI889" s="74"/>
      <c r="DJ889" s="74"/>
      <c r="DK889" s="74"/>
      <c r="DL889" s="74"/>
      <c r="DM889" s="74"/>
      <c r="DN889" s="74"/>
      <c r="DO889" s="74"/>
      <c r="DP889" s="74"/>
      <c r="DQ889" s="74"/>
      <c r="DR889" s="74"/>
      <c r="DS889" s="74"/>
      <c r="DT889" s="74"/>
      <c r="DU889" s="74"/>
      <c r="DV889" s="74"/>
      <c r="DW889" s="74"/>
      <c r="DX889" s="74"/>
      <c r="DY889" s="74"/>
      <c r="DZ889" s="8">
        <f t="shared" si="222"/>
        <v>0</v>
      </c>
      <c r="EA889" s="3">
        <f t="shared" si="223"/>
        <v>0</v>
      </c>
      <c r="EB889" s="2">
        <f t="shared" si="224"/>
        <v>0</v>
      </c>
      <c r="EC889" s="112">
        <f t="shared" si="232"/>
        <v>0</v>
      </c>
      <c r="ED889" s="29">
        <f t="shared" si="225"/>
        <v>0</v>
      </c>
      <c r="EE889" s="2">
        <f t="shared" si="226"/>
        <v>0</v>
      </c>
      <c r="EF889" s="46">
        <f t="shared" si="227"/>
        <v>0</v>
      </c>
      <c r="EG889" s="46">
        <f t="shared" si="228"/>
        <v>0</v>
      </c>
      <c r="EH889" s="2">
        <f t="shared" si="229"/>
        <v>0</v>
      </c>
      <c r="EI889" s="29">
        <f>IF(COUNT(I889:AD889)&lt;5,DZ889,SUMPRODUCT(LARGE(I889:AD889,{1,2,3,4,5}))/5)</f>
        <v>0</v>
      </c>
      <c r="EJ889" s="29">
        <f>IF(COUNT(I889:BE889)&lt;5,DZ889,SUMPRODUCT(LARGE(I889:BE889,{1,2,3,4,5}))/5)</f>
        <v>0</v>
      </c>
      <c r="EK889" s="29">
        <f t="shared" si="231"/>
        <v>0</v>
      </c>
      <c r="EL889" s="29">
        <f t="shared" si="235"/>
        <v>0</v>
      </c>
      <c r="EM889" s="116">
        <f t="shared" si="230"/>
        <v>0</v>
      </c>
      <c r="EQ889"/>
    </row>
    <row r="890" spans="1:147" x14ac:dyDescent="0.25">
      <c r="A890" s="59"/>
      <c r="B890" s="32"/>
      <c r="C890" s="5"/>
      <c r="D890" s="6"/>
      <c r="E890" s="6"/>
      <c r="F890" s="6"/>
      <c r="G890" s="5"/>
      <c r="H890" s="99"/>
      <c r="I890" s="36"/>
      <c r="J890" s="7"/>
      <c r="K890" s="7"/>
      <c r="L890" s="7"/>
      <c r="M890" s="74"/>
      <c r="N890" s="74"/>
      <c r="O890" s="7"/>
      <c r="P890" s="74"/>
      <c r="Q890" s="7"/>
      <c r="R890" s="74"/>
      <c r="S890" s="74"/>
      <c r="T890" s="7"/>
      <c r="U890" s="7"/>
      <c r="V890" s="74"/>
      <c r="W890" s="74"/>
      <c r="X890" s="74"/>
      <c r="Y890" s="229"/>
      <c r="Z890" s="228"/>
      <c r="AA890" s="74"/>
      <c r="AB890" s="74"/>
      <c r="AC890" s="74"/>
      <c r="AD890" s="74"/>
      <c r="AE890" s="7"/>
      <c r="AF890" s="74"/>
      <c r="AG890" s="74"/>
      <c r="AH890" s="7"/>
      <c r="AI890" s="7"/>
      <c r="AJ890" s="7"/>
      <c r="AK890" s="7"/>
      <c r="AL890" s="7"/>
      <c r="AM890" s="7"/>
      <c r="AN890" s="7"/>
      <c r="AO890" s="74"/>
      <c r="AP890" s="7"/>
      <c r="AQ890" s="74"/>
      <c r="AR890" s="101"/>
      <c r="AS890" s="7"/>
      <c r="AT890" s="101"/>
      <c r="AU890" s="7"/>
      <c r="AV890" s="101"/>
      <c r="AW890" s="7"/>
      <c r="AX890" s="8"/>
      <c r="AY890" s="36"/>
      <c r="AZ890" s="74"/>
      <c r="BA890" s="74"/>
      <c r="BB890" s="74"/>
      <c r="BC890" s="74"/>
      <c r="BD890" s="74"/>
      <c r="BE890" s="74"/>
      <c r="BF890" s="74"/>
      <c r="BG890" s="74"/>
      <c r="BH890" s="74"/>
      <c r="BI890" s="74"/>
      <c r="BJ890" s="74"/>
      <c r="BK890" s="7"/>
      <c r="BL890" s="74"/>
      <c r="BM890" s="7"/>
      <c r="BN890" s="74"/>
      <c r="BO890" s="74"/>
      <c r="BP890" s="74"/>
      <c r="BQ890" s="74"/>
      <c r="BR890" s="74"/>
      <c r="BS890" s="74"/>
      <c r="BT890" s="74"/>
      <c r="BU890" s="74"/>
      <c r="BV890" s="74"/>
      <c r="BW890" s="74"/>
      <c r="BX890" s="74"/>
      <c r="BY890" s="74"/>
      <c r="BZ890" s="74"/>
      <c r="CA890" s="74"/>
      <c r="CB890" s="74"/>
      <c r="CC890" s="74"/>
      <c r="CD890" s="74"/>
      <c r="CE890" s="7"/>
      <c r="CF890" s="74"/>
      <c r="CG890" s="74"/>
      <c r="CH890" s="7"/>
      <c r="CI890" s="74"/>
      <c r="CJ890" s="74"/>
      <c r="CK890" s="101"/>
      <c r="CL890" s="74"/>
      <c r="CM890" s="74"/>
      <c r="CN890" s="74"/>
      <c r="CO890" s="101"/>
      <c r="CP890" s="74"/>
      <c r="CQ890" s="74"/>
      <c r="CR890" s="74"/>
      <c r="CS890" s="74"/>
      <c r="CT890" s="74"/>
      <c r="CU890" s="74"/>
      <c r="CV890" s="74"/>
      <c r="CW890" s="74"/>
      <c r="CX890" s="74"/>
      <c r="CY890" s="74"/>
      <c r="CZ890" s="74"/>
      <c r="DA890" s="74"/>
      <c r="DB890" s="74"/>
      <c r="DC890" s="74"/>
      <c r="DD890" s="74"/>
      <c r="DE890" s="74"/>
      <c r="DF890" s="74"/>
      <c r="DG890" s="74"/>
      <c r="DH890" s="74"/>
      <c r="DI890" s="74"/>
      <c r="DJ890" s="74"/>
      <c r="DK890" s="74"/>
      <c r="DL890" s="74"/>
      <c r="DM890" s="74"/>
      <c r="DN890" s="74"/>
      <c r="DO890" s="74"/>
      <c r="DP890" s="74"/>
      <c r="DQ890" s="74"/>
      <c r="DR890" s="74"/>
      <c r="DS890" s="74"/>
      <c r="DT890" s="74"/>
      <c r="DU890" s="74"/>
      <c r="DV890" s="74"/>
      <c r="DW890" s="74"/>
      <c r="DX890" s="74"/>
      <c r="DY890" s="74"/>
      <c r="DZ890" s="8">
        <f t="shared" si="222"/>
        <v>0</v>
      </c>
      <c r="EA890" s="3">
        <f t="shared" si="223"/>
        <v>0</v>
      </c>
      <c r="EB890" s="2">
        <f t="shared" si="224"/>
        <v>0</v>
      </c>
      <c r="EC890" s="112">
        <f t="shared" si="232"/>
        <v>0</v>
      </c>
      <c r="ED890" s="29">
        <f t="shared" si="225"/>
        <v>0</v>
      </c>
      <c r="EE890" s="2">
        <f t="shared" si="226"/>
        <v>0</v>
      </c>
      <c r="EF890" s="46">
        <f t="shared" si="227"/>
        <v>0</v>
      </c>
      <c r="EG890" s="46">
        <f t="shared" si="228"/>
        <v>0</v>
      </c>
      <c r="EH890" s="2">
        <f t="shared" si="229"/>
        <v>0</v>
      </c>
      <c r="EI890" s="29">
        <f>IF(COUNT(I890:AD890)&lt;5,DZ890,SUMPRODUCT(LARGE(I890:AD890,{1,2,3,4,5}))/5)</f>
        <v>0</v>
      </c>
      <c r="EJ890" s="29">
        <f>IF(COUNT(I890:BE890)&lt;5,DZ890,SUMPRODUCT(LARGE(I890:BE890,{1,2,3,4,5}))/5)</f>
        <v>0</v>
      </c>
      <c r="EK890" s="29">
        <f t="shared" si="231"/>
        <v>0</v>
      </c>
      <c r="EL890" s="29">
        <f t="shared" si="235"/>
        <v>0</v>
      </c>
      <c r="EM890" s="116">
        <f t="shared" si="230"/>
        <v>0</v>
      </c>
      <c r="EQ890"/>
    </row>
    <row r="891" spans="1:147" x14ac:dyDescent="0.25">
      <c r="A891" s="59"/>
      <c r="B891" s="32"/>
      <c r="C891" s="5"/>
      <c r="D891" s="6"/>
      <c r="E891" s="6"/>
      <c r="F891" s="6"/>
      <c r="G891" s="5"/>
      <c r="H891" s="37"/>
      <c r="I891" s="36"/>
      <c r="J891" s="7"/>
      <c r="K891" s="7"/>
      <c r="L891" s="7"/>
      <c r="M891" s="74"/>
      <c r="N891" s="74"/>
      <c r="O891" s="7"/>
      <c r="P891" s="74"/>
      <c r="Q891" s="7"/>
      <c r="R891" s="74"/>
      <c r="S891" s="74"/>
      <c r="T891" s="7"/>
      <c r="U891" s="7"/>
      <c r="V891" s="74"/>
      <c r="W891" s="74"/>
      <c r="X891" s="74"/>
      <c r="Y891" s="229"/>
      <c r="Z891" s="228"/>
      <c r="AA891" s="74"/>
      <c r="AB891" s="74"/>
      <c r="AC891" s="74"/>
      <c r="AD891" s="74"/>
      <c r="AE891" s="7"/>
      <c r="AF891" s="74"/>
      <c r="AG891" s="74"/>
      <c r="AH891" s="7"/>
      <c r="AI891" s="7"/>
      <c r="AJ891" s="7"/>
      <c r="AK891" s="7"/>
      <c r="AL891" s="7"/>
      <c r="AM891" s="7"/>
      <c r="AN891" s="7"/>
      <c r="AO891" s="74"/>
      <c r="AP891" s="7"/>
      <c r="AQ891" s="74"/>
      <c r="AR891" s="101"/>
      <c r="AS891" s="7"/>
      <c r="AT891" s="101"/>
      <c r="AU891" s="7"/>
      <c r="AV891" s="101"/>
      <c r="AW891" s="7"/>
      <c r="AX891" s="183"/>
      <c r="AY891" s="107"/>
      <c r="AZ891" s="74"/>
      <c r="BA891" s="74"/>
      <c r="BB891" s="74"/>
      <c r="BC891" s="74"/>
      <c r="BD891" s="74"/>
      <c r="BE891" s="74"/>
      <c r="BF891" s="74"/>
      <c r="BG891" s="74"/>
      <c r="BH891" s="74"/>
      <c r="BI891" s="74"/>
      <c r="BJ891" s="74"/>
      <c r="BK891" s="7"/>
      <c r="BL891" s="74"/>
      <c r="BM891" s="7"/>
      <c r="BN891" s="74"/>
      <c r="BO891" s="74"/>
      <c r="BP891" s="74"/>
      <c r="BQ891" s="74"/>
      <c r="BR891" s="74"/>
      <c r="BS891" s="74"/>
      <c r="BT891" s="74"/>
      <c r="BU891" s="74"/>
      <c r="BV891" s="74"/>
      <c r="BW891" s="74"/>
      <c r="BX891" s="74"/>
      <c r="BY891" s="74"/>
      <c r="BZ891" s="74"/>
      <c r="CA891" s="74"/>
      <c r="CB891" s="74"/>
      <c r="CC891" s="74"/>
      <c r="CD891" s="74"/>
      <c r="CE891" s="7"/>
      <c r="CF891" s="74"/>
      <c r="CG891" s="74"/>
      <c r="CH891" s="7"/>
      <c r="CI891" s="74"/>
      <c r="CJ891" s="74"/>
      <c r="CK891" s="101"/>
      <c r="CL891" s="74"/>
      <c r="CM891" s="74"/>
      <c r="CN891" s="74"/>
      <c r="CO891" s="101"/>
      <c r="CP891" s="74"/>
      <c r="CQ891" s="74"/>
      <c r="CR891" s="74"/>
      <c r="CS891" s="74"/>
      <c r="CT891" s="74"/>
      <c r="CU891" s="74"/>
      <c r="CV891" s="74"/>
      <c r="CW891" s="74"/>
      <c r="CX891" s="74"/>
      <c r="CY891" s="74"/>
      <c r="CZ891" s="74"/>
      <c r="DA891" s="74"/>
      <c r="DB891" s="74"/>
      <c r="DC891" s="74"/>
      <c r="DD891" s="74"/>
      <c r="DE891" s="74"/>
      <c r="DF891" s="74"/>
      <c r="DG891" s="74"/>
      <c r="DH891" s="74"/>
      <c r="DI891" s="74"/>
      <c r="DJ891" s="74"/>
      <c r="DK891" s="74"/>
      <c r="DL891" s="74"/>
      <c r="DM891" s="74"/>
      <c r="DN891" s="74"/>
      <c r="DO891" s="74"/>
      <c r="DP891" s="74"/>
      <c r="DQ891" s="74"/>
      <c r="DR891" s="74"/>
      <c r="DS891" s="74"/>
      <c r="DT891" s="74"/>
      <c r="DU891" s="74"/>
      <c r="DV891" s="74"/>
      <c r="DW891" s="74"/>
      <c r="DX891" s="74"/>
      <c r="DY891" s="74"/>
      <c r="DZ891" s="8">
        <f t="shared" si="222"/>
        <v>0</v>
      </c>
      <c r="EA891" s="3">
        <f t="shared" si="223"/>
        <v>0</v>
      </c>
      <c r="EB891" s="2">
        <f t="shared" si="224"/>
        <v>0</v>
      </c>
      <c r="EC891" s="112">
        <f t="shared" si="232"/>
        <v>0</v>
      </c>
      <c r="ED891" s="29">
        <f t="shared" si="225"/>
        <v>0</v>
      </c>
      <c r="EE891" s="2">
        <f t="shared" si="226"/>
        <v>0</v>
      </c>
      <c r="EF891" s="46">
        <f t="shared" si="227"/>
        <v>0</v>
      </c>
      <c r="EG891" s="46">
        <f t="shared" si="228"/>
        <v>0</v>
      </c>
      <c r="EH891" s="2">
        <f t="shared" si="229"/>
        <v>0</v>
      </c>
      <c r="EI891" s="29">
        <f>IF(COUNT(I891:AD891)&lt;5,DZ891,SUMPRODUCT(LARGE(I891:AD891,{1,2,3,4,5}))/5)</f>
        <v>0</v>
      </c>
      <c r="EJ891" s="29">
        <f>IF(COUNT(I891:BE891)&lt;5,DZ891,SUMPRODUCT(LARGE(I891:BE891,{1,2,3,4,5}))/5)</f>
        <v>0</v>
      </c>
      <c r="EK891" s="29">
        <f t="shared" si="231"/>
        <v>0</v>
      </c>
      <c r="EL891" s="29">
        <f t="shared" si="235"/>
        <v>0</v>
      </c>
      <c r="EM891" s="116">
        <f t="shared" si="230"/>
        <v>0</v>
      </c>
      <c r="EQ891"/>
    </row>
    <row r="892" spans="1:147" x14ac:dyDescent="0.25">
      <c r="A892" s="59"/>
      <c r="B892" s="32"/>
      <c r="C892" s="5"/>
      <c r="D892" s="6"/>
      <c r="E892" s="6"/>
      <c r="F892" s="6"/>
      <c r="G892" s="5"/>
      <c r="H892" s="37"/>
      <c r="I892" s="36"/>
      <c r="J892" s="7"/>
      <c r="K892" s="7"/>
      <c r="L892" s="7"/>
      <c r="M892" s="74"/>
      <c r="N892" s="74"/>
      <c r="O892" s="7"/>
      <c r="P892" s="74"/>
      <c r="Q892" s="7"/>
      <c r="R892" s="74"/>
      <c r="S892" s="74"/>
      <c r="T892" s="7"/>
      <c r="U892" s="7"/>
      <c r="V892" s="74"/>
      <c r="W892" s="74"/>
      <c r="X892" s="74"/>
      <c r="Y892" s="229"/>
      <c r="Z892" s="228"/>
      <c r="AA892" s="74"/>
      <c r="AB892" s="74"/>
      <c r="AC892" s="74"/>
      <c r="AD892" s="74"/>
      <c r="AE892" s="7"/>
      <c r="AF892" s="74"/>
      <c r="AG892" s="74"/>
      <c r="AH892" s="7"/>
      <c r="AI892" s="7"/>
      <c r="AJ892" s="7"/>
      <c r="AK892" s="7"/>
      <c r="AL892" s="7"/>
      <c r="AM892" s="7"/>
      <c r="AN892" s="7"/>
      <c r="AO892" s="74"/>
      <c r="AP892" s="7"/>
      <c r="AQ892" s="74"/>
      <c r="AR892" s="101"/>
      <c r="AS892" s="7"/>
      <c r="AT892" s="101"/>
      <c r="AU892" s="7"/>
      <c r="AV892" s="101"/>
      <c r="AW892" s="7"/>
      <c r="AX892" s="183"/>
      <c r="AY892" s="107"/>
      <c r="AZ892" s="74"/>
      <c r="BA892" s="74"/>
      <c r="BB892" s="74"/>
      <c r="BC892" s="74"/>
      <c r="BD892" s="74"/>
      <c r="BE892" s="74"/>
      <c r="BF892" s="74"/>
      <c r="BG892" s="74"/>
      <c r="BH892" s="74"/>
      <c r="BI892" s="74"/>
      <c r="BJ892" s="74"/>
      <c r="BK892" s="7"/>
      <c r="BL892" s="74"/>
      <c r="BM892" s="7"/>
      <c r="BN892" s="74"/>
      <c r="BO892" s="74"/>
      <c r="BP892" s="74"/>
      <c r="BQ892" s="74"/>
      <c r="BR892" s="74"/>
      <c r="BS892" s="74"/>
      <c r="BT892" s="74"/>
      <c r="BU892" s="74"/>
      <c r="BV892" s="74"/>
      <c r="BW892" s="74"/>
      <c r="BX892" s="74"/>
      <c r="BY892" s="74"/>
      <c r="BZ892" s="74"/>
      <c r="CA892" s="74"/>
      <c r="CB892" s="74"/>
      <c r="CC892" s="74"/>
      <c r="CD892" s="74"/>
      <c r="CE892" s="7"/>
      <c r="CF892" s="74"/>
      <c r="CG892" s="74"/>
      <c r="CH892" s="7"/>
      <c r="CI892" s="74"/>
      <c r="CJ892" s="74"/>
      <c r="CK892" s="101"/>
      <c r="CL892" s="74"/>
      <c r="CM892" s="74"/>
      <c r="CN892" s="74"/>
      <c r="CO892" s="101"/>
      <c r="CP892" s="74"/>
      <c r="CQ892" s="74"/>
      <c r="CR892" s="74"/>
      <c r="CS892" s="74"/>
      <c r="CT892" s="74"/>
      <c r="CU892" s="74"/>
      <c r="CV892" s="74"/>
      <c r="CW892" s="74"/>
      <c r="CX892" s="74"/>
      <c r="CY892" s="74"/>
      <c r="CZ892" s="74"/>
      <c r="DA892" s="74"/>
      <c r="DB892" s="74"/>
      <c r="DC892" s="74"/>
      <c r="DD892" s="74"/>
      <c r="DE892" s="74"/>
      <c r="DF892" s="74"/>
      <c r="DG892" s="74"/>
      <c r="DH892" s="74"/>
      <c r="DI892" s="74"/>
      <c r="DJ892" s="74"/>
      <c r="DK892" s="74"/>
      <c r="DL892" s="74"/>
      <c r="DM892" s="74"/>
      <c r="DN892" s="74"/>
      <c r="DO892" s="74"/>
      <c r="DP892" s="74"/>
      <c r="DQ892" s="74"/>
      <c r="DR892" s="74"/>
      <c r="DS892" s="74"/>
      <c r="DT892" s="74"/>
      <c r="DU892" s="74"/>
      <c r="DV892" s="74"/>
      <c r="DW892" s="74"/>
      <c r="DX892" s="74"/>
      <c r="DY892" s="74"/>
      <c r="DZ892" s="8">
        <f t="shared" si="222"/>
        <v>0</v>
      </c>
      <c r="EA892" s="3">
        <f t="shared" si="223"/>
        <v>0</v>
      </c>
      <c r="EB892" s="2">
        <f t="shared" si="224"/>
        <v>0</v>
      </c>
      <c r="EC892" s="112">
        <f t="shared" si="232"/>
        <v>0</v>
      </c>
      <c r="ED892" s="29">
        <f t="shared" si="225"/>
        <v>0</v>
      </c>
      <c r="EE892" s="2">
        <f t="shared" si="226"/>
        <v>0</v>
      </c>
      <c r="EF892" s="46">
        <f t="shared" si="227"/>
        <v>0</v>
      </c>
      <c r="EG892" s="46">
        <f t="shared" si="228"/>
        <v>0</v>
      </c>
      <c r="EH892" s="2">
        <f t="shared" si="229"/>
        <v>0</v>
      </c>
      <c r="EI892" s="29">
        <f>IF(COUNT(I892:AD892)&lt;5,DZ892,SUMPRODUCT(LARGE(I892:AD892,{1,2,3,4,5}))/5)</f>
        <v>0</v>
      </c>
      <c r="EJ892" s="29">
        <f>IF(COUNT(I892:BE892)&lt;5,DZ892,SUMPRODUCT(LARGE(I892:BE892,{1,2,3,4,5}))/5)</f>
        <v>0</v>
      </c>
      <c r="EK892" s="29">
        <f t="shared" si="231"/>
        <v>0</v>
      </c>
      <c r="EL892" s="29">
        <f t="shared" si="235"/>
        <v>0</v>
      </c>
      <c r="EM892" s="116">
        <f t="shared" si="230"/>
        <v>0</v>
      </c>
      <c r="EQ892"/>
    </row>
    <row r="893" spans="1:147" x14ac:dyDescent="0.25">
      <c r="A893" s="59"/>
      <c r="B893" s="32"/>
      <c r="C893" s="5"/>
      <c r="D893" s="6"/>
      <c r="E893" s="6"/>
      <c r="F893" s="6"/>
      <c r="G893" s="5"/>
      <c r="H893" s="37"/>
      <c r="I893" s="36"/>
      <c r="J893" s="7"/>
      <c r="K893" s="7"/>
      <c r="L893" s="7"/>
      <c r="M893" s="74"/>
      <c r="N893" s="74"/>
      <c r="O893" s="7"/>
      <c r="P893" s="74"/>
      <c r="Q893" s="7"/>
      <c r="R893" s="74"/>
      <c r="S893" s="74"/>
      <c r="T893" s="7"/>
      <c r="U893" s="7"/>
      <c r="V893" s="74"/>
      <c r="W893" s="74"/>
      <c r="X893" s="74"/>
      <c r="Y893" s="229"/>
      <c r="Z893" s="228"/>
      <c r="AA893" s="74"/>
      <c r="AB893" s="74"/>
      <c r="AC893" s="74"/>
      <c r="AD893" s="74"/>
      <c r="AE893" s="7"/>
      <c r="AF893" s="74"/>
      <c r="AG893" s="74"/>
      <c r="AH893" s="7"/>
      <c r="AI893" s="7"/>
      <c r="AJ893" s="7"/>
      <c r="AK893" s="7"/>
      <c r="AL893" s="7"/>
      <c r="AM893" s="7"/>
      <c r="AN893" s="7"/>
      <c r="AO893" s="74"/>
      <c r="AP893" s="7"/>
      <c r="AQ893" s="74"/>
      <c r="AR893" s="101"/>
      <c r="AS893" s="7"/>
      <c r="AT893" s="101"/>
      <c r="AU893" s="7"/>
      <c r="AV893" s="101"/>
      <c r="AW893" s="7"/>
      <c r="AX893" s="183"/>
      <c r="AY893" s="107"/>
      <c r="AZ893" s="74"/>
      <c r="BA893" s="74"/>
      <c r="BB893" s="74"/>
      <c r="BC893" s="74"/>
      <c r="BD893" s="74"/>
      <c r="BE893" s="74"/>
      <c r="BF893" s="74"/>
      <c r="BG893" s="74"/>
      <c r="BH893" s="74"/>
      <c r="BI893" s="74"/>
      <c r="BJ893" s="74"/>
      <c r="BK893" s="7"/>
      <c r="BL893" s="74"/>
      <c r="BM893" s="7"/>
      <c r="BN893" s="74"/>
      <c r="BO893" s="74"/>
      <c r="BP893" s="74"/>
      <c r="BQ893" s="74"/>
      <c r="BR893" s="74"/>
      <c r="BS893" s="74"/>
      <c r="BT893" s="74"/>
      <c r="BU893" s="74"/>
      <c r="BV893" s="74"/>
      <c r="BW893" s="74"/>
      <c r="BX893" s="74"/>
      <c r="BY893" s="74"/>
      <c r="BZ893" s="74"/>
      <c r="CA893" s="74"/>
      <c r="CB893" s="74"/>
      <c r="CC893" s="74"/>
      <c r="CD893" s="74"/>
      <c r="CE893" s="7"/>
      <c r="CF893" s="74"/>
      <c r="CG893" s="74"/>
      <c r="CH893" s="7"/>
      <c r="CI893" s="74"/>
      <c r="CJ893" s="74"/>
      <c r="CK893" s="101"/>
      <c r="CL893" s="74"/>
      <c r="CM893" s="74"/>
      <c r="CN893" s="74"/>
      <c r="CO893" s="101"/>
      <c r="CP893" s="74"/>
      <c r="CQ893" s="74"/>
      <c r="CR893" s="74"/>
      <c r="CS893" s="74"/>
      <c r="CT893" s="74"/>
      <c r="CU893" s="74"/>
      <c r="CV893" s="74"/>
      <c r="CW893" s="74"/>
      <c r="CX893" s="74"/>
      <c r="CY893" s="74"/>
      <c r="CZ893" s="74"/>
      <c r="DA893" s="74"/>
      <c r="DB893" s="74"/>
      <c r="DC893" s="74"/>
      <c r="DD893" s="74"/>
      <c r="DE893" s="74"/>
      <c r="DF893" s="74"/>
      <c r="DG893" s="74"/>
      <c r="DH893" s="74"/>
      <c r="DI893" s="74"/>
      <c r="DJ893" s="74"/>
      <c r="DK893" s="74"/>
      <c r="DL893" s="74"/>
      <c r="DM893" s="74"/>
      <c r="DN893" s="74"/>
      <c r="DO893" s="74"/>
      <c r="DP893" s="74"/>
      <c r="DQ893" s="74"/>
      <c r="DR893" s="74"/>
      <c r="DS893" s="74"/>
      <c r="DT893" s="74"/>
      <c r="DU893" s="74"/>
      <c r="DV893" s="74"/>
      <c r="DW893" s="74"/>
      <c r="DX893" s="74"/>
      <c r="DY893" s="74"/>
      <c r="DZ893" s="8">
        <f t="shared" si="222"/>
        <v>0</v>
      </c>
      <c r="EA893" s="3">
        <f t="shared" si="223"/>
        <v>0</v>
      </c>
      <c r="EB893" s="2">
        <f t="shared" si="224"/>
        <v>0</v>
      </c>
      <c r="EC893" s="112">
        <f t="shared" si="232"/>
        <v>0</v>
      </c>
      <c r="ED893" s="29">
        <f t="shared" si="225"/>
        <v>0</v>
      </c>
      <c r="EE893" s="2">
        <f t="shared" si="226"/>
        <v>0</v>
      </c>
      <c r="EF893" s="46">
        <f t="shared" si="227"/>
        <v>0</v>
      </c>
      <c r="EG893" s="46">
        <f t="shared" si="228"/>
        <v>0</v>
      </c>
      <c r="EH893" s="2">
        <f t="shared" si="229"/>
        <v>0</v>
      </c>
      <c r="EI893" s="29">
        <f>IF(COUNT(I893:AD893)&lt;5,DZ893,SUMPRODUCT(LARGE(I893:AD893,{1,2,3,4,5}))/5)</f>
        <v>0</v>
      </c>
      <c r="EJ893" s="29">
        <f>IF(COUNT(I893:BE893)&lt;5,DZ893,SUMPRODUCT(LARGE(I893:BE893,{1,2,3,4,5}))/5)</f>
        <v>0</v>
      </c>
      <c r="EK893" s="29">
        <f t="shared" si="231"/>
        <v>0</v>
      </c>
      <c r="EL893" s="29">
        <f t="shared" si="235"/>
        <v>0</v>
      </c>
      <c r="EM893" s="116">
        <f t="shared" si="230"/>
        <v>0</v>
      </c>
      <c r="EQ893"/>
    </row>
    <row r="894" spans="1:147" x14ac:dyDescent="0.25">
      <c r="A894" s="59"/>
      <c r="B894" s="32"/>
      <c r="C894" s="5"/>
      <c r="D894" s="6"/>
      <c r="E894" s="6"/>
      <c r="F894" s="6"/>
      <c r="G894" s="5"/>
      <c r="H894" s="37"/>
      <c r="I894" s="36"/>
      <c r="J894" s="7"/>
      <c r="K894" s="7"/>
      <c r="L894" s="7"/>
      <c r="M894" s="74"/>
      <c r="N894" s="74"/>
      <c r="O894" s="7"/>
      <c r="P894" s="74"/>
      <c r="Q894" s="7"/>
      <c r="R894" s="74"/>
      <c r="S894" s="74"/>
      <c r="T894" s="7"/>
      <c r="U894" s="7"/>
      <c r="V894" s="74"/>
      <c r="W894" s="74"/>
      <c r="X894" s="74"/>
      <c r="Y894" s="229"/>
      <c r="Z894" s="230"/>
      <c r="AA894" s="74"/>
      <c r="AB894" s="74"/>
      <c r="AC894" s="74"/>
      <c r="AD894" s="74"/>
      <c r="AE894" s="7"/>
      <c r="AF894" s="74"/>
      <c r="AG894" s="74"/>
      <c r="AH894" s="7"/>
      <c r="AI894" s="7"/>
      <c r="AJ894" s="7"/>
      <c r="AK894" s="7"/>
      <c r="AL894" s="7"/>
      <c r="AM894" s="7"/>
      <c r="AN894" s="7"/>
      <c r="AO894" s="74"/>
      <c r="AP894" s="7"/>
      <c r="AQ894" s="74"/>
      <c r="AR894" s="101"/>
      <c r="AS894" s="7"/>
      <c r="AT894" s="101"/>
      <c r="AU894" s="7"/>
      <c r="AV894" s="101"/>
      <c r="AW894" s="7"/>
      <c r="AX894" s="183"/>
      <c r="AY894" s="107"/>
      <c r="AZ894" s="74"/>
      <c r="BA894" s="7"/>
      <c r="BB894" s="74"/>
      <c r="BC894" s="74"/>
      <c r="BD894" s="74"/>
      <c r="BE894" s="74"/>
      <c r="BF894" s="74"/>
      <c r="BG894" s="74"/>
      <c r="BH894" s="74"/>
      <c r="BI894" s="74"/>
      <c r="BJ894" s="74"/>
      <c r="BK894" s="7"/>
      <c r="BL894" s="74"/>
      <c r="BM894" s="7"/>
      <c r="BN894" s="74"/>
      <c r="BO894" s="74"/>
      <c r="BP894" s="74"/>
      <c r="BQ894" s="74"/>
      <c r="BR894" s="74"/>
      <c r="BS894" s="74"/>
      <c r="BT894" s="74"/>
      <c r="BU894" s="74"/>
      <c r="BV894" s="74"/>
      <c r="BW894" s="74"/>
      <c r="BX894" s="74"/>
      <c r="BY894" s="74"/>
      <c r="BZ894" s="74"/>
      <c r="CA894" s="74"/>
      <c r="CB894" s="74"/>
      <c r="CC894" s="74"/>
      <c r="CD894" s="74"/>
      <c r="CE894" s="7"/>
      <c r="CF894" s="74"/>
      <c r="CG894" s="74"/>
      <c r="CH894" s="7"/>
      <c r="CI894" s="74"/>
      <c r="CJ894" s="74"/>
      <c r="CK894" s="101"/>
      <c r="CL894" s="74"/>
      <c r="CM894" s="74"/>
      <c r="CN894" s="74"/>
      <c r="CO894" s="101"/>
      <c r="CP894" s="74"/>
      <c r="CQ894" s="74"/>
      <c r="CR894" s="74"/>
      <c r="CS894" s="74"/>
      <c r="CT894" s="74"/>
      <c r="CU894" s="74"/>
      <c r="CV894" s="74"/>
      <c r="CW894" s="74"/>
      <c r="CX894" s="74"/>
      <c r="CY894" s="74"/>
      <c r="CZ894" s="74"/>
      <c r="DA894" s="74"/>
      <c r="DB894" s="74"/>
      <c r="DC894" s="74"/>
      <c r="DD894" s="74"/>
      <c r="DE894" s="74"/>
      <c r="DF894" s="74"/>
      <c r="DG894" s="74"/>
      <c r="DH894" s="74"/>
      <c r="DI894" s="74"/>
      <c r="DJ894" s="74"/>
      <c r="DK894" s="74"/>
      <c r="DL894" s="74"/>
      <c r="DM894" s="74"/>
      <c r="DN894" s="74"/>
      <c r="DO894" s="74"/>
      <c r="DP894" s="74"/>
      <c r="DQ894" s="74"/>
      <c r="DR894" s="74"/>
      <c r="DS894" s="74"/>
      <c r="DT894" s="74"/>
      <c r="DU894" s="74"/>
      <c r="DV894" s="74"/>
      <c r="DW894" s="74"/>
      <c r="DX894" s="74"/>
      <c r="DY894" s="74"/>
      <c r="DZ894" s="8">
        <f t="shared" si="222"/>
        <v>0</v>
      </c>
      <c r="EA894" s="3">
        <f t="shared" si="223"/>
        <v>0</v>
      </c>
      <c r="EB894" s="2">
        <f t="shared" si="224"/>
        <v>0</v>
      </c>
      <c r="EC894" s="112">
        <f t="shared" si="232"/>
        <v>0</v>
      </c>
      <c r="ED894" s="29">
        <f t="shared" si="225"/>
        <v>0</v>
      </c>
      <c r="EE894" s="2">
        <f t="shared" si="226"/>
        <v>0</v>
      </c>
      <c r="EF894" s="46">
        <f t="shared" si="227"/>
        <v>0</v>
      </c>
      <c r="EG894" s="46">
        <f t="shared" si="228"/>
        <v>0</v>
      </c>
      <c r="EH894" s="2">
        <f t="shared" si="229"/>
        <v>0</v>
      </c>
      <c r="EI894" s="29">
        <f>IF(COUNT(I894:AD894)&lt;5,DZ894,SUMPRODUCT(LARGE(I894:AD894,{1,2,3,4,5}))/5)</f>
        <v>0</v>
      </c>
      <c r="EJ894" s="29">
        <f>IF(COUNT(I894:BE894)&lt;5,DZ894,SUMPRODUCT(LARGE(I894:BE894,{1,2,3,4,5}))/5)</f>
        <v>0</v>
      </c>
      <c r="EK894" s="29">
        <f t="shared" si="231"/>
        <v>0</v>
      </c>
      <c r="EL894" s="29">
        <f>(EK894*100)/101.59</f>
        <v>0</v>
      </c>
      <c r="EM894" s="116">
        <f t="shared" si="230"/>
        <v>0</v>
      </c>
      <c r="EQ894"/>
    </row>
    <row r="895" spans="1:147" x14ac:dyDescent="0.25">
      <c r="A895" s="59"/>
      <c r="B895" s="32"/>
      <c r="C895" s="5"/>
      <c r="D895" s="6"/>
      <c r="E895" s="6"/>
      <c r="F895" s="6"/>
      <c r="G895" s="5"/>
      <c r="H895" s="99"/>
      <c r="I895" s="36"/>
      <c r="J895" s="7"/>
      <c r="K895" s="7"/>
      <c r="L895" s="7"/>
      <c r="M895" s="74"/>
      <c r="N895" s="74"/>
      <c r="O895" s="7"/>
      <c r="P895" s="74"/>
      <c r="Q895" s="7"/>
      <c r="R895" s="74"/>
      <c r="S895" s="74"/>
      <c r="T895" s="7"/>
      <c r="U895" s="7"/>
      <c r="V895" s="74"/>
      <c r="W895" s="74"/>
      <c r="X895" s="74"/>
      <c r="Y895" s="229"/>
      <c r="Z895" s="228"/>
      <c r="AA895" s="74"/>
      <c r="AB895" s="74"/>
      <c r="AC895" s="74"/>
      <c r="AD895" s="74"/>
      <c r="AE895" s="7"/>
      <c r="AF895" s="74"/>
      <c r="AG895" s="74"/>
      <c r="AH895" s="7"/>
      <c r="AI895" s="7"/>
      <c r="AJ895" s="7"/>
      <c r="AK895" s="7"/>
      <c r="AL895" s="7"/>
      <c r="AM895" s="7"/>
      <c r="AN895" s="7"/>
      <c r="AO895" s="74"/>
      <c r="AP895" s="7"/>
      <c r="AQ895" s="74"/>
      <c r="AR895" s="101"/>
      <c r="AS895" s="7"/>
      <c r="AT895" s="101"/>
      <c r="AU895" s="7"/>
      <c r="AV895" s="101"/>
      <c r="AW895" s="7"/>
      <c r="AX895" s="183"/>
      <c r="AY895" s="107"/>
      <c r="AZ895" s="74"/>
      <c r="BA895" s="74"/>
      <c r="BB895" s="74"/>
      <c r="BC895" s="74"/>
      <c r="BD895" s="74"/>
      <c r="BE895" s="74"/>
      <c r="BF895" s="74"/>
      <c r="BG895" s="74"/>
      <c r="BH895" s="74"/>
      <c r="BI895" s="74"/>
      <c r="BJ895" s="74"/>
      <c r="BK895" s="7"/>
      <c r="BL895" s="74"/>
      <c r="BM895" s="7"/>
      <c r="BN895" s="74"/>
      <c r="BO895" s="74"/>
      <c r="BP895" s="74"/>
      <c r="BQ895" s="74"/>
      <c r="BR895" s="74"/>
      <c r="BS895" s="74"/>
      <c r="BT895" s="74"/>
      <c r="BU895" s="74"/>
      <c r="BV895" s="74"/>
      <c r="BW895" s="74"/>
      <c r="BX895" s="74"/>
      <c r="BY895" s="74"/>
      <c r="BZ895" s="74"/>
      <c r="CA895" s="74"/>
      <c r="CB895" s="74"/>
      <c r="CC895" s="74"/>
      <c r="CD895" s="74"/>
      <c r="CE895" s="7"/>
      <c r="CF895" s="74"/>
      <c r="CG895" s="74"/>
      <c r="CH895" s="7"/>
      <c r="CI895" s="74"/>
      <c r="CJ895" s="74"/>
      <c r="CK895" s="101"/>
      <c r="CL895" s="74"/>
      <c r="CM895" s="74"/>
      <c r="CN895" s="74"/>
      <c r="CO895" s="101"/>
      <c r="CP895" s="74"/>
      <c r="CQ895" s="74"/>
      <c r="CR895" s="74"/>
      <c r="CS895" s="74"/>
      <c r="CT895" s="101"/>
      <c r="CU895" s="74"/>
      <c r="CV895" s="74"/>
      <c r="CW895" s="74"/>
      <c r="CX895" s="74"/>
      <c r="CY895" s="74"/>
      <c r="CZ895" s="74"/>
      <c r="DA895" s="74"/>
      <c r="DB895" s="74"/>
      <c r="DC895" s="74"/>
      <c r="DD895" s="74"/>
      <c r="DE895" s="74"/>
      <c r="DF895" s="74"/>
      <c r="DG895" s="74"/>
      <c r="DH895" s="74"/>
      <c r="DI895" s="74"/>
      <c r="DJ895" s="74"/>
      <c r="DK895" s="74"/>
      <c r="DL895" s="74"/>
      <c r="DM895" s="74"/>
      <c r="DN895" s="74"/>
      <c r="DO895" s="74"/>
      <c r="DP895" s="74"/>
      <c r="DQ895" s="74"/>
      <c r="DR895" s="74"/>
      <c r="DS895" s="74"/>
      <c r="DT895" s="74"/>
      <c r="DU895" s="74"/>
      <c r="DV895" s="74"/>
      <c r="DW895" s="74"/>
      <c r="DX895" s="74"/>
      <c r="DY895" s="74"/>
      <c r="DZ895" s="8">
        <f t="shared" si="222"/>
        <v>0</v>
      </c>
      <c r="EA895" s="3">
        <f t="shared" si="223"/>
        <v>0</v>
      </c>
      <c r="EB895" s="2">
        <f t="shared" si="224"/>
        <v>0</v>
      </c>
      <c r="EC895" s="112">
        <f t="shared" si="232"/>
        <v>0</v>
      </c>
      <c r="ED895" s="29">
        <f t="shared" si="225"/>
        <v>0</v>
      </c>
      <c r="EE895" s="2">
        <f t="shared" si="226"/>
        <v>0</v>
      </c>
      <c r="EF895" s="46">
        <f t="shared" si="227"/>
        <v>0</v>
      </c>
      <c r="EG895" s="46">
        <f t="shared" si="228"/>
        <v>0</v>
      </c>
      <c r="EH895" s="2">
        <f t="shared" si="229"/>
        <v>0</v>
      </c>
      <c r="EI895" s="29">
        <f>IF(COUNT(I895:AD895)&lt;5,DZ895,SUMPRODUCT(LARGE(I895:AD895,{1,2,3,4,5}))/5)</f>
        <v>0</v>
      </c>
      <c r="EJ895" s="29">
        <f>IF(COUNT(I895:BE895)&lt;5,DZ895,SUMPRODUCT(LARGE(I895:BE895,{1,2,3,4,5}))/5)</f>
        <v>0</v>
      </c>
      <c r="EK895" s="29">
        <f t="shared" si="231"/>
        <v>0</v>
      </c>
      <c r="EL895" s="29">
        <f>(EK895*100)/101.28</f>
        <v>0</v>
      </c>
      <c r="EM895" s="116">
        <f t="shared" si="230"/>
        <v>0</v>
      </c>
      <c r="EQ895"/>
    </row>
    <row r="896" spans="1:147" x14ac:dyDescent="0.25">
      <c r="A896" s="59"/>
      <c r="B896" s="4"/>
      <c r="C896" s="5"/>
      <c r="D896" s="5"/>
      <c r="E896" s="6"/>
      <c r="F896" s="6"/>
      <c r="G896" s="5"/>
      <c r="H896" s="99"/>
      <c r="I896" s="36"/>
      <c r="J896" s="7"/>
      <c r="K896" s="7"/>
      <c r="L896" s="7"/>
      <c r="M896" s="74"/>
      <c r="N896" s="74"/>
      <c r="O896" s="7"/>
      <c r="P896" s="74"/>
      <c r="Q896" s="7"/>
      <c r="R896" s="74"/>
      <c r="S896" s="74"/>
      <c r="T896" s="7"/>
      <c r="U896" s="7"/>
      <c r="V896" s="74"/>
      <c r="W896" s="74"/>
      <c r="X896" s="74"/>
      <c r="Y896" s="229"/>
      <c r="Z896" s="228"/>
      <c r="AA896" s="74"/>
      <c r="AB896" s="74"/>
      <c r="AC896" s="74"/>
      <c r="AD896" s="74"/>
      <c r="AE896" s="7"/>
      <c r="AF896" s="74"/>
      <c r="AG896" s="74"/>
      <c r="AH896" s="7"/>
      <c r="AI896" s="7"/>
      <c r="AJ896" s="7"/>
      <c r="AK896" s="7"/>
      <c r="AL896" s="7"/>
      <c r="AM896" s="7"/>
      <c r="AN896" s="7"/>
      <c r="AO896" s="74"/>
      <c r="AP896" s="7"/>
      <c r="AQ896" s="74"/>
      <c r="AR896" s="101"/>
      <c r="AS896" s="7"/>
      <c r="AT896" s="101"/>
      <c r="AU896" s="7"/>
      <c r="AV896" s="101"/>
      <c r="AW896" s="7"/>
      <c r="AX896" s="183"/>
      <c r="AY896" s="107"/>
      <c r="AZ896" s="74"/>
      <c r="BA896" s="74"/>
      <c r="BB896" s="74"/>
      <c r="BC896" s="74"/>
      <c r="BD896" s="74"/>
      <c r="BE896" s="74"/>
      <c r="BF896" s="74"/>
      <c r="BG896" s="74"/>
      <c r="BH896" s="74"/>
      <c r="BI896" s="74"/>
      <c r="BJ896" s="74"/>
      <c r="BK896" s="7"/>
      <c r="BL896" s="74"/>
      <c r="BM896" s="7"/>
      <c r="BN896" s="74"/>
      <c r="BO896" s="74"/>
      <c r="BP896" s="74"/>
      <c r="BQ896" s="74"/>
      <c r="BR896" s="74"/>
      <c r="BS896" s="74"/>
      <c r="BT896" s="74"/>
      <c r="BU896" s="74"/>
      <c r="BV896" s="74"/>
      <c r="BW896" s="74"/>
      <c r="BX896" s="74"/>
      <c r="BY896" s="74"/>
      <c r="BZ896" s="74"/>
      <c r="CA896" s="74"/>
      <c r="CB896" s="74"/>
      <c r="CC896" s="74"/>
      <c r="CD896" s="74"/>
      <c r="CE896" s="7"/>
      <c r="CF896" s="74"/>
      <c r="CG896" s="74"/>
      <c r="CH896" s="7"/>
      <c r="CI896" s="74"/>
      <c r="CJ896" s="74"/>
      <c r="CK896" s="101"/>
      <c r="CL896" s="74"/>
      <c r="CM896" s="74"/>
      <c r="CN896" s="74"/>
      <c r="CO896" s="101"/>
      <c r="CP896" s="74"/>
      <c r="CQ896" s="74"/>
      <c r="CR896" s="74"/>
      <c r="CS896" s="74"/>
      <c r="CT896" s="74"/>
      <c r="CU896" s="74"/>
      <c r="CV896" s="74"/>
      <c r="CW896" s="74"/>
      <c r="CX896" s="74"/>
      <c r="CY896" s="74"/>
      <c r="CZ896" s="74"/>
      <c r="DA896" s="74"/>
      <c r="DB896" s="74"/>
      <c r="DC896" s="74"/>
      <c r="DD896" s="74"/>
      <c r="DE896" s="74"/>
      <c r="DF896" s="74"/>
      <c r="DG896" s="74"/>
      <c r="DH896" s="74"/>
      <c r="DI896" s="74"/>
      <c r="DJ896" s="74"/>
      <c r="DK896" s="74"/>
      <c r="DL896" s="74"/>
      <c r="DM896" s="74"/>
      <c r="DN896" s="74"/>
      <c r="DO896" s="74"/>
      <c r="DP896" s="74"/>
      <c r="DQ896" s="74"/>
      <c r="DR896" s="74"/>
      <c r="DS896" s="74"/>
      <c r="DT896" s="74"/>
      <c r="DU896" s="74"/>
      <c r="DV896" s="74"/>
      <c r="DW896" s="74"/>
      <c r="DX896" s="74"/>
      <c r="DY896" s="74"/>
      <c r="DZ896" s="8">
        <f t="shared" si="222"/>
        <v>0</v>
      </c>
      <c r="EA896" s="3">
        <f t="shared" si="223"/>
        <v>0</v>
      </c>
      <c r="EB896" s="2">
        <f t="shared" si="224"/>
        <v>0</v>
      </c>
      <c r="EC896" s="112">
        <f t="shared" si="232"/>
        <v>0</v>
      </c>
      <c r="ED896" s="29">
        <f t="shared" si="225"/>
        <v>0</v>
      </c>
      <c r="EE896" s="2">
        <f t="shared" si="226"/>
        <v>0</v>
      </c>
      <c r="EF896" s="46">
        <f t="shared" si="227"/>
        <v>0</v>
      </c>
      <c r="EG896" s="46">
        <f t="shared" si="228"/>
        <v>0</v>
      </c>
      <c r="EH896" s="2">
        <f t="shared" si="229"/>
        <v>0</v>
      </c>
      <c r="EI896" s="29">
        <f>IF(COUNT(I896:AD896)&lt;5,DZ896,SUMPRODUCT(LARGE(I896:AD896,{1,2,3,4,5}))/5)</f>
        <v>0</v>
      </c>
      <c r="EJ896" s="29">
        <f>IF(COUNT(I896:BE896)&lt;5,DZ896,SUMPRODUCT(LARGE(I896:BE896,{1,2,3,4,5}))/5)</f>
        <v>0</v>
      </c>
      <c r="EK896" s="29">
        <f t="shared" si="231"/>
        <v>0</v>
      </c>
      <c r="EL896" s="29">
        <f>(EK896*100)/101.28</f>
        <v>0</v>
      </c>
      <c r="EM896" s="116">
        <f t="shared" si="230"/>
        <v>0</v>
      </c>
      <c r="EQ896"/>
    </row>
    <row r="897" spans="1:147" x14ac:dyDescent="0.25">
      <c r="A897" s="59"/>
      <c r="B897" s="4"/>
      <c r="C897" s="5"/>
      <c r="D897" s="5"/>
      <c r="E897" s="6"/>
      <c r="F897" s="6"/>
      <c r="G897" s="5"/>
      <c r="H897" s="99"/>
      <c r="I897" s="36"/>
      <c r="J897" s="7"/>
      <c r="K897" s="7"/>
      <c r="L897" s="7"/>
      <c r="M897" s="74"/>
      <c r="N897" s="74"/>
      <c r="O897" s="7"/>
      <c r="P897" s="74"/>
      <c r="Q897" s="74"/>
      <c r="R897" s="74"/>
      <c r="S897" s="74"/>
      <c r="T897" s="7"/>
      <c r="U897" s="7"/>
      <c r="V897" s="74"/>
      <c r="W897" s="74"/>
      <c r="X897" s="74"/>
      <c r="Y897" s="229"/>
      <c r="Z897" s="228"/>
      <c r="AA897" s="74"/>
      <c r="AB897" s="74"/>
      <c r="AC897" s="74"/>
      <c r="AD897" s="74"/>
      <c r="AE897" s="7"/>
      <c r="AF897" s="74"/>
      <c r="AG897" s="74"/>
      <c r="AH897" s="7"/>
      <c r="AI897" s="7"/>
      <c r="AJ897" s="7"/>
      <c r="AK897" s="7"/>
      <c r="AL897" s="7"/>
      <c r="AM897" s="7"/>
      <c r="AN897" s="7"/>
      <c r="AO897" s="74"/>
      <c r="AP897" s="7"/>
      <c r="AQ897" s="74"/>
      <c r="AR897" s="101"/>
      <c r="AS897" s="7"/>
      <c r="AT897" s="101"/>
      <c r="AU897" s="7"/>
      <c r="AV897" s="101"/>
      <c r="AW897" s="7"/>
      <c r="AX897" s="183"/>
      <c r="AY897" s="107"/>
      <c r="AZ897" s="74"/>
      <c r="BA897" s="74"/>
      <c r="BB897" s="74"/>
      <c r="BC897" s="74"/>
      <c r="BD897" s="74"/>
      <c r="BE897" s="74"/>
      <c r="BF897" s="74"/>
      <c r="BG897" s="74"/>
      <c r="BH897" s="74"/>
      <c r="BI897" s="74"/>
      <c r="BJ897" s="74"/>
      <c r="BK897" s="7"/>
      <c r="BL897" s="74"/>
      <c r="BM897" s="7"/>
      <c r="BN897" s="74"/>
      <c r="BO897" s="74"/>
      <c r="BP897" s="74"/>
      <c r="BQ897" s="74"/>
      <c r="BR897" s="74"/>
      <c r="BS897" s="74"/>
      <c r="BT897" s="74"/>
      <c r="BU897" s="74"/>
      <c r="BV897" s="74"/>
      <c r="BW897" s="74"/>
      <c r="BX897" s="74"/>
      <c r="BY897" s="74"/>
      <c r="BZ897" s="74"/>
      <c r="CA897" s="74"/>
      <c r="CB897" s="74"/>
      <c r="CC897" s="74"/>
      <c r="CD897" s="74"/>
      <c r="CE897" s="7"/>
      <c r="CF897" s="74"/>
      <c r="CG897" s="74"/>
      <c r="CH897" s="7"/>
      <c r="CI897" s="74"/>
      <c r="CJ897" s="74"/>
      <c r="CK897" s="101"/>
      <c r="CL897" s="74"/>
      <c r="CM897" s="74"/>
      <c r="CN897" s="74"/>
      <c r="CO897" s="101"/>
      <c r="CP897" s="74"/>
      <c r="CQ897" s="74"/>
      <c r="CR897" s="74"/>
      <c r="CS897" s="74"/>
      <c r="CT897" s="74"/>
      <c r="CU897" s="74"/>
      <c r="CV897" s="74"/>
      <c r="CW897" s="74"/>
      <c r="CX897" s="74"/>
      <c r="CY897" s="74"/>
      <c r="CZ897" s="74"/>
      <c r="DA897" s="74"/>
      <c r="DB897" s="74"/>
      <c r="DC897" s="74"/>
      <c r="DD897" s="74"/>
      <c r="DE897" s="74"/>
      <c r="DF897" s="74"/>
      <c r="DG897" s="74"/>
      <c r="DH897" s="74"/>
      <c r="DI897" s="74"/>
      <c r="DJ897" s="74"/>
      <c r="DK897" s="74"/>
      <c r="DL897" s="74"/>
      <c r="DM897" s="74"/>
      <c r="DN897" s="74"/>
      <c r="DO897" s="74"/>
      <c r="DP897" s="74"/>
      <c r="DQ897" s="74"/>
      <c r="DR897" s="74"/>
      <c r="DS897" s="74"/>
      <c r="DT897" s="74"/>
      <c r="DU897" s="74"/>
      <c r="DV897" s="74"/>
      <c r="DW897" s="74"/>
      <c r="DX897" s="74"/>
      <c r="DY897" s="74"/>
      <c r="DZ897" s="8">
        <f t="shared" si="222"/>
        <v>0</v>
      </c>
      <c r="EA897" s="3">
        <f t="shared" si="223"/>
        <v>0</v>
      </c>
      <c r="EB897" s="2">
        <f t="shared" si="224"/>
        <v>0</v>
      </c>
      <c r="EC897" s="112">
        <f t="shared" si="232"/>
        <v>0</v>
      </c>
      <c r="ED897" s="29">
        <f t="shared" si="225"/>
        <v>0</v>
      </c>
      <c r="EE897" s="2">
        <f t="shared" si="226"/>
        <v>0</v>
      </c>
      <c r="EF897" s="46">
        <f t="shared" si="227"/>
        <v>0</v>
      </c>
      <c r="EG897" s="46">
        <f t="shared" si="228"/>
        <v>0</v>
      </c>
      <c r="EH897" s="2">
        <f t="shared" si="229"/>
        <v>0</v>
      </c>
      <c r="EI897" s="29">
        <f>IF(COUNT(I897:AD897)&lt;5,DZ897,SUMPRODUCT(LARGE(I897:AD897,{1,2,3,4,5}))/5)</f>
        <v>0</v>
      </c>
      <c r="EJ897" s="29">
        <f>IF(COUNT(I897:BE897)&lt;5,DZ897,SUMPRODUCT(LARGE(I897:BE897,{1,2,3,4,5}))/5)</f>
        <v>0</v>
      </c>
      <c r="EK897" s="29">
        <f t="shared" si="231"/>
        <v>0</v>
      </c>
      <c r="EL897" s="29">
        <f>(EK897*100)/101.28</f>
        <v>0</v>
      </c>
      <c r="EM897" s="116">
        <f t="shared" si="230"/>
        <v>0</v>
      </c>
      <c r="EQ897"/>
    </row>
    <row r="898" spans="1:147" x14ac:dyDescent="0.25">
      <c r="A898" s="59"/>
      <c r="B898" s="4"/>
      <c r="C898" s="5"/>
      <c r="D898" s="5"/>
      <c r="E898" s="6"/>
      <c r="F898" s="6"/>
      <c r="G898" s="5"/>
      <c r="H898" s="37"/>
      <c r="I898" s="36"/>
      <c r="J898" s="7"/>
      <c r="K898" s="7"/>
      <c r="L898" s="7"/>
      <c r="M898" s="74"/>
      <c r="N898" s="74"/>
      <c r="O898" s="7"/>
      <c r="P898" s="74"/>
      <c r="Q898" s="7"/>
      <c r="R898" s="74"/>
      <c r="S898" s="74"/>
      <c r="T898" s="7"/>
      <c r="U898" s="7"/>
      <c r="V898" s="74"/>
      <c r="W898" s="74"/>
      <c r="X898" s="74"/>
      <c r="Y898" s="229"/>
      <c r="Z898" s="228"/>
      <c r="AA898" s="74"/>
      <c r="AB898" s="74"/>
      <c r="AC898" s="74"/>
      <c r="AD898" s="74"/>
      <c r="AE898" s="7"/>
      <c r="AF898" s="74"/>
      <c r="AG898" s="74"/>
      <c r="AH898" s="7"/>
      <c r="AI898" s="7"/>
      <c r="AJ898" s="7"/>
      <c r="AK898" s="7"/>
      <c r="AL898" s="7"/>
      <c r="AM898" s="7"/>
      <c r="AN898" s="7"/>
      <c r="AO898" s="74"/>
      <c r="AP898" s="7"/>
      <c r="AQ898" s="74"/>
      <c r="AR898" s="101"/>
      <c r="AS898" s="7"/>
      <c r="AT898" s="101"/>
      <c r="AU898" s="7"/>
      <c r="AV898" s="101"/>
      <c r="AW898" s="7"/>
      <c r="AX898" s="183"/>
      <c r="AY898" s="107"/>
      <c r="AZ898" s="74"/>
      <c r="BA898" s="74"/>
      <c r="BB898" s="74"/>
      <c r="BC898" s="74"/>
      <c r="BD898" s="74"/>
      <c r="BE898" s="74"/>
      <c r="BF898" s="74"/>
      <c r="BG898" s="74"/>
      <c r="BH898" s="74"/>
      <c r="BI898" s="74"/>
      <c r="BJ898" s="74"/>
      <c r="BK898" s="7"/>
      <c r="BL898" s="74"/>
      <c r="BM898" s="7"/>
      <c r="BN898" s="74"/>
      <c r="BO898" s="74"/>
      <c r="BP898" s="74"/>
      <c r="BQ898" s="74"/>
      <c r="BR898" s="74"/>
      <c r="BS898" s="74"/>
      <c r="BT898" s="74"/>
      <c r="BU898" s="74"/>
      <c r="BV898" s="74"/>
      <c r="BW898" s="74"/>
      <c r="BX898" s="74"/>
      <c r="BY898" s="74"/>
      <c r="BZ898" s="74"/>
      <c r="CA898" s="74"/>
      <c r="CB898" s="74"/>
      <c r="CC898" s="74"/>
      <c r="CD898" s="74"/>
      <c r="CE898" s="7"/>
      <c r="CF898" s="74"/>
      <c r="CG898" s="74"/>
      <c r="CH898" s="7"/>
      <c r="CI898" s="74"/>
      <c r="CJ898" s="74"/>
      <c r="CK898" s="101"/>
      <c r="CL898" s="74"/>
      <c r="CM898" s="74"/>
      <c r="CN898" s="74"/>
      <c r="CO898" s="101"/>
      <c r="CP898" s="74"/>
      <c r="CQ898" s="74"/>
      <c r="CR898" s="74"/>
      <c r="CS898" s="74"/>
      <c r="CT898" s="74"/>
      <c r="CU898" s="74"/>
      <c r="CV898" s="74"/>
      <c r="CW898" s="74"/>
      <c r="CX898" s="74"/>
      <c r="CY898" s="74"/>
      <c r="CZ898" s="74"/>
      <c r="DA898" s="74"/>
      <c r="DB898" s="74"/>
      <c r="DC898" s="74"/>
      <c r="DD898" s="74"/>
      <c r="DE898" s="74"/>
      <c r="DF898" s="74"/>
      <c r="DG898" s="74"/>
      <c r="DH898" s="74"/>
      <c r="DI898" s="74"/>
      <c r="DJ898" s="74"/>
      <c r="DK898" s="74"/>
      <c r="DL898" s="74"/>
      <c r="DM898" s="74"/>
      <c r="DN898" s="74"/>
      <c r="DO898" s="74"/>
      <c r="DP898" s="74"/>
      <c r="DQ898" s="74"/>
      <c r="DR898" s="74"/>
      <c r="DS898" s="74"/>
      <c r="DT898" s="74"/>
      <c r="DU898" s="74"/>
      <c r="DV898" s="74"/>
      <c r="DW898" s="74"/>
      <c r="DX898" s="74"/>
      <c r="DY898" s="74"/>
      <c r="DZ898" s="8">
        <f t="shared" si="222"/>
        <v>0</v>
      </c>
      <c r="EA898" s="3">
        <f t="shared" si="223"/>
        <v>0</v>
      </c>
      <c r="EB898" s="2">
        <f t="shared" si="224"/>
        <v>0</v>
      </c>
      <c r="EC898" s="112">
        <f t="shared" si="232"/>
        <v>0</v>
      </c>
      <c r="ED898" s="29">
        <f t="shared" si="225"/>
        <v>0</v>
      </c>
      <c r="EE898" s="2">
        <f t="shared" si="226"/>
        <v>0</v>
      </c>
      <c r="EF898" s="46">
        <f t="shared" si="227"/>
        <v>0</v>
      </c>
      <c r="EG898" s="46">
        <f t="shared" si="228"/>
        <v>0</v>
      </c>
      <c r="EH898" s="2">
        <f t="shared" si="229"/>
        <v>0</v>
      </c>
      <c r="EI898" s="29">
        <f>IF(COUNT(I898:AD898)&lt;5,DZ898,SUMPRODUCT(LARGE(I898:AD898,{1,2,3,4,5}))/5)</f>
        <v>0</v>
      </c>
      <c r="EJ898" s="29">
        <f>IF(COUNT(I898:BE898)&lt;5,DZ898,SUMPRODUCT(LARGE(I898:BE898,{1,2,3,4,5}))/5)</f>
        <v>0</v>
      </c>
      <c r="EK898" s="29">
        <f t="shared" si="231"/>
        <v>0</v>
      </c>
      <c r="EL898" s="29">
        <f>(EK898*100)/101.28</f>
        <v>0</v>
      </c>
      <c r="EM898" s="116">
        <f t="shared" si="230"/>
        <v>0</v>
      </c>
      <c r="EQ898"/>
    </row>
    <row r="899" spans="1:147" x14ac:dyDescent="0.25">
      <c r="A899" s="59"/>
      <c r="B899" s="32"/>
      <c r="C899" s="5"/>
      <c r="D899" s="6"/>
      <c r="E899" s="6"/>
      <c r="F899" s="6"/>
      <c r="G899" s="5"/>
      <c r="H899" s="37"/>
      <c r="I899" s="36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227"/>
      <c r="Z899" s="228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4"/>
      <c r="AP899" s="7"/>
      <c r="AQ899" s="74"/>
      <c r="AR899" s="70"/>
      <c r="AS899" s="7"/>
      <c r="AT899" s="70"/>
      <c r="AU899" s="7"/>
      <c r="AV899" s="70"/>
      <c r="AW899" s="7"/>
      <c r="AX899" s="183"/>
      <c r="AY899" s="10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101"/>
      <c r="CL899" s="74"/>
      <c r="CM899" s="74"/>
      <c r="CN899" s="74"/>
      <c r="CO899" s="70"/>
      <c r="CP899" s="74"/>
      <c r="CQ899" s="7"/>
      <c r="CR899" s="74"/>
      <c r="CS899" s="74"/>
      <c r="CT899" s="74"/>
      <c r="CU899" s="74"/>
      <c r="CV899" s="74"/>
      <c r="CW899" s="7"/>
      <c r="CX899" s="7"/>
      <c r="CY899" s="7"/>
      <c r="CZ899" s="74"/>
      <c r="DA899" s="7"/>
      <c r="DB899" s="7"/>
      <c r="DC899" s="7"/>
      <c r="DD899" s="7"/>
      <c r="DE899" s="74"/>
      <c r="DF899" s="74"/>
      <c r="DG899" s="74"/>
      <c r="DH899" s="74"/>
      <c r="DI899" s="74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4"/>
      <c r="DU899" s="7"/>
      <c r="DV899" s="7"/>
      <c r="DW899" s="7"/>
      <c r="DX899" s="7"/>
      <c r="DY899" s="7"/>
      <c r="DZ899" s="8">
        <f t="shared" si="222"/>
        <v>0</v>
      </c>
      <c r="EA899" s="3">
        <f t="shared" si="223"/>
        <v>0</v>
      </c>
      <c r="EB899" s="2">
        <f t="shared" si="224"/>
        <v>0</v>
      </c>
      <c r="EC899" s="112">
        <f t="shared" si="232"/>
        <v>0</v>
      </c>
      <c r="ED899" s="29">
        <f t="shared" si="225"/>
        <v>0</v>
      </c>
      <c r="EE899" s="2">
        <f t="shared" si="226"/>
        <v>0</v>
      </c>
      <c r="EF899" s="46">
        <f t="shared" si="227"/>
        <v>0</v>
      </c>
      <c r="EG899" s="46">
        <f t="shared" si="228"/>
        <v>0</v>
      </c>
      <c r="EH899" s="2">
        <f t="shared" si="229"/>
        <v>0</v>
      </c>
      <c r="EI899" s="29">
        <f>IF(COUNT(I899:AD899)&lt;5,DZ899,SUMPRODUCT(LARGE(I899:AD899,{1,2,3,4,5}))/5)</f>
        <v>0</v>
      </c>
      <c r="EJ899" s="29">
        <f>IF(COUNT(I899:BE899)&lt;5,DZ899,SUMPRODUCT(LARGE(I899:BE899,{1,2,3,4,5}))/5)</f>
        <v>0</v>
      </c>
      <c r="EK899" s="29">
        <f t="shared" si="231"/>
        <v>0</v>
      </c>
      <c r="EL899" s="29">
        <f>(EK899*100)/101.59</f>
        <v>0</v>
      </c>
      <c r="EM899" s="116">
        <f t="shared" si="230"/>
        <v>0</v>
      </c>
      <c r="EQ899"/>
    </row>
    <row r="900" spans="1:147" x14ac:dyDescent="0.25">
      <c r="A900" s="59"/>
      <c r="B900" s="4"/>
      <c r="C900" s="5"/>
      <c r="D900" s="5"/>
      <c r="E900" s="6"/>
      <c r="F900" s="6"/>
      <c r="G900" s="5"/>
      <c r="H900" s="99"/>
      <c r="I900" s="107"/>
      <c r="J900" s="7"/>
      <c r="K900" s="74"/>
      <c r="L900" s="7"/>
      <c r="M900" s="74"/>
      <c r="N900" s="74"/>
      <c r="O900" s="7"/>
      <c r="P900" s="74"/>
      <c r="Q900" s="7"/>
      <c r="R900" s="74"/>
      <c r="S900" s="74"/>
      <c r="T900" s="7"/>
      <c r="U900" s="7"/>
      <c r="V900" s="74"/>
      <c r="W900" s="7"/>
      <c r="X900" s="74"/>
      <c r="Y900" s="227"/>
      <c r="Z900" s="228"/>
      <c r="AA900" s="74"/>
      <c r="AB900" s="74"/>
      <c r="AC900" s="74"/>
      <c r="AD900" s="74"/>
      <c r="AE900" s="7"/>
      <c r="AF900" s="74"/>
      <c r="AG900" s="74"/>
      <c r="AH900" s="7"/>
      <c r="AI900" s="7"/>
      <c r="AJ900" s="7"/>
      <c r="AK900" s="7"/>
      <c r="AL900" s="7"/>
      <c r="AM900" s="7"/>
      <c r="AN900" s="7"/>
      <c r="AO900" s="74"/>
      <c r="AP900" s="7"/>
      <c r="AQ900" s="74"/>
      <c r="AR900" s="101"/>
      <c r="AS900" s="7"/>
      <c r="AT900" s="101"/>
      <c r="AU900" s="7"/>
      <c r="AV900" s="101"/>
      <c r="AW900" s="7"/>
      <c r="AX900" s="183"/>
      <c r="AY900" s="107"/>
      <c r="AZ900" s="74"/>
      <c r="BA900" s="74"/>
      <c r="BB900" s="74"/>
      <c r="BC900" s="74"/>
      <c r="BD900" s="74"/>
      <c r="BE900" s="74"/>
      <c r="BF900" s="74"/>
      <c r="BG900" s="74"/>
      <c r="BH900" s="74"/>
      <c r="BI900" s="74"/>
      <c r="BJ900" s="74"/>
      <c r="BK900" s="7"/>
      <c r="BL900" s="74"/>
      <c r="BM900" s="7"/>
      <c r="BN900" s="74"/>
      <c r="BO900" s="74"/>
      <c r="BP900" s="74"/>
      <c r="BQ900" s="74"/>
      <c r="BR900" s="74"/>
      <c r="BS900" s="74"/>
      <c r="BT900" s="74"/>
      <c r="BU900" s="74"/>
      <c r="BV900" s="74"/>
      <c r="BW900" s="74"/>
      <c r="BX900" s="74"/>
      <c r="BY900" s="74"/>
      <c r="BZ900" s="74"/>
      <c r="CA900" s="74"/>
      <c r="CB900" s="74"/>
      <c r="CC900" s="74"/>
      <c r="CD900" s="74"/>
      <c r="CE900" s="7"/>
      <c r="CF900" s="74"/>
      <c r="CG900" s="74"/>
      <c r="CH900" s="7"/>
      <c r="CI900" s="74"/>
      <c r="CJ900" s="74"/>
      <c r="CK900" s="101"/>
      <c r="CL900" s="74"/>
      <c r="CM900" s="74"/>
      <c r="CN900" s="74"/>
      <c r="CO900" s="101"/>
      <c r="CP900" s="74"/>
      <c r="CQ900" s="74"/>
      <c r="CR900" s="74"/>
      <c r="CS900" s="74"/>
      <c r="CT900" s="74"/>
      <c r="CU900" s="74"/>
      <c r="CV900" s="74"/>
      <c r="CW900" s="74"/>
      <c r="CX900" s="74"/>
      <c r="CY900" s="74"/>
      <c r="CZ900" s="74"/>
      <c r="DA900" s="74"/>
      <c r="DB900" s="74"/>
      <c r="DC900" s="74"/>
      <c r="DD900" s="74"/>
      <c r="DE900" s="74"/>
      <c r="DF900" s="74"/>
      <c r="DG900" s="74"/>
      <c r="DH900" s="74"/>
      <c r="DI900" s="74"/>
      <c r="DJ900" s="74"/>
      <c r="DK900" s="74"/>
      <c r="DL900" s="74"/>
      <c r="DM900" s="74"/>
      <c r="DN900" s="74"/>
      <c r="DO900" s="74"/>
      <c r="DP900" s="74"/>
      <c r="DQ900" s="74"/>
      <c r="DR900" s="74"/>
      <c r="DS900" s="74"/>
      <c r="DT900" s="74"/>
      <c r="DU900" s="74"/>
      <c r="DV900" s="74"/>
      <c r="DW900" s="74"/>
      <c r="DX900" s="74"/>
      <c r="DY900" s="74"/>
      <c r="DZ900" s="8">
        <f t="shared" si="222"/>
        <v>0</v>
      </c>
      <c r="EA900" s="3">
        <f t="shared" si="223"/>
        <v>0</v>
      </c>
      <c r="EB900" s="2">
        <f t="shared" si="224"/>
        <v>0</v>
      </c>
      <c r="EC900" s="112">
        <f t="shared" si="232"/>
        <v>0</v>
      </c>
      <c r="ED900" s="29">
        <f t="shared" si="225"/>
        <v>0</v>
      </c>
      <c r="EE900" s="2">
        <f t="shared" si="226"/>
        <v>0</v>
      </c>
      <c r="EF900" s="46">
        <f t="shared" si="227"/>
        <v>0</v>
      </c>
      <c r="EG900" s="46">
        <f t="shared" si="228"/>
        <v>0</v>
      </c>
      <c r="EH900" s="29">
        <f t="shared" si="229"/>
        <v>0</v>
      </c>
      <c r="EI900" s="29">
        <f>IF(COUNT(I900:AD900)&lt;5,DZ900,SUMPRODUCT(LARGE(I900:AD900,{1,2,3,4,5}))/5)</f>
        <v>0</v>
      </c>
      <c r="EJ900" s="29">
        <f>IF(COUNT(I900:BE900)&lt;5,DZ900,SUMPRODUCT(LARGE(I900:BE900,{1,2,3,4,5}))/5)</f>
        <v>0</v>
      </c>
      <c r="EK900" s="29">
        <f t="shared" si="231"/>
        <v>0</v>
      </c>
      <c r="EL900" s="29">
        <f>(EK900*100)/101.28</f>
        <v>0</v>
      </c>
      <c r="EM900" s="116">
        <f t="shared" si="230"/>
        <v>0</v>
      </c>
      <c r="EQ900"/>
    </row>
    <row r="901" spans="1:147" x14ac:dyDescent="0.25">
      <c r="A901" s="59"/>
      <c r="B901" s="32"/>
      <c r="C901" s="5"/>
      <c r="D901" s="6"/>
      <c r="E901" s="6"/>
      <c r="F901" s="6"/>
      <c r="G901" s="5"/>
      <c r="H901" s="37"/>
      <c r="I901" s="36"/>
      <c r="J901" s="7"/>
      <c r="K901" s="7"/>
      <c r="L901" s="7"/>
      <c r="M901" s="74"/>
      <c r="N901" s="74"/>
      <c r="O901" s="7"/>
      <c r="P901" s="74"/>
      <c r="Q901" s="7"/>
      <c r="R901" s="74"/>
      <c r="S901" s="74"/>
      <c r="T901" s="7"/>
      <c r="U901" s="7"/>
      <c r="V901" s="74"/>
      <c r="W901" s="74"/>
      <c r="X901" s="74"/>
      <c r="Y901" s="229"/>
      <c r="Z901" s="228"/>
      <c r="AA901" s="74"/>
      <c r="AB901" s="74"/>
      <c r="AC901" s="74"/>
      <c r="AD901" s="74"/>
      <c r="AE901" s="7"/>
      <c r="AF901" s="74"/>
      <c r="AG901" s="74"/>
      <c r="AH901" s="7"/>
      <c r="AI901" s="7"/>
      <c r="AJ901" s="7"/>
      <c r="AK901" s="7"/>
      <c r="AL901" s="7"/>
      <c r="AM901" s="7"/>
      <c r="AN901" s="7"/>
      <c r="AO901" s="74"/>
      <c r="AP901" s="7"/>
      <c r="AQ901" s="74"/>
      <c r="AR901" s="101"/>
      <c r="AS901" s="7"/>
      <c r="AT901" s="101"/>
      <c r="AU901" s="7"/>
      <c r="AV901" s="101"/>
      <c r="AW901" s="7"/>
      <c r="AX901" s="183"/>
      <c r="AY901" s="107"/>
      <c r="AZ901" s="74"/>
      <c r="BA901" s="74"/>
      <c r="BB901" s="74"/>
      <c r="BC901" s="74"/>
      <c r="BD901" s="74"/>
      <c r="BE901" s="74"/>
      <c r="BF901" s="74"/>
      <c r="BG901" s="74"/>
      <c r="BH901" s="74"/>
      <c r="BI901" s="74"/>
      <c r="BJ901" s="74"/>
      <c r="BK901" s="7"/>
      <c r="BL901" s="74"/>
      <c r="BM901" s="7"/>
      <c r="BN901" s="74"/>
      <c r="BO901" s="74"/>
      <c r="BP901" s="74"/>
      <c r="BQ901" s="74"/>
      <c r="BR901" s="74"/>
      <c r="BS901" s="74"/>
      <c r="BT901" s="74"/>
      <c r="BU901" s="74"/>
      <c r="BV901" s="74"/>
      <c r="BW901" s="74"/>
      <c r="BX901" s="74"/>
      <c r="BY901" s="74"/>
      <c r="BZ901" s="74"/>
      <c r="CA901" s="74"/>
      <c r="CB901" s="74"/>
      <c r="CC901" s="74"/>
      <c r="CD901" s="74"/>
      <c r="CE901" s="7"/>
      <c r="CF901" s="74"/>
      <c r="CG901" s="74"/>
      <c r="CH901" s="7"/>
      <c r="CI901" s="74"/>
      <c r="CJ901" s="74"/>
      <c r="CK901" s="101"/>
      <c r="CL901" s="74"/>
      <c r="CM901" s="74"/>
      <c r="CN901" s="74"/>
      <c r="CO901" s="101"/>
      <c r="CP901" s="74"/>
      <c r="CQ901" s="74"/>
      <c r="CR901" s="74"/>
      <c r="CS901" s="74"/>
      <c r="CT901" s="74"/>
      <c r="CU901" s="74"/>
      <c r="CV901" s="74"/>
      <c r="CW901" s="74"/>
      <c r="CX901" s="74"/>
      <c r="CY901" s="74"/>
      <c r="CZ901" s="74"/>
      <c r="DA901" s="74"/>
      <c r="DB901" s="74"/>
      <c r="DC901" s="74"/>
      <c r="DD901" s="74"/>
      <c r="DE901" s="74"/>
      <c r="DF901" s="74"/>
      <c r="DG901" s="74"/>
      <c r="DH901" s="74"/>
      <c r="DI901" s="74"/>
      <c r="DJ901" s="74"/>
      <c r="DK901" s="74"/>
      <c r="DL901" s="74"/>
      <c r="DM901" s="74"/>
      <c r="DN901" s="74"/>
      <c r="DO901" s="74"/>
      <c r="DP901" s="74"/>
      <c r="DQ901" s="74"/>
      <c r="DR901" s="74"/>
      <c r="DS901" s="74"/>
      <c r="DT901" s="74"/>
      <c r="DU901" s="74"/>
      <c r="DV901" s="74"/>
      <c r="DW901" s="74"/>
      <c r="DX901" s="74"/>
      <c r="DY901" s="74"/>
      <c r="DZ901" s="8">
        <f t="shared" ref="DZ901:DZ964" si="236">IF(EB901&gt;0,AVERAGE(I901:DY901),H901)</f>
        <v>0</v>
      </c>
      <c r="EA901" s="3">
        <f t="shared" ref="EA901:EA964" si="237">B901</f>
        <v>0</v>
      </c>
      <c r="EB901" s="2">
        <f t="shared" ref="EB901:EB964" si="238">IF(G901&gt;0,1,0)</f>
        <v>0</v>
      </c>
      <c r="EC901" s="112">
        <f t="shared" si="232"/>
        <v>0</v>
      </c>
      <c r="ED901" s="29">
        <f t="shared" ref="ED901:ED964" si="239">EL901</f>
        <v>0</v>
      </c>
      <c r="EE901" s="2">
        <f t="shared" ref="EE901:EE964" si="240">COUNT(I901:AH901)</f>
        <v>0</v>
      </c>
      <c r="EF901" s="46">
        <f t="shared" ref="EF901:EF964" si="241">COUNT(I901:BQ901)</f>
        <v>0</v>
      </c>
      <c r="EG901" s="46">
        <f t="shared" ref="EG901:EG964" si="242">COUNT(I901:DY901)</f>
        <v>0</v>
      </c>
      <c r="EH901" s="2">
        <f t="shared" ref="EH901:EH964" si="243">D901</f>
        <v>0</v>
      </c>
      <c r="EI901" s="29">
        <f>IF(COUNT(I901:AD901)&lt;5,DZ901,SUMPRODUCT(LARGE(I901:AD901,{1,2,3,4,5}))/5)</f>
        <v>0</v>
      </c>
      <c r="EJ901" s="29">
        <f>IF(COUNT(I901:BE901)&lt;5,DZ901,SUMPRODUCT(LARGE(I901:BE901,{1,2,3,4,5}))/5)</f>
        <v>0</v>
      </c>
      <c r="EK901" s="29">
        <f t="shared" si="231"/>
        <v>0</v>
      </c>
      <c r="EL901" s="29">
        <f>(EK901*100)/101.28</f>
        <v>0</v>
      </c>
      <c r="EM901" s="116">
        <f t="shared" ref="EM901:EM964" si="244">B901</f>
        <v>0</v>
      </c>
      <c r="EQ901"/>
    </row>
    <row r="902" spans="1:147" x14ac:dyDescent="0.25">
      <c r="A902" s="59"/>
      <c r="B902" s="32"/>
      <c r="C902" s="5"/>
      <c r="D902" s="6"/>
      <c r="E902" s="6"/>
      <c r="F902" s="6"/>
      <c r="G902" s="5"/>
      <c r="H902" s="37"/>
      <c r="I902" s="36"/>
      <c r="J902" s="7"/>
      <c r="K902" s="7"/>
      <c r="L902" s="7"/>
      <c r="M902" s="74"/>
      <c r="N902" s="74"/>
      <c r="O902" s="7"/>
      <c r="P902" s="74"/>
      <c r="Q902" s="7"/>
      <c r="R902" s="74"/>
      <c r="S902" s="74"/>
      <c r="T902" s="7"/>
      <c r="U902" s="7"/>
      <c r="V902" s="74"/>
      <c r="W902" s="74"/>
      <c r="X902" s="74"/>
      <c r="Y902" s="229"/>
      <c r="Z902" s="228"/>
      <c r="AA902" s="74"/>
      <c r="AB902" s="74"/>
      <c r="AC902" s="74"/>
      <c r="AD902" s="74"/>
      <c r="AE902" s="7"/>
      <c r="AF902" s="74"/>
      <c r="AG902" s="74"/>
      <c r="AH902" s="7"/>
      <c r="AI902" s="7"/>
      <c r="AJ902" s="7"/>
      <c r="AK902" s="7"/>
      <c r="AL902" s="7"/>
      <c r="AM902" s="7"/>
      <c r="AN902" s="7"/>
      <c r="AO902" s="74"/>
      <c r="AP902" s="7"/>
      <c r="AQ902" s="74"/>
      <c r="AR902" s="101"/>
      <c r="AS902" s="7"/>
      <c r="AT902" s="101"/>
      <c r="AU902" s="7"/>
      <c r="AV902" s="101"/>
      <c r="AW902" s="7"/>
      <c r="AX902" s="8"/>
      <c r="AY902" s="36"/>
      <c r="AZ902" s="74"/>
      <c r="BA902" s="74"/>
      <c r="BB902" s="74"/>
      <c r="BC902" s="74"/>
      <c r="BD902" s="74"/>
      <c r="BE902" s="74"/>
      <c r="BF902" s="74"/>
      <c r="BG902" s="74"/>
      <c r="BH902" s="74"/>
      <c r="BI902" s="74"/>
      <c r="BJ902" s="74"/>
      <c r="BK902" s="7"/>
      <c r="BL902" s="74"/>
      <c r="BM902" s="7"/>
      <c r="BN902" s="74"/>
      <c r="BO902" s="74"/>
      <c r="BP902" s="74"/>
      <c r="BQ902" s="74"/>
      <c r="BR902" s="74"/>
      <c r="BS902" s="74"/>
      <c r="BT902" s="74"/>
      <c r="BU902" s="74"/>
      <c r="BV902" s="74"/>
      <c r="BW902" s="74"/>
      <c r="BX902" s="74"/>
      <c r="BY902" s="74"/>
      <c r="BZ902" s="74"/>
      <c r="CA902" s="74"/>
      <c r="CB902" s="74"/>
      <c r="CC902" s="74"/>
      <c r="CD902" s="74"/>
      <c r="CE902" s="7"/>
      <c r="CF902" s="74"/>
      <c r="CG902" s="74"/>
      <c r="CH902" s="7"/>
      <c r="CI902" s="74"/>
      <c r="CJ902" s="74"/>
      <c r="CK902" s="101"/>
      <c r="CL902" s="74"/>
      <c r="CM902" s="74"/>
      <c r="CN902" s="74"/>
      <c r="CO902" s="101"/>
      <c r="CP902" s="74"/>
      <c r="CQ902" s="74"/>
      <c r="CR902" s="74"/>
      <c r="CS902" s="74"/>
      <c r="CT902" s="74"/>
      <c r="CU902" s="74"/>
      <c r="CV902" s="74"/>
      <c r="CW902" s="74"/>
      <c r="CX902" s="74"/>
      <c r="CY902" s="74"/>
      <c r="CZ902" s="74"/>
      <c r="DA902" s="74"/>
      <c r="DB902" s="74"/>
      <c r="DC902" s="74"/>
      <c r="DD902" s="74"/>
      <c r="DE902" s="74"/>
      <c r="DF902" s="74"/>
      <c r="DG902" s="74"/>
      <c r="DH902" s="74"/>
      <c r="DI902" s="74"/>
      <c r="DJ902" s="74"/>
      <c r="DK902" s="74"/>
      <c r="DL902" s="74"/>
      <c r="DM902" s="74"/>
      <c r="DN902" s="74"/>
      <c r="DO902" s="74"/>
      <c r="DP902" s="74"/>
      <c r="DQ902" s="74"/>
      <c r="DR902" s="74"/>
      <c r="DS902" s="74"/>
      <c r="DT902" s="74"/>
      <c r="DU902" s="74"/>
      <c r="DV902" s="74"/>
      <c r="DW902" s="74"/>
      <c r="DX902" s="74"/>
      <c r="DY902" s="74"/>
      <c r="DZ902" s="8">
        <f t="shared" si="236"/>
        <v>0</v>
      </c>
      <c r="EA902" s="3">
        <f t="shared" si="237"/>
        <v>0</v>
      </c>
      <c r="EB902" s="2">
        <f t="shared" si="238"/>
        <v>0</v>
      </c>
      <c r="EC902" s="112">
        <f t="shared" si="232"/>
        <v>0</v>
      </c>
      <c r="ED902" s="29">
        <f t="shared" si="239"/>
        <v>0</v>
      </c>
      <c r="EE902" s="2">
        <f t="shared" si="240"/>
        <v>0</v>
      </c>
      <c r="EF902" s="46">
        <f t="shared" si="241"/>
        <v>0</v>
      </c>
      <c r="EG902" s="46">
        <f t="shared" si="242"/>
        <v>0</v>
      </c>
      <c r="EH902" s="2">
        <f t="shared" si="243"/>
        <v>0</v>
      </c>
      <c r="EI902" s="29">
        <f>IF(COUNT(I902:AD902)&lt;5,DZ902,SUMPRODUCT(LARGE(I902:AD902,{1,2,3,4,5}))/5)</f>
        <v>0</v>
      </c>
      <c r="EJ902" s="29">
        <f>IF(COUNT(I902:BE902)&lt;5,DZ902,SUMPRODUCT(LARGE(I902:BE902,{1,2,3,4,5}))/5)</f>
        <v>0</v>
      </c>
      <c r="EK902" s="29">
        <f t="shared" ref="EK902:EK965" si="245">IF(EG902&lt;0,AVERAGE(I902:DY902),0)</f>
        <v>0</v>
      </c>
      <c r="EL902" s="29">
        <f>(EK902*100)/101.28</f>
        <v>0</v>
      </c>
      <c r="EM902" s="116">
        <f t="shared" si="244"/>
        <v>0</v>
      </c>
      <c r="EQ902"/>
    </row>
    <row r="903" spans="1:147" x14ac:dyDescent="0.25">
      <c r="A903" s="59"/>
      <c r="B903" s="4"/>
      <c r="C903" s="5"/>
      <c r="D903" s="6"/>
      <c r="E903" s="6"/>
      <c r="F903" s="6"/>
      <c r="G903" s="5"/>
      <c r="H903" s="37"/>
      <c r="I903" s="36"/>
      <c r="J903" s="7"/>
      <c r="K903" s="7"/>
      <c r="L903" s="7"/>
      <c r="M903" s="74"/>
      <c r="N903" s="74"/>
      <c r="O903" s="7"/>
      <c r="P903" s="74"/>
      <c r="Q903" s="7"/>
      <c r="R903" s="74"/>
      <c r="S903" s="74"/>
      <c r="T903" s="7"/>
      <c r="U903" s="7"/>
      <c r="V903" s="74"/>
      <c r="W903" s="74"/>
      <c r="X903" s="74"/>
      <c r="Y903" s="229"/>
      <c r="Z903" s="228"/>
      <c r="AA903" s="74"/>
      <c r="AB903" s="74"/>
      <c r="AC903" s="74"/>
      <c r="AD903" s="74"/>
      <c r="AE903" s="7"/>
      <c r="AF903" s="74"/>
      <c r="AG903" s="74"/>
      <c r="AH903" s="7"/>
      <c r="AI903" s="7"/>
      <c r="AJ903" s="7"/>
      <c r="AK903" s="7"/>
      <c r="AL903" s="7"/>
      <c r="AM903" s="7"/>
      <c r="AN903" s="7"/>
      <c r="AO903" s="74"/>
      <c r="AP903" s="7"/>
      <c r="AQ903" s="74"/>
      <c r="AR903" s="101"/>
      <c r="AS903" s="7"/>
      <c r="AT903" s="101"/>
      <c r="AU903" s="7"/>
      <c r="AV903" s="101"/>
      <c r="AW903" s="7"/>
      <c r="AX903" s="183"/>
      <c r="AY903" s="107"/>
      <c r="AZ903" s="74"/>
      <c r="BA903" s="74"/>
      <c r="BB903" s="74"/>
      <c r="BC903" s="74"/>
      <c r="BD903" s="74"/>
      <c r="BE903" s="74"/>
      <c r="BF903" s="74"/>
      <c r="BG903" s="74"/>
      <c r="BH903" s="74"/>
      <c r="BI903" s="74"/>
      <c r="BJ903" s="74"/>
      <c r="BK903" s="7"/>
      <c r="BL903" s="74"/>
      <c r="BM903" s="7"/>
      <c r="BN903" s="74"/>
      <c r="BO903" s="74"/>
      <c r="BP903" s="74"/>
      <c r="BQ903" s="74"/>
      <c r="BR903" s="74"/>
      <c r="BS903" s="74"/>
      <c r="BT903" s="74"/>
      <c r="BU903" s="74"/>
      <c r="BV903" s="74"/>
      <c r="BW903" s="74"/>
      <c r="BX903" s="74"/>
      <c r="BY903" s="74"/>
      <c r="BZ903" s="74"/>
      <c r="CA903" s="74"/>
      <c r="CB903" s="74"/>
      <c r="CC903" s="74"/>
      <c r="CD903" s="74"/>
      <c r="CE903" s="7"/>
      <c r="CF903" s="74"/>
      <c r="CG903" s="74"/>
      <c r="CH903" s="7"/>
      <c r="CI903" s="74"/>
      <c r="CJ903" s="74"/>
      <c r="CK903" s="101"/>
      <c r="CL903" s="74"/>
      <c r="CM903" s="74"/>
      <c r="CN903" s="74"/>
      <c r="CO903" s="101"/>
      <c r="CP903" s="74"/>
      <c r="CQ903" s="74"/>
      <c r="CR903" s="74"/>
      <c r="CS903" s="74"/>
      <c r="CT903" s="74"/>
      <c r="CU903" s="74"/>
      <c r="CV903" s="74"/>
      <c r="CW903" s="74"/>
      <c r="CX903" s="74"/>
      <c r="CY903" s="74"/>
      <c r="CZ903" s="74"/>
      <c r="DA903" s="74"/>
      <c r="DB903" s="74"/>
      <c r="DC903" s="74"/>
      <c r="DD903" s="74"/>
      <c r="DE903" s="74"/>
      <c r="DF903" s="74"/>
      <c r="DG903" s="74"/>
      <c r="DH903" s="74"/>
      <c r="DI903" s="74"/>
      <c r="DJ903" s="74"/>
      <c r="DK903" s="74"/>
      <c r="DL903" s="74"/>
      <c r="DM903" s="74"/>
      <c r="DN903" s="74"/>
      <c r="DO903" s="74"/>
      <c r="DP903" s="74"/>
      <c r="DQ903" s="74"/>
      <c r="DR903" s="74"/>
      <c r="DS903" s="74"/>
      <c r="DT903" s="74"/>
      <c r="DU903" s="74"/>
      <c r="DV903" s="74"/>
      <c r="DW903" s="74"/>
      <c r="DX903" s="74"/>
      <c r="DY903" s="74"/>
      <c r="DZ903" s="8">
        <f t="shared" si="236"/>
        <v>0</v>
      </c>
      <c r="EA903" s="3">
        <f t="shared" si="237"/>
        <v>0</v>
      </c>
      <c r="EB903" s="2">
        <f t="shared" si="238"/>
        <v>0</v>
      </c>
      <c r="EC903" s="112">
        <f t="shared" si="232"/>
        <v>0</v>
      </c>
      <c r="ED903" s="29">
        <f t="shared" si="239"/>
        <v>0</v>
      </c>
      <c r="EE903" s="2">
        <f t="shared" si="240"/>
        <v>0</v>
      </c>
      <c r="EF903" s="46">
        <f t="shared" si="241"/>
        <v>0</v>
      </c>
      <c r="EG903" s="46">
        <f t="shared" si="242"/>
        <v>0</v>
      </c>
      <c r="EH903" s="2">
        <f t="shared" si="243"/>
        <v>0</v>
      </c>
      <c r="EI903" s="29">
        <f>IF(COUNT(I903:AD903)&lt;5,DZ903,SUMPRODUCT(LARGE(I903:AD903,{1,2,3,4,5}))/5)</f>
        <v>0</v>
      </c>
      <c r="EJ903" s="29">
        <f>IF(COUNT(I903:BE903)&lt;5,DZ903,SUMPRODUCT(LARGE(I903:BE903,{1,2,3,4,5}))/5)</f>
        <v>0</v>
      </c>
      <c r="EK903" s="29">
        <f t="shared" si="245"/>
        <v>0</v>
      </c>
      <c r="EL903" s="29">
        <f>(EK903*100)/101.28</f>
        <v>0</v>
      </c>
      <c r="EM903" s="116">
        <f t="shared" si="244"/>
        <v>0</v>
      </c>
      <c r="EQ903"/>
    </row>
    <row r="904" spans="1:147" x14ac:dyDescent="0.25">
      <c r="A904" s="59"/>
      <c r="B904" s="32"/>
      <c r="C904" s="5"/>
      <c r="D904" s="6"/>
      <c r="E904" s="6"/>
      <c r="F904" s="6"/>
      <c r="G904" s="5"/>
      <c r="H904" s="37"/>
      <c r="I904" s="36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227"/>
      <c r="Z904" s="228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4"/>
      <c r="AP904" s="7"/>
      <c r="AQ904" s="74"/>
      <c r="AR904" s="70"/>
      <c r="AS904" s="7"/>
      <c r="AT904" s="70"/>
      <c r="AU904" s="7"/>
      <c r="AV904" s="70"/>
      <c r="AW904" s="7"/>
      <c r="AX904" s="183"/>
      <c r="AY904" s="10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4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101"/>
      <c r="CL904" s="74"/>
      <c r="CM904" s="74"/>
      <c r="CN904" s="74"/>
      <c r="CO904" s="70"/>
      <c r="CP904" s="74"/>
      <c r="CQ904" s="7"/>
      <c r="CR904" s="74"/>
      <c r="CS904" s="74"/>
      <c r="CT904" s="74"/>
      <c r="CU904" s="74"/>
      <c r="CV904" s="7"/>
      <c r="CW904" s="7"/>
      <c r="CX904" s="7"/>
      <c r="CY904" s="7"/>
      <c r="CZ904" s="7"/>
      <c r="DA904" s="7"/>
      <c r="DB904" s="7"/>
      <c r="DC904" s="7"/>
      <c r="DD904" s="7"/>
      <c r="DE904" s="74"/>
      <c r="DF904" s="74"/>
      <c r="DG904" s="74"/>
      <c r="DH904" s="7"/>
      <c r="DI904" s="74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8">
        <f t="shared" si="236"/>
        <v>0</v>
      </c>
      <c r="EA904" s="22">
        <f t="shared" si="237"/>
        <v>0</v>
      </c>
      <c r="EB904" s="56">
        <f t="shared" si="238"/>
        <v>0</v>
      </c>
      <c r="EC904" s="112">
        <f t="shared" si="232"/>
        <v>0</v>
      </c>
      <c r="ED904" s="112">
        <f t="shared" si="239"/>
        <v>0</v>
      </c>
      <c r="EE904" s="56">
        <f t="shared" si="240"/>
        <v>0</v>
      </c>
      <c r="EF904" s="111">
        <f t="shared" si="241"/>
        <v>0</v>
      </c>
      <c r="EG904" s="111">
        <f t="shared" si="242"/>
        <v>0</v>
      </c>
      <c r="EH904" s="56">
        <f t="shared" si="243"/>
        <v>0</v>
      </c>
      <c r="EI904" s="112">
        <f>IF(COUNT(I904:AD904)&lt;5,DZ904,SUMPRODUCT(LARGE(I904:AD904,{1,2,3,4,5}))/5)</f>
        <v>0</v>
      </c>
      <c r="EJ904" s="112">
        <f>IF(COUNT(I904:BE904)&lt;5,DZ904,SUMPRODUCT(LARGE(I904:BE904,{1,2,3,4,5}))/5)</f>
        <v>0</v>
      </c>
      <c r="EK904" s="29">
        <f t="shared" si="245"/>
        <v>0</v>
      </c>
      <c r="EL904" s="112">
        <f>(EK904*100)/101.59</f>
        <v>0</v>
      </c>
      <c r="EM904" s="163">
        <f t="shared" si="244"/>
        <v>0</v>
      </c>
      <c r="EQ904"/>
    </row>
    <row r="905" spans="1:147" x14ac:dyDescent="0.25">
      <c r="A905" s="59"/>
      <c r="B905" s="32"/>
      <c r="C905" s="5"/>
      <c r="D905" s="6"/>
      <c r="E905" s="6"/>
      <c r="F905" s="6"/>
      <c r="G905" s="5"/>
      <c r="H905" s="37"/>
      <c r="I905" s="36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227"/>
      <c r="Z905" s="228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4"/>
      <c r="AP905" s="7"/>
      <c r="AQ905" s="74"/>
      <c r="AR905" s="70"/>
      <c r="AS905" s="7"/>
      <c r="AT905" s="70"/>
      <c r="AU905" s="7"/>
      <c r="AV905" s="70"/>
      <c r="AW905" s="7"/>
      <c r="AX905" s="183"/>
      <c r="AY905" s="10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101"/>
      <c r="CL905" s="74"/>
      <c r="CM905" s="74"/>
      <c r="CN905" s="74"/>
      <c r="CO905" s="70"/>
      <c r="CP905" s="74"/>
      <c r="CQ905" s="7"/>
      <c r="CR905" s="74"/>
      <c r="CS905" s="74"/>
      <c r="CT905" s="74"/>
      <c r="CU905" s="74"/>
      <c r="CV905" s="74"/>
      <c r="CW905" s="7"/>
      <c r="CX905" s="7"/>
      <c r="CY905" s="7"/>
      <c r="CZ905" s="7"/>
      <c r="DA905" s="7"/>
      <c r="DB905" s="7"/>
      <c r="DC905" s="7"/>
      <c r="DD905" s="7"/>
      <c r="DE905" s="74"/>
      <c r="DF905" s="74"/>
      <c r="DG905" s="74"/>
      <c r="DH905" s="74"/>
      <c r="DI905" s="74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8">
        <f t="shared" si="236"/>
        <v>0</v>
      </c>
      <c r="EA905" s="3">
        <f t="shared" si="237"/>
        <v>0</v>
      </c>
      <c r="EB905" s="2">
        <f t="shared" si="238"/>
        <v>0</v>
      </c>
      <c r="EC905" s="112">
        <f t="shared" si="232"/>
        <v>0</v>
      </c>
      <c r="ED905" s="29">
        <f t="shared" si="239"/>
        <v>0</v>
      </c>
      <c r="EE905" s="2">
        <f t="shared" si="240"/>
        <v>0</v>
      </c>
      <c r="EF905" s="46">
        <f t="shared" si="241"/>
        <v>0</v>
      </c>
      <c r="EG905" s="46">
        <f t="shared" si="242"/>
        <v>0</v>
      </c>
      <c r="EH905" s="2">
        <f t="shared" si="243"/>
        <v>0</v>
      </c>
      <c r="EI905" s="29">
        <f>IF(COUNT(I905:AD905)&lt;5,DZ905,SUMPRODUCT(LARGE(I905:AD905,{1,2,3,4,5}))/5)</f>
        <v>0</v>
      </c>
      <c r="EJ905" s="29">
        <f>IF(COUNT(I905:BE905)&lt;5,DZ905,SUMPRODUCT(LARGE(I905:BE905,{1,2,3,4,5}))/5)</f>
        <v>0</v>
      </c>
      <c r="EK905" s="29">
        <f t="shared" si="245"/>
        <v>0</v>
      </c>
      <c r="EL905" s="29">
        <f>(EK905*100)/101.28</f>
        <v>0</v>
      </c>
      <c r="EM905" s="116">
        <f t="shared" si="244"/>
        <v>0</v>
      </c>
      <c r="EQ905"/>
    </row>
    <row r="906" spans="1:147" x14ac:dyDescent="0.25">
      <c r="A906" s="59"/>
      <c r="B906" s="4"/>
      <c r="C906" s="5"/>
      <c r="D906" s="6"/>
      <c r="E906" s="6"/>
      <c r="F906" s="6"/>
      <c r="G906" s="5"/>
      <c r="H906" s="99"/>
      <c r="I906" s="36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227"/>
      <c r="Z906" s="228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4"/>
      <c r="AP906" s="7"/>
      <c r="AQ906" s="74"/>
      <c r="AR906" s="70"/>
      <c r="AS906" s="7"/>
      <c r="AT906" s="70"/>
      <c r="AU906" s="7"/>
      <c r="AV906" s="70"/>
      <c r="AW906" s="7"/>
      <c r="AX906" s="183"/>
      <c r="AY906" s="10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101"/>
      <c r="CL906" s="74"/>
      <c r="CM906" s="74"/>
      <c r="CN906" s="74"/>
      <c r="CO906" s="70"/>
      <c r="CP906" s="101"/>
      <c r="CQ906" s="7"/>
      <c r="CR906" s="74"/>
      <c r="CS906" s="74"/>
      <c r="CT906" s="74"/>
      <c r="CU906" s="74"/>
      <c r="CV906" s="74"/>
      <c r="CW906" s="7"/>
      <c r="CX906" s="7"/>
      <c r="CY906" s="7"/>
      <c r="CZ906" s="74"/>
      <c r="DA906" s="7"/>
      <c r="DB906" s="7"/>
      <c r="DC906" s="7"/>
      <c r="DD906" s="7"/>
      <c r="DE906" s="74"/>
      <c r="DF906" s="74"/>
      <c r="DG906" s="74"/>
      <c r="DH906" s="74"/>
      <c r="DI906" s="74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8">
        <f t="shared" si="236"/>
        <v>0</v>
      </c>
      <c r="EA906" s="3">
        <f t="shared" si="237"/>
        <v>0</v>
      </c>
      <c r="EB906" s="2">
        <f t="shared" si="238"/>
        <v>0</v>
      </c>
      <c r="EC906" s="112">
        <f t="shared" si="232"/>
        <v>0</v>
      </c>
      <c r="ED906" s="29">
        <f t="shared" si="239"/>
        <v>0</v>
      </c>
      <c r="EE906" s="2">
        <f t="shared" si="240"/>
        <v>0</v>
      </c>
      <c r="EF906" s="46">
        <f t="shared" si="241"/>
        <v>0</v>
      </c>
      <c r="EG906" s="46">
        <f t="shared" si="242"/>
        <v>0</v>
      </c>
      <c r="EH906" s="2">
        <f t="shared" si="243"/>
        <v>0</v>
      </c>
      <c r="EI906" s="29">
        <f>IF(COUNT(I906:AD906)&lt;5,DZ906,SUMPRODUCT(LARGE(I906:AD906,{1,2,3,4,5}))/5)</f>
        <v>0</v>
      </c>
      <c r="EJ906" s="29">
        <f>IF(COUNT(I906:BE906)&lt;5,DZ906,SUMPRODUCT(LARGE(I906:BE906,{1,2,3,4,5}))/5)</f>
        <v>0</v>
      </c>
      <c r="EK906" s="29">
        <f t="shared" si="245"/>
        <v>0</v>
      </c>
      <c r="EL906" s="29">
        <f>(EK906*100)/101.28</f>
        <v>0</v>
      </c>
      <c r="EM906" s="116">
        <f t="shared" si="244"/>
        <v>0</v>
      </c>
      <c r="EQ906"/>
    </row>
    <row r="907" spans="1:147" x14ac:dyDescent="0.25">
      <c r="A907" s="59"/>
      <c r="B907" s="32"/>
      <c r="C907" s="5"/>
      <c r="D907" s="6"/>
      <c r="E907" s="6"/>
      <c r="F907" s="6"/>
      <c r="G907" s="5"/>
      <c r="H907" s="99"/>
      <c r="I907" s="36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227"/>
      <c r="Z907" s="228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4"/>
      <c r="AP907" s="7"/>
      <c r="AQ907" s="74"/>
      <c r="AR907" s="70"/>
      <c r="AS907" s="7"/>
      <c r="AT907" s="70"/>
      <c r="AU907" s="7"/>
      <c r="AV907" s="70"/>
      <c r="AW907" s="7"/>
      <c r="AX907" s="8"/>
      <c r="AY907" s="36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4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101"/>
      <c r="CL907" s="74"/>
      <c r="CM907" s="74"/>
      <c r="CN907" s="74"/>
      <c r="CO907" s="70"/>
      <c r="CP907" s="74"/>
      <c r="CQ907" s="7"/>
      <c r="CR907" s="74"/>
      <c r="CS907" s="74"/>
      <c r="CT907" s="74"/>
      <c r="CU907" s="74"/>
      <c r="CV907" s="7"/>
      <c r="CW907" s="7"/>
      <c r="CX907" s="7"/>
      <c r="CY907" s="7"/>
      <c r="CZ907" s="7"/>
      <c r="DA907" s="7"/>
      <c r="DB907" s="7"/>
      <c r="DC907" s="7"/>
      <c r="DD907" s="7"/>
      <c r="DE907" s="74"/>
      <c r="DF907" s="74"/>
      <c r="DG907" s="74"/>
      <c r="DH907" s="7"/>
      <c r="DI907" s="74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8">
        <f t="shared" si="236"/>
        <v>0</v>
      </c>
      <c r="EA907" s="3">
        <f t="shared" si="237"/>
        <v>0</v>
      </c>
      <c r="EB907" s="2">
        <f t="shared" si="238"/>
        <v>0</v>
      </c>
      <c r="EC907" s="112">
        <f t="shared" si="232"/>
        <v>0</v>
      </c>
      <c r="ED907" s="29">
        <f t="shared" si="239"/>
        <v>0</v>
      </c>
      <c r="EE907" s="2">
        <f t="shared" si="240"/>
        <v>0</v>
      </c>
      <c r="EF907" s="46">
        <f t="shared" si="241"/>
        <v>0</v>
      </c>
      <c r="EG907" s="46">
        <f t="shared" si="242"/>
        <v>0</v>
      </c>
      <c r="EH907" s="2">
        <f t="shared" si="243"/>
        <v>0</v>
      </c>
      <c r="EI907" s="29">
        <f>IF(COUNT(I907:AD907)&lt;5,DZ907,SUMPRODUCT(LARGE(I907:AD907,{1,2,3,4,5}))/5)</f>
        <v>0</v>
      </c>
      <c r="EJ907" s="29">
        <f>IF(COUNT(I907:BE907)&lt;5,DZ907,SUMPRODUCT(LARGE(I907:BE907,{1,2,3,4,5}))/5)</f>
        <v>0</v>
      </c>
      <c r="EK907" s="29">
        <f t="shared" si="245"/>
        <v>0</v>
      </c>
      <c r="EL907" s="29">
        <f>(EK907*100)/101.28</f>
        <v>0</v>
      </c>
      <c r="EM907" s="116">
        <f t="shared" si="244"/>
        <v>0</v>
      </c>
      <c r="EQ907"/>
    </row>
    <row r="908" spans="1:147" x14ac:dyDescent="0.25">
      <c r="A908" s="59"/>
      <c r="B908" s="4"/>
      <c r="C908" s="5"/>
      <c r="D908" s="5"/>
      <c r="E908" s="6"/>
      <c r="F908" s="6"/>
      <c r="G908" s="5"/>
      <c r="H908" s="99"/>
      <c r="I908" s="107"/>
      <c r="J908" s="7"/>
      <c r="K908" s="74"/>
      <c r="L908" s="7"/>
      <c r="M908" s="74"/>
      <c r="N908" s="74"/>
      <c r="O908" s="7"/>
      <c r="P908" s="74"/>
      <c r="Q908" s="7"/>
      <c r="R908" s="74"/>
      <c r="S908" s="74"/>
      <c r="T908" s="7"/>
      <c r="U908" s="7"/>
      <c r="V908" s="74"/>
      <c r="W908" s="7"/>
      <c r="X908" s="74"/>
      <c r="Y908" s="227"/>
      <c r="Z908" s="228"/>
      <c r="AA908" s="74"/>
      <c r="AB908" s="74"/>
      <c r="AC908" s="74"/>
      <c r="AD908" s="74"/>
      <c r="AE908" s="7"/>
      <c r="AF908" s="74"/>
      <c r="AG908" s="74"/>
      <c r="AH908" s="7"/>
      <c r="AI908" s="7"/>
      <c r="AJ908" s="7"/>
      <c r="AK908" s="7"/>
      <c r="AL908" s="7"/>
      <c r="AM908" s="7"/>
      <c r="AN908" s="7"/>
      <c r="AO908" s="74"/>
      <c r="AP908" s="7"/>
      <c r="AQ908" s="74"/>
      <c r="AR908" s="101"/>
      <c r="AS908" s="7"/>
      <c r="AT908" s="101"/>
      <c r="AU908" s="7"/>
      <c r="AV908" s="101"/>
      <c r="AW908" s="7"/>
      <c r="AX908" s="8"/>
      <c r="AY908" s="36"/>
      <c r="AZ908" s="74"/>
      <c r="BA908" s="74"/>
      <c r="BB908" s="74"/>
      <c r="BC908" s="74"/>
      <c r="BD908" s="74"/>
      <c r="BE908" s="74"/>
      <c r="BF908" s="74"/>
      <c r="BG908" s="74"/>
      <c r="BH908" s="74"/>
      <c r="BI908" s="74"/>
      <c r="BJ908" s="74"/>
      <c r="BK908" s="7"/>
      <c r="BL908" s="74"/>
      <c r="BM908" s="7"/>
      <c r="BN908" s="74"/>
      <c r="BO908" s="74"/>
      <c r="BP908" s="74"/>
      <c r="BQ908" s="74"/>
      <c r="BR908" s="74"/>
      <c r="BS908" s="74"/>
      <c r="BT908" s="74"/>
      <c r="BU908" s="74"/>
      <c r="BV908" s="74"/>
      <c r="BW908" s="74"/>
      <c r="BX908" s="74"/>
      <c r="BY908" s="74"/>
      <c r="BZ908" s="74"/>
      <c r="CA908" s="74"/>
      <c r="CB908" s="74"/>
      <c r="CC908" s="74"/>
      <c r="CD908" s="74"/>
      <c r="CE908" s="7"/>
      <c r="CF908" s="74"/>
      <c r="CG908" s="74"/>
      <c r="CH908" s="7"/>
      <c r="CI908" s="74"/>
      <c r="CJ908" s="74"/>
      <c r="CK908" s="101"/>
      <c r="CL908" s="74"/>
      <c r="CM908" s="74"/>
      <c r="CN908" s="74"/>
      <c r="CO908" s="101"/>
      <c r="CP908" s="74"/>
      <c r="CQ908" s="74"/>
      <c r="CR908" s="74"/>
      <c r="CS908" s="74"/>
      <c r="CT908" s="74"/>
      <c r="CU908" s="74"/>
      <c r="CV908" s="74"/>
      <c r="CW908" s="74"/>
      <c r="CX908" s="74"/>
      <c r="CY908" s="74"/>
      <c r="CZ908" s="74"/>
      <c r="DA908" s="74"/>
      <c r="DB908" s="74"/>
      <c r="DC908" s="74"/>
      <c r="DD908" s="74"/>
      <c r="DE908" s="74"/>
      <c r="DF908" s="74"/>
      <c r="DG908" s="74"/>
      <c r="DH908" s="74"/>
      <c r="DI908" s="74"/>
      <c r="DJ908" s="74"/>
      <c r="DK908" s="74"/>
      <c r="DL908" s="74"/>
      <c r="DM908" s="74"/>
      <c r="DN908" s="74"/>
      <c r="DO908" s="74"/>
      <c r="DP908" s="74"/>
      <c r="DQ908" s="74"/>
      <c r="DR908" s="74"/>
      <c r="DS908" s="74"/>
      <c r="DT908" s="74"/>
      <c r="DU908" s="74"/>
      <c r="DV908" s="74"/>
      <c r="DW908" s="74"/>
      <c r="DX908" s="74"/>
      <c r="DY908" s="74"/>
      <c r="DZ908" s="8">
        <f t="shared" si="236"/>
        <v>0</v>
      </c>
      <c r="EA908" s="3">
        <f t="shared" si="237"/>
        <v>0</v>
      </c>
      <c r="EB908" s="2">
        <f t="shared" si="238"/>
        <v>0</v>
      </c>
      <c r="EC908" s="112">
        <f t="shared" si="232"/>
        <v>0</v>
      </c>
      <c r="ED908" s="29">
        <f t="shared" si="239"/>
        <v>0</v>
      </c>
      <c r="EE908" s="2">
        <f t="shared" si="240"/>
        <v>0</v>
      </c>
      <c r="EF908" s="46">
        <f t="shared" si="241"/>
        <v>0</v>
      </c>
      <c r="EG908" s="46">
        <f t="shared" si="242"/>
        <v>0</v>
      </c>
      <c r="EH908" s="29">
        <f t="shared" si="243"/>
        <v>0</v>
      </c>
      <c r="EI908" s="29">
        <f>IF(COUNT(I908:AD908)&lt;5,DZ908,SUMPRODUCT(LARGE(I908:AD908,{1,2,3,4,5}))/5)</f>
        <v>0</v>
      </c>
      <c r="EJ908" s="29">
        <f>IF(COUNT(I908:BE908)&lt;5,DZ908,SUMPRODUCT(LARGE(I908:BE908,{1,2,3,4,5}))/5)</f>
        <v>0</v>
      </c>
      <c r="EK908" s="29">
        <f t="shared" si="245"/>
        <v>0</v>
      </c>
      <c r="EL908" s="29">
        <f>(EK908*100)/101.28</f>
        <v>0</v>
      </c>
      <c r="EM908" s="116">
        <f t="shared" si="244"/>
        <v>0</v>
      </c>
      <c r="EQ908"/>
    </row>
    <row r="909" spans="1:147" x14ac:dyDescent="0.25">
      <c r="A909" s="59"/>
      <c r="B909" s="4"/>
      <c r="C909" s="5"/>
      <c r="D909" s="5"/>
      <c r="E909" s="6"/>
      <c r="F909" s="6"/>
      <c r="G909" s="5"/>
      <c r="H909" s="99"/>
      <c r="I909" s="36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227"/>
      <c r="Z909" s="228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4"/>
      <c r="AP909" s="7"/>
      <c r="AQ909" s="74"/>
      <c r="AR909" s="70"/>
      <c r="AS909" s="7"/>
      <c r="AT909" s="70"/>
      <c r="AU909" s="7"/>
      <c r="AV909" s="70"/>
      <c r="AW909" s="7"/>
      <c r="AX909" s="8"/>
      <c r="AY909" s="36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101"/>
      <c r="CL909" s="74"/>
      <c r="CM909" s="74"/>
      <c r="CN909" s="74"/>
      <c r="CO909" s="70"/>
      <c r="CP909" s="74"/>
      <c r="CQ909" s="7"/>
      <c r="CR909" s="74"/>
      <c r="CS909" s="74"/>
      <c r="CT909" s="74"/>
      <c r="CU909" s="74"/>
      <c r="CV909" s="74"/>
      <c r="CW909" s="7"/>
      <c r="CX909" s="7"/>
      <c r="CY909" s="7"/>
      <c r="CZ909" s="74"/>
      <c r="DA909" s="7"/>
      <c r="DB909" s="7"/>
      <c r="DC909" s="7"/>
      <c r="DD909" s="7"/>
      <c r="DE909" s="74"/>
      <c r="DF909" s="74"/>
      <c r="DG909" s="74"/>
      <c r="DH909" s="74"/>
      <c r="DI909" s="74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4"/>
      <c r="DU909" s="7"/>
      <c r="DV909" s="7"/>
      <c r="DW909" s="7"/>
      <c r="DX909" s="7"/>
      <c r="DY909" s="7"/>
      <c r="DZ909" s="8">
        <f t="shared" si="236"/>
        <v>0</v>
      </c>
      <c r="EA909" s="3">
        <f t="shared" si="237"/>
        <v>0</v>
      </c>
      <c r="EB909" s="2">
        <f t="shared" si="238"/>
        <v>0</v>
      </c>
      <c r="EC909" s="112">
        <f t="shared" si="232"/>
        <v>0</v>
      </c>
      <c r="ED909" s="29">
        <f t="shared" si="239"/>
        <v>0</v>
      </c>
      <c r="EE909" s="2">
        <f t="shared" si="240"/>
        <v>0</v>
      </c>
      <c r="EF909" s="46">
        <f t="shared" si="241"/>
        <v>0</v>
      </c>
      <c r="EG909" s="46">
        <f t="shared" si="242"/>
        <v>0</v>
      </c>
      <c r="EH909" s="2">
        <f t="shared" si="243"/>
        <v>0</v>
      </c>
      <c r="EI909" s="29">
        <f>IF(COUNT(I909:AD909)&lt;5,DZ909,SUMPRODUCT(LARGE(I909:AD909,{1,2,3,4,5}))/5)</f>
        <v>0</v>
      </c>
      <c r="EJ909" s="29">
        <f>IF(COUNT(I909:BE909)&lt;5,DZ909,SUMPRODUCT(LARGE(I909:BE909,{1,2,3,4,5}))/5)</f>
        <v>0</v>
      </c>
      <c r="EK909" s="29">
        <f t="shared" si="245"/>
        <v>0</v>
      </c>
      <c r="EL909" s="29">
        <f>(EK909*100)/101.28</f>
        <v>0</v>
      </c>
      <c r="EM909" s="116">
        <f t="shared" si="244"/>
        <v>0</v>
      </c>
      <c r="EQ909"/>
    </row>
    <row r="910" spans="1:147" x14ac:dyDescent="0.25">
      <c r="A910" s="59"/>
      <c r="B910" s="32"/>
      <c r="C910" s="5"/>
      <c r="D910" s="6"/>
      <c r="E910" s="6"/>
      <c r="F910" s="6"/>
      <c r="G910" s="5"/>
      <c r="H910" s="37"/>
      <c r="I910" s="36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227"/>
      <c r="Z910" s="228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4"/>
      <c r="AP910" s="7"/>
      <c r="AQ910" s="74"/>
      <c r="AR910" s="70"/>
      <c r="AS910" s="7"/>
      <c r="AT910" s="70"/>
      <c r="AU910" s="7"/>
      <c r="AV910" s="70"/>
      <c r="AW910" s="7"/>
      <c r="AX910" s="8"/>
      <c r="AY910" s="36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4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4"/>
      <c r="CG910" s="7"/>
      <c r="CH910" s="7"/>
      <c r="CI910" s="7"/>
      <c r="CJ910" s="7"/>
      <c r="CK910" s="101"/>
      <c r="CL910" s="74"/>
      <c r="CM910" s="74"/>
      <c r="CN910" s="74"/>
      <c r="CO910" s="70"/>
      <c r="CP910" s="74"/>
      <c r="CQ910" s="7"/>
      <c r="CR910" s="74"/>
      <c r="CS910" s="74"/>
      <c r="CT910" s="74"/>
      <c r="CU910" s="74"/>
      <c r="CV910" s="7"/>
      <c r="CW910" s="7"/>
      <c r="CX910" s="7"/>
      <c r="CY910" s="7"/>
      <c r="CZ910" s="7"/>
      <c r="DA910" s="7"/>
      <c r="DB910" s="7"/>
      <c r="DC910" s="7"/>
      <c r="DD910" s="7"/>
      <c r="DE910" s="74"/>
      <c r="DF910" s="74"/>
      <c r="DG910" s="74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8">
        <f t="shared" si="236"/>
        <v>0</v>
      </c>
      <c r="EA910" s="3">
        <f t="shared" si="237"/>
        <v>0</v>
      </c>
      <c r="EB910" s="2">
        <f t="shared" si="238"/>
        <v>0</v>
      </c>
      <c r="EC910" s="112">
        <f t="shared" ref="EC910:EC973" si="246">H910</f>
        <v>0</v>
      </c>
      <c r="ED910" s="29">
        <f t="shared" si="239"/>
        <v>0</v>
      </c>
      <c r="EE910" s="2">
        <f t="shared" si="240"/>
        <v>0</v>
      </c>
      <c r="EF910" s="46">
        <f t="shared" si="241"/>
        <v>0</v>
      </c>
      <c r="EG910" s="46">
        <f t="shared" si="242"/>
        <v>0</v>
      </c>
      <c r="EH910" s="2">
        <f t="shared" si="243"/>
        <v>0</v>
      </c>
      <c r="EI910" s="29">
        <f>IF(COUNT(I910:AD910)&lt;5,DZ910,SUMPRODUCT(LARGE(I910:AD910,{1,2,3,4,5}))/5)</f>
        <v>0</v>
      </c>
      <c r="EJ910" s="29">
        <f>IF(COUNT(I910:BE910)&lt;5,DZ910,SUMPRODUCT(LARGE(I910:BE910,{1,2,3,4,5}))/5)</f>
        <v>0</v>
      </c>
      <c r="EK910" s="29">
        <f t="shared" si="245"/>
        <v>0</v>
      </c>
      <c r="EL910" s="29">
        <f>(EK910*100)/101.59</f>
        <v>0</v>
      </c>
      <c r="EM910" s="116">
        <f t="shared" si="244"/>
        <v>0</v>
      </c>
      <c r="EQ910"/>
    </row>
    <row r="911" spans="1:147" x14ac:dyDescent="0.25">
      <c r="A911" s="59"/>
      <c r="B911" s="32"/>
      <c r="C911" s="5"/>
      <c r="D911" s="6"/>
      <c r="E911" s="6"/>
      <c r="F911" s="6"/>
      <c r="G911" s="5"/>
      <c r="H911" s="37"/>
      <c r="I911" s="36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227"/>
      <c r="Z911" s="228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4"/>
      <c r="AP911" s="7"/>
      <c r="AQ911" s="74"/>
      <c r="AR911" s="70"/>
      <c r="AS911" s="7"/>
      <c r="AT911" s="70"/>
      <c r="AU911" s="7"/>
      <c r="AV911" s="70"/>
      <c r="AW911" s="7"/>
      <c r="AX911" s="183"/>
      <c r="AY911" s="107"/>
      <c r="AZ911" s="7"/>
      <c r="BA911" s="7"/>
      <c r="BB911" s="7"/>
      <c r="BC911" s="74"/>
      <c r="BD911" s="7"/>
      <c r="BE911" s="74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101"/>
      <c r="CL911" s="74"/>
      <c r="CM911" s="74"/>
      <c r="CN911" s="74"/>
      <c r="CO911" s="70"/>
      <c r="CP911" s="74"/>
      <c r="CQ911" s="7"/>
      <c r="CR911" s="74"/>
      <c r="CS911" s="74"/>
      <c r="CT911" s="74"/>
      <c r="CU911" s="74"/>
      <c r="CV911" s="74"/>
      <c r="CW911" s="7"/>
      <c r="CX911" s="7"/>
      <c r="CY911" s="7"/>
      <c r="CZ911" s="7"/>
      <c r="DA911" s="7"/>
      <c r="DB911" s="7"/>
      <c r="DC911" s="7"/>
      <c r="DD911" s="7"/>
      <c r="DE911" s="74"/>
      <c r="DF911" s="74"/>
      <c r="DG911" s="74"/>
      <c r="DH911" s="74"/>
      <c r="DI911" s="74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8">
        <f t="shared" si="236"/>
        <v>0</v>
      </c>
      <c r="EA911" s="3">
        <f t="shared" si="237"/>
        <v>0</v>
      </c>
      <c r="EB911" s="2">
        <f t="shared" si="238"/>
        <v>0</v>
      </c>
      <c r="EC911" s="112">
        <f t="shared" si="246"/>
        <v>0</v>
      </c>
      <c r="ED911" s="29">
        <f t="shared" si="239"/>
        <v>0</v>
      </c>
      <c r="EE911" s="2">
        <f t="shared" si="240"/>
        <v>0</v>
      </c>
      <c r="EF911" s="46">
        <f t="shared" si="241"/>
        <v>0</v>
      </c>
      <c r="EG911" s="46">
        <f t="shared" si="242"/>
        <v>0</v>
      </c>
      <c r="EH911" s="2">
        <f t="shared" si="243"/>
        <v>0</v>
      </c>
      <c r="EI911" s="29">
        <f>IF(COUNT(I911:AD911)&lt;5,DZ911,SUMPRODUCT(LARGE(I911:AD911,{1,2,3,4,5}))/5)</f>
        <v>0</v>
      </c>
      <c r="EJ911" s="29">
        <f>IF(COUNT(I911:BE911)&lt;5,DZ911,SUMPRODUCT(LARGE(I911:BE911,{1,2,3,4,5}))/5)</f>
        <v>0</v>
      </c>
      <c r="EK911" s="29">
        <f t="shared" si="245"/>
        <v>0</v>
      </c>
      <c r="EL911" s="29">
        <f>(EK911*100)/101.59</f>
        <v>0</v>
      </c>
      <c r="EM911" s="116">
        <f t="shared" si="244"/>
        <v>0</v>
      </c>
      <c r="EQ911"/>
    </row>
    <row r="912" spans="1:147" x14ac:dyDescent="0.25">
      <c r="A912" s="59"/>
      <c r="B912" s="32"/>
      <c r="C912" s="5"/>
      <c r="D912" s="6"/>
      <c r="E912" s="6"/>
      <c r="F912" s="6"/>
      <c r="G912" s="5"/>
      <c r="H912" s="37"/>
      <c r="I912" s="107"/>
      <c r="J912" s="7"/>
      <c r="K912" s="74"/>
      <c r="L912" s="7"/>
      <c r="M912" s="74"/>
      <c r="N912" s="74"/>
      <c r="O912" s="7"/>
      <c r="P912" s="74"/>
      <c r="Q912" s="74"/>
      <c r="R912" s="74"/>
      <c r="S912" s="74"/>
      <c r="T912" s="7"/>
      <c r="U912" s="7"/>
      <c r="V912" s="74"/>
      <c r="W912" s="7"/>
      <c r="X912" s="7"/>
      <c r="Y912" s="227"/>
      <c r="Z912" s="228"/>
      <c r="AA912" s="74"/>
      <c r="AB912" s="74"/>
      <c r="AC912" s="74"/>
      <c r="AD912" s="74"/>
      <c r="AE912" s="7"/>
      <c r="AF912" s="74"/>
      <c r="AG912" s="74"/>
      <c r="AH912" s="7"/>
      <c r="AI912" s="7"/>
      <c r="AJ912" s="7"/>
      <c r="AK912" s="7"/>
      <c r="AL912" s="7"/>
      <c r="AM912" s="7"/>
      <c r="AN912" s="7"/>
      <c r="AO912" s="74"/>
      <c r="AP912" s="7"/>
      <c r="AQ912" s="74"/>
      <c r="AR912" s="101"/>
      <c r="AS912" s="7"/>
      <c r="AT912" s="101"/>
      <c r="AU912" s="7"/>
      <c r="AV912" s="101"/>
      <c r="AW912" s="7"/>
      <c r="AX912" s="8"/>
      <c r="AY912" s="36"/>
      <c r="AZ912" s="74"/>
      <c r="BA912" s="74"/>
      <c r="BB912" s="74"/>
      <c r="BC912" s="74"/>
      <c r="BD912" s="74"/>
      <c r="BE912" s="74"/>
      <c r="BF912" s="74"/>
      <c r="BG912" s="74"/>
      <c r="BH912" s="74"/>
      <c r="BI912" s="74"/>
      <c r="BJ912" s="74"/>
      <c r="BK912" s="7"/>
      <c r="BL912" s="74"/>
      <c r="BM912" s="7"/>
      <c r="BN912" s="74"/>
      <c r="BO912" s="74"/>
      <c r="BP912" s="74"/>
      <c r="BQ912" s="74"/>
      <c r="BR912" s="74"/>
      <c r="BS912" s="74"/>
      <c r="BT912" s="74"/>
      <c r="BU912" s="74"/>
      <c r="BV912" s="74"/>
      <c r="BW912" s="74"/>
      <c r="BX912" s="74"/>
      <c r="BY912" s="74"/>
      <c r="BZ912" s="74"/>
      <c r="CA912" s="7"/>
      <c r="CB912" s="74"/>
      <c r="CC912" s="74"/>
      <c r="CD912" s="74"/>
      <c r="CE912" s="7"/>
      <c r="CF912" s="74"/>
      <c r="CG912" s="74"/>
      <c r="CH912" s="7"/>
      <c r="CI912" s="74"/>
      <c r="CJ912" s="74"/>
      <c r="CK912" s="101"/>
      <c r="CL912" s="74"/>
      <c r="CM912" s="74"/>
      <c r="CN912" s="74"/>
      <c r="CO912" s="101"/>
      <c r="CP912" s="74"/>
      <c r="CQ912" s="74"/>
      <c r="CR912" s="74"/>
      <c r="CS912" s="74"/>
      <c r="CT912" s="74"/>
      <c r="CU912" s="74"/>
      <c r="CV912" s="74"/>
      <c r="CW912" s="74"/>
      <c r="CX912" s="74"/>
      <c r="CY912" s="74"/>
      <c r="CZ912" s="74"/>
      <c r="DA912" s="74"/>
      <c r="DB912" s="74"/>
      <c r="DC912" s="74"/>
      <c r="DD912" s="74"/>
      <c r="DE912" s="74"/>
      <c r="DF912" s="74"/>
      <c r="DG912" s="74"/>
      <c r="DH912" s="74"/>
      <c r="DI912" s="74"/>
      <c r="DJ912" s="74"/>
      <c r="DK912" s="74"/>
      <c r="DL912" s="74"/>
      <c r="DM912" s="74"/>
      <c r="DN912" s="74"/>
      <c r="DO912" s="74"/>
      <c r="DP912" s="74"/>
      <c r="DQ912" s="74"/>
      <c r="DR912" s="74"/>
      <c r="DS912" s="74"/>
      <c r="DT912" s="100"/>
      <c r="DU912" s="74"/>
      <c r="DV912" s="74"/>
      <c r="DW912" s="74"/>
      <c r="DX912" s="74"/>
      <c r="DY912" s="74"/>
      <c r="DZ912" s="8">
        <f t="shared" si="236"/>
        <v>0</v>
      </c>
      <c r="EA912" s="3">
        <f t="shared" si="237"/>
        <v>0</v>
      </c>
      <c r="EB912" s="2">
        <f t="shared" si="238"/>
        <v>0</v>
      </c>
      <c r="EC912" s="112">
        <f t="shared" si="246"/>
        <v>0</v>
      </c>
      <c r="ED912" s="29">
        <f t="shared" si="239"/>
        <v>0</v>
      </c>
      <c r="EE912" s="2">
        <f t="shared" si="240"/>
        <v>0</v>
      </c>
      <c r="EF912" s="46">
        <f t="shared" si="241"/>
        <v>0</v>
      </c>
      <c r="EG912" s="46">
        <f t="shared" si="242"/>
        <v>0</v>
      </c>
      <c r="EH912" s="29">
        <f t="shared" si="243"/>
        <v>0</v>
      </c>
      <c r="EI912" s="29">
        <f>IF(COUNT(I912:AD912)&lt;5,DZ912,SUMPRODUCT(LARGE(I912:AD912,{1,2,3,4,5}))/5)</f>
        <v>0</v>
      </c>
      <c r="EJ912" s="29">
        <f>IF(COUNT(I912:BE912)&lt;5,DZ912,SUMPRODUCT(LARGE(I912:BE912,{1,2,3,4,5}))/5)</f>
        <v>0</v>
      </c>
      <c r="EK912" s="29">
        <f t="shared" si="245"/>
        <v>0</v>
      </c>
      <c r="EL912" s="29">
        <f>(EK912*100)/101.59</f>
        <v>0</v>
      </c>
      <c r="EM912" s="116">
        <f t="shared" si="244"/>
        <v>0</v>
      </c>
      <c r="EQ912"/>
    </row>
    <row r="913" spans="1:147" x14ac:dyDescent="0.25">
      <c r="A913" s="59"/>
      <c r="B913" s="32"/>
      <c r="C913" s="5"/>
      <c r="D913" s="6"/>
      <c r="E913" s="6"/>
      <c r="F913" s="6"/>
      <c r="G913" s="5"/>
      <c r="H913" s="37"/>
      <c r="I913" s="10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227"/>
      <c r="Z913" s="228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4"/>
      <c r="AP913" s="7"/>
      <c r="AQ913" s="74"/>
      <c r="AR913" s="70"/>
      <c r="AS913" s="7"/>
      <c r="AT913" s="70"/>
      <c r="AU913" s="7"/>
      <c r="AV913" s="70"/>
      <c r="AW913" s="7"/>
      <c r="AX913" s="8"/>
      <c r="AY913" s="36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101"/>
      <c r="CL913" s="74"/>
      <c r="CM913" s="74"/>
      <c r="CN913" s="74"/>
      <c r="CO913" s="70"/>
      <c r="CP913" s="74"/>
      <c r="CQ913" s="7"/>
      <c r="CR913" s="74"/>
      <c r="CS913" s="74"/>
      <c r="CT913" s="74"/>
      <c r="CU913" s="74"/>
      <c r="CV913" s="74"/>
      <c r="CW913" s="7"/>
      <c r="CX913" s="7"/>
      <c r="CY913" s="7"/>
      <c r="CZ913" s="7"/>
      <c r="DA913" s="7"/>
      <c r="DB913" s="7"/>
      <c r="DC913" s="7"/>
      <c r="DD913" s="7"/>
      <c r="DE913" s="74"/>
      <c r="DF913" s="74"/>
      <c r="DG913" s="74"/>
      <c r="DH913" s="74"/>
      <c r="DI913" s="74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8">
        <f t="shared" si="236"/>
        <v>0</v>
      </c>
      <c r="EA913" s="3">
        <f t="shared" si="237"/>
        <v>0</v>
      </c>
      <c r="EB913" s="2">
        <f t="shared" si="238"/>
        <v>0</v>
      </c>
      <c r="EC913" s="112">
        <f t="shared" si="246"/>
        <v>0</v>
      </c>
      <c r="ED913" s="29">
        <f t="shared" si="239"/>
        <v>0</v>
      </c>
      <c r="EE913" s="2">
        <f t="shared" si="240"/>
        <v>0</v>
      </c>
      <c r="EF913" s="46">
        <f t="shared" si="241"/>
        <v>0</v>
      </c>
      <c r="EG913" s="46">
        <f t="shared" si="242"/>
        <v>0</v>
      </c>
      <c r="EH913" s="2">
        <f t="shared" si="243"/>
        <v>0</v>
      </c>
      <c r="EI913" s="29">
        <f>IF(COUNT(I913:AD913)&lt;5,DZ913,SUMPRODUCT(LARGE(I913:AD913,{1,2,3,4,5}))/5)</f>
        <v>0</v>
      </c>
      <c r="EJ913" s="29">
        <f>IF(COUNT(I913:BE913)&lt;5,DZ913,SUMPRODUCT(LARGE(I913:BE913,{1,2,3,4,5}))/5)</f>
        <v>0</v>
      </c>
      <c r="EK913" s="29">
        <f t="shared" si="245"/>
        <v>0</v>
      </c>
      <c r="EL913" s="29">
        <f>(EK913*100)/101.28</f>
        <v>0</v>
      </c>
      <c r="EM913" s="116">
        <f t="shared" si="244"/>
        <v>0</v>
      </c>
      <c r="EQ913"/>
    </row>
    <row r="914" spans="1:147" x14ac:dyDescent="0.25">
      <c r="A914" s="59"/>
      <c r="B914" s="32"/>
      <c r="C914" s="5"/>
      <c r="D914" s="6"/>
      <c r="E914" s="6"/>
      <c r="F914" s="6"/>
      <c r="G914" s="5"/>
      <c r="H914" s="37"/>
      <c r="I914" s="36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227"/>
      <c r="Z914" s="228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4"/>
      <c r="AP914" s="7"/>
      <c r="AQ914" s="74"/>
      <c r="AR914" s="70"/>
      <c r="AS914" s="7"/>
      <c r="AT914" s="70"/>
      <c r="AU914" s="7"/>
      <c r="AV914" s="70"/>
      <c r="AW914" s="7"/>
      <c r="AX914" s="8"/>
      <c r="AY914" s="36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101"/>
      <c r="CL914" s="74"/>
      <c r="CM914" s="74"/>
      <c r="CN914" s="74"/>
      <c r="CO914" s="70"/>
      <c r="CP914" s="74"/>
      <c r="CQ914" s="7"/>
      <c r="CR914" s="74"/>
      <c r="CS914" s="74"/>
      <c r="CT914" s="74"/>
      <c r="CU914" s="74"/>
      <c r="CV914" s="74"/>
      <c r="CW914" s="7"/>
      <c r="CX914" s="7"/>
      <c r="CY914" s="7"/>
      <c r="CZ914" s="7"/>
      <c r="DA914" s="7"/>
      <c r="DB914" s="7"/>
      <c r="DC914" s="7"/>
      <c r="DD914" s="7"/>
      <c r="DE914" s="74"/>
      <c r="DF914" s="74"/>
      <c r="DG914" s="74"/>
      <c r="DH914" s="74"/>
      <c r="DI914" s="74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8">
        <f t="shared" si="236"/>
        <v>0</v>
      </c>
      <c r="EA914" s="3">
        <f t="shared" si="237"/>
        <v>0</v>
      </c>
      <c r="EB914" s="2">
        <f t="shared" si="238"/>
        <v>0</v>
      </c>
      <c r="EC914" s="112">
        <f t="shared" si="246"/>
        <v>0</v>
      </c>
      <c r="ED914" s="29">
        <f t="shared" si="239"/>
        <v>0</v>
      </c>
      <c r="EE914" s="2">
        <f t="shared" si="240"/>
        <v>0</v>
      </c>
      <c r="EF914" s="46">
        <f t="shared" si="241"/>
        <v>0</v>
      </c>
      <c r="EG914" s="46">
        <f t="shared" si="242"/>
        <v>0</v>
      </c>
      <c r="EH914" s="2">
        <f t="shared" si="243"/>
        <v>0</v>
      </c>
      <c r="EI914" s="29">
        <f>IF(COUNT(I914:AD914)&lt;5,DZ914,SUMPRODUCT(LARGE(I914:AD914,{1,2,3,4,5}))/5)</f>
        <v>0</v>
      </c>
      <c r="EJ914" s="29">
        <f>IF(COUNT(I914:BE914)&lt;5,DZ914,SUMPRODUCT(LARGE(I914:BE914,{1,2,3,4,5}))/5)</f>
        <v>0</v>
      </c>
      <c r="EK914" s="29">
        <f t="shared" si="245"/>
        <v>0</v>
      </c>
      <c r="EL914" s="29">
        <f>(EK914*100)/101.28</f>
        <v>0</v>
      </c>
      <c r="EM914" s="116">
        <f t="shared" si="244"/>
        <v>0</v>
      </c>
      <c r="EQ914"/>
    </row>
    <row r="915" spans="1:147" x14ac:dyDescent="0.25">
      <c r="A915" s="59"/>
      <c r="B915" s="32"/>
      <c r="C915" s="5"/>
      <c r="D915" s="6"/>
      <c r="E915" s="6"/>
      <c r="F915" s="6"/>
      <c r="G915" s="5"/>
      <c r="H915" s="99"/>
      <c r="I915" s="36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227"/>
      <c r="Z915" s="228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4"/>
      <c r="AP915" s="7"/>
      <c r="AQ915" s="74"/>
      <c r="AR915" s="70"/>
      <c r="AS915" s="7"/>
      <c r="AT915" s="70"/>
      <c r="AU915" s="7"/>
      <c r="AV915" s="70"/>
      <c r="AW915" s="7"/>
      <c r="AX915" s="183"/>
      <c r="AY915" s="10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101"/>
      <c r="CL915" s="74"/>
      <c r="CM915" s="74"/>
      <c r="CN915" s="74"/>
      <c r="CO915" s="70"/>
      <c r="CP915" s="74"/>
      <c r="CQ915" s="7"/>
      <c r="CR915" s="74"/>
      <c r="CS915" s="74"/>
      <c r="CT915" s="74"/>
      <c r="CU915" s="74"/>
      <c r="CV915" s="74"/>
      <c r="CW915" s="7"/>
      <c r="CX915" s="7"/>
      <c r="CY915" s="7"/>
      <c r="CZ915" s="7"/>
      <c r="DA915" s="7"/>
      <c r="DB915" s="7"/>
      <c r="DC915" s="7"/>
      <c r="DD915" s="7"/>
      <c r="DE915" s="74"/>
      <c r="DF915" s="74"/>
      <c r="DG915" s="74"/>
      <c r="DH915" s="74"/>
      <c r="DI915" s="74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8">
        <f t="shared" si="236"/>
        <v>0</v>
      </c>
      <c r="EA915" s="3">
        <f t="shared" si="237"/>
        <v>0</v>
      </c>
      <c r="EB915" s="2">
        <f t="shared" si="238"/>
        <v>0</v>
      </c>
      <c r="EC915" s="112">
        <f t="shared" si="246"/>
        <v>0</v>
      </c>
      <c r="ED915" s="29">
        <f t="shared" si="239"/>
        <v>0</v>
      </c>
      <c r="EE915" s="2">
        <f t="shared" si="240"/>
        <v>0</v>
      </c>
      <c r="EF915" s="46">
        <f t="shared" si="241"/>
        <v>0</v>
      </c>
      <c r="EG915" s="46">
        <f t="shared" si="242"/>
        <v>0</v>
      </c>
      <c r="EH915" s="2">
        <f t="shared" si="243"/>
        <v>0</v>
      </c>
      <c r="EI915" s="29">
        <f>IF(COUNT(I915:AD915)&lt;5,DZ915,SUMPRODUCT(LARGE(I915:AD915,{1,2,3,4,5}))/5)</f>
        <v>0</v>
      </c>
      <c r="EJ915" s="29">
        <f>IF(COUNT(I915:BE915)&lt;5,DZ915,SUMPRODUCT(LARGE(I915:BE915,{1,2,3,4,5}))/5)</f>
        <v>0</v>
      </c>
      <c r="EK915" s="29">
        <f t="shared" si="245"/>
        <v>0</v>
      </c>
      <c r="EL915" s="29">
        <f>(EK915*100)/101.28</f>
        <v>0</v>
      </c>
      <c r="EM915" s="116">
        <f t="shared" si="244"/>
        <v>0</v>
      </c>
      <c r="EQ915"/>
    </row>
    <row r="916" spans="1:147" x14ac:dyDescent="0.25">
      <c r="A916" s="59"/>
      <c r="B916" s="32"/>
      <c r="C916" s="5"/>
      <c r="D916" s="6"/>
      <c r="E916" s="6"/>
      <c r="F916" s="6"/>
      <c r="G916" s="5"/>
      <c r="H916" s="37"/>
      <c r="I916" s="36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227"/>
      <c r="Z916" s="228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4"/>
      <c r="AP916" s="7"/>
      <c r="AQ916" s="74"/>
      <c r="AR916" s="70"/>
      <c r="AS916" s="7"/>
      <c r="AT916" s="70"/>
      <c r="AU916" s="7"/>
      <c r="AV916" s="70"/>
      <c r="AW916" s="7"/>
      <c r="AX916" s="8"/>
      <c r="AY916" s="36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4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101"/>
      <c r="CL916" s="74"/>
      <c r="CM916" s="74"/>
      <c r="CN916" s="74"/>
      <c r="CO916" s="70"/>
      <c r="CP916" s="74"/>
      <c r="CQ916" s="7"/>
      <c r="CR916" s="74"/>
      <c r="CS916" s="74"/>
      <c r="CT916" s="74"/>
      <c r="CU916" s="74"/>
      <c r="CV916" s="7"/>
      <c r="CW916" s="7"/>
      <c r="CX916" s="7"/>
      <c r="CY916" s="7"/>
      <c r="CZ916" s="7"/>
      <c r="DA916" s="7"/>
      <c r="DB916" s="7"/>
      <c r="DC916" s="7"/>
      <c r="DD916" s="7"/>
      <c r="DE916" s="74"/>
      <c r="DF916" s="74"/>
      <c r="DG916" s="74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8">
        <f t="shared" si="236"/>
        <v>0</v>
      </c>
      <c r="EA916" s="3">
        <f t="shared" si="237"/>
        <v>0</v>
      </c>
      <c r="EB916" s="2">
        <f t="shared" si="238"/>
        <v>0</v>
      </c>
      <c r="EC916" s="112">
        <f t="shared" si="246"/>
        <v>0</v>
      </c>
      <c r="ED916" s="29">
        <f t="shared" si="239"/>
        <v>0</v>
      </c>
      <c r="EE916" s="2">
        <f t="shared" si="240"/>
        <v>0</v>
      </c>
      <c r="EF916" s="46">
        <f t="shared" si="241"/>
        <v>0</v>
      </c>
      <c r="EG916" s="46">
        <f t="shared" si="242"/>
        <v>0</v>
      </c>
      <c r="EH916" s="2">
        <f t="shared" si="243"/>
        <v>0</v>
      </c>
      <c r="EI916" s="29">
        <f>IF(COUNT(I916:AD916)&lt;5,DZ916,SUMPRODUCT(LARGE(I916:AD916,{1,2,3,4,5}))/5)</f>
        <v>0</v>
      </c>
      <c r="EJ916" s="29">
        <f>IF(COUNT(I916:BE916)&lt;5,DZ916,SUMPRODUCT(LARGE(I916:BE916,{1,2,3,4,5}))/5)</f>
        <v>0</v>
      </c>
      <c r="EK916" s="29">
        <f t="shared" si="245"/>
        <v>0</v>
      </c>
      <c r="EL916" s="29">
        <f>(EK916*100)/101.59</f>
        <v>0</v>
      </c>
      <c r="EM916" s="116">
        <f t="shared" si="244"/>
        <v>0</v>
      </c>
      <c r="EQ916"/>
    </row>
    <row r="917" spans="1:147" x14ac:dyDescent="0.25">
      <c r="A917" s="59"/>
      <c r="B917" s="32"/>
      <c r="C917" s="5"/>
      <c r="D917" s="6"/>
      <c r="E917" s="6"/>
      <c r="F917" s="6"/>
      <c r="G917" s="5"/>
      <c r="H917" s="37"/>
      <c r="I917" s="36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227"/>
      <c r="Z917" s="228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4"/>
      <c r="AP917" s="7"/>
      <c r="AQ917" s="74"/>
      <c r="AR917" s="70"/>
      <c r="AS917" s="7"/>
      <c r="AT917" s="70"/>
      <c r="AU917" s="7"/>
      <c r="AV917" s="70"/>
      <c r="AW917" s="7"/>
      <c r="AX917" s="8"/>
      <c r="AY917" s="36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4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4"/>
      <c r="CH917" s="7"/>
      <c r="CI917" s="7"/>
      <c r="CJ917" s="7"/>
      <c r="CK917" s="101"/>
      <c r="CL917" s="74"/>
      <c r="CM917" s="74"/>
      <c r="CN917" s="74"/>
      <c r="CO917" s="70"/>
      <c r="CP917" s="74"/>
      <c r="CQ917" s="7"/>
      <c r="CR917" s="74"/>
      <c r="CS917" s="74"/>
      <c r="CT917" s="74"/>
      <c r="CU917" s="74"/>
      <c r="CV917" s="7"/>
      <c r="CW917" s="7"/>
      <c r="CX917" s="7"/>
      <c r="CY917" s="7"/>
      <c r="CZ917" s="7"/>
      <c r="DA917" s="7"/>
      <c r="DB917" s="7"/>
      <c r="DC917" s="7"/>
      <c r="DD917" s="7"/>
      <c r="DE917" s="74"/>
      <c r="DF917" s="74"/>
      <c r="DG917" s="74"/>
      <c r="DH917" s="7"/>
      <c r="DI917" s="74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8">
        <f t="shared" si="236"/>
        <v>0</v>
      </c>
      <c r="EA917" s="3">
        <f t="shared" si="237"/>
        <v>0</v>
      </c>
      <c r="EB917" s="2">
        <f t="shared" si="238"/>
        <v>0</v>
      </c>
      <c r="EC917" s="112">
        <f t="shared" si="246"/>
        <v>0</v>
      </c>
      <c r="ED917" s="29">
        <f t="shared" si="239"/>
        <v>0</v>
      </c>
      <c r="EE917" s="2">
        <f t="shared" si="240"/>
        <v>0</v>
      </c>
      <c r="EF917" s="46">
        <f t="shared" si="241"/>
        <v>0</v>
      </c>
      <c r="EG917" s="46">
        <f t="shared" si="242"/>
        <v>0</v>
      </c>
      <c r="EH917" s="2">
        <f t="shared" si="243"/>
        <v>0</v>
      </c>
      <c r="EI917" s="29">
        <f>IF(COUNT(I917:AD917)&lt;5,DZ917,SUMPRODUCT(LARGE(I917:AD917,{1,2,3,4,5}))/5)</f>
        <v>0</v>
      </c>
      <c r="EJ917" s="29">
        <f>IF(COUNT(I917:BE917)&lt;5,DZ917,SUMPRODUCT(LARGE(I917:BE917,{1,2,3,4,5}))/5)</f>
        <v>0</v>
      </c>
      <c r="EK917" s="29">
        <f t="shared" si="245"/>
        <v>0</v>
      </c>
      <c r="EL917" s="29">
        <f>(EK917*100)/101.28</f>
        <v>0</v>
      </c>
      <c r="EM917" s="116">
        <f t="shared" si="244"/>
        <v>0</v>
      </c>
      <c r="EQ917"/>
    </row>
    <row r="918" spans="1:147" x14ac:dyDescent="0.25">
      <c r="A918" s="59"/>
      <c r="B918" s="54"/>
      <c r="C918" s="55"/>
      <c r="D918" s="55"/>
      <c r="E918" s="6"/>
      <c r="F918" s="6"/>
      <c r="G918" s="5"/>
      <c r="H918" s="99"/>
      <c r="I918" s="36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227"/>
      <c r="Z918" s="228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4"/>
      <c r="AP918" s="7"/>
      <c r="AQ918" s="74"/>
      <c r="AR918" s="70"/>
      <c r="AS918" s="7"/>
      <c r="AT918" s="70"/>
      <c r="AU918" s="7"/>
      <c r="AV918" s="70"/>
      <c r="AW918" s="7"/>
      <c r="AX918" s="8"/>
      <c r="AY918" s="36"/>
      <c r="AZ918" s="7"/>
      <c r="BA918" s="7"/>
      <c r="BB918" s="7"/>
      <c r="BC918" s="7"/>
      <c r="BD918" s="7"/>
      <c r="BE918" s="7"/>
      <c r="BF918" s="7"/>
      <c r="BG918" s="7"/>
      <c r="BH918" s="7"/>
      <c r="BI918" s="74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101"/>
      <c r="CL918" s="74"/>
      <c r="CM918" s="74"/>
      <c r="CN918" s="74"/>
      <c r="CO918" s="70"/>
      <c r="CP918" s="74"/>
      <c r="CQ918" s="7"/>
      <c r="CR918" s="74"/>
      <c r="CS918" s="74"/>
      <c r="CT918" s="74"/>
      <c r="CU918" s="74"/>
      <c r="CV918" s="74"/>
      <c r="CW918" s="7"/>
      <c r="CX918" s="7"/>
      <c r="CY918" s="7"/>
      <c r="CZ918" s="7"/>
      <c r="DA918" s="7"/>
      <c r="DB918" s="7"/>
      <c r="DC918" s="7"/>
      <c r="DD918" s="7"/>
      <c r="DE918" s="74"/>
      <c r="DF918" s="74"/>
      <c r="DG918" s="74"/>
      <c r="DH918" s="74"/>
      <c r="DI918" s="74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8">
        <f t="shared" si="236"/>
        <v>0</v>
      </c>
      <c r="EA918" s="3">
        <f t="shared" si="237"/>
        <v>0</v>
      </c>
      <c r="EB918" s="2">
        <f t="shared" si="238"/>
        <v>0</v>
      </c>
      <c r="EC918" s="112">
        <f t="shared" si="246"/>
        <v>0</v>
      </c>
      <c r="ED918" s="29">
        <f t="shared" si="239"/>
        <v>0</v>
      </c>
      <c r="EE918" s="2">
        <f t="shared" si="240"/>
        <v>0</v>
      </c>
      <c r="EF918" s="46">
        <f t="shared" si="241"/>
        <v>0</v>
      </c>
      <c r="EG918" s="46">
        <f t="shared" si="242"/>
        <v>0</v>
      </c>
      <c r="EH918" s="2">
        <f t="shared" si="243"/>
        <v>0</v>
      </c>
      <c r="EI918" s="29">
        <f>IF(COUNT(I918:AD918)&lt;5,DZ918,SUMPRODUCT(LARGE(I918:AD918,{1,2,3,4,5}))/5)</f>
        <v>0</v>
      </c>
      <c r="EJ918" s="29">
        <f>IF(COUNT(I918:BE918)&lt;5,DZ918,SUMPRODUCT(LARGE(I918:BE918,{1,2,3,4,5}))/5)</f>
        <v>0</v>
      </c>
      <c r="EK918" s="29">
        <f t="shared" si="245"/>
        <v>0</v>
      </c>
      <c r="EL918" s="29">
        <f>(EK918*100)/101.28</f>
        <v>0</v>
      </c>
      <c r="EM918" s="116">
        <f t="shared" si="244"/>
        <v>0</v>
      </c>
      <c r="EQ918"/>
    </row>
    <row r="919" spans="1:147" x14ac:dyDescent="0.25">
      <c r="A919" s="59"/>
      <c r="B919" s="32"/>
      <c r="C919" s="5"/>
      <c r="D919" s="6"/>
      <c r="E919" s="6"/>
      <c r="F919" s="6"/>
      <c r="G919" s="5"/>
      <c r="H919" s="37"/>
      <c r="I919" s="36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227"/>
      <c r="Z919" s="228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4"/>
      <c r="AP919" s="7"/>
      <c r="AQ919" s="74"/>
      <c r="AR919" s="70"/>
      <c r="AS919" s="7"/>
      <c r="AT919" s="70"/>
      <c r="AU919" s="7"/>
      <c r="AV919" s="70"/>
      <c r="AW919" s="7"/>
      <c r="AX919" s="8"/>
      <c r="AY919" s="36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4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101"/>
      <c r="CL919" s="74"/>
      <c r="CM919" s="74"/>
      <c r="CN919" s="74"/>
      <c r="CO919" s="70"/>
      <c r="CP919" s="74"/>
      <c r="CQ919" s="7"/>
      <c r="CR919" s="74"/>
      <c r="CS919" s="74"/>
      <c r="CT919" s="74"/>
      <c r="CU919" s="74"/>
      <c r="CV919" s="7"/>
      <c r="CW919" s="7"/>
      <c r="CX919" s="7"/>
      <c r="CY919" s="7"/>
      <c r="CZ919" s="7"/>
      <c r="DA919" s="7"/>
      <c r="DB919" s="7"/>
      <c r="DC919" s="7"/>
      <c r="DD919" s="7"/>
      <c r="DE919" s="74"/>
      <c r="DF919" s="74"/>
      <c r="DG919" s="74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8">
        <f t="shared" si="236"/>
        <v>0</v>
      </c>
      <c r="EA919" s="3">
        <f t="shared" si="237"/>
        <v>0</v>
      </c>
      <c r="EB919" s="2">
        <f t="shared" si="238"/>
        <v>0</v>
      </c>
      <c r="EC919" s="112">
        <f t="shared" si="246"/>
        <v>0</v>
      </c>
      <c r="ED919" s="29">
        <f t="shared" si="239"/>
        <v>0</v>
      </c>
      <c r="EE919" s="2">
        <f t="shared" si="240"/>
        <v>0</v>
      </c>
      <c r="EF919" s="46">
        <f t="shared" si="241"/>
        <v>0</v>
      </c>
      <c r="EG919" s="46">
        <f t="shared" si="242"/>
        <v>0</v>
      </c>
      <c r="EH919" s="2">
        <f t="shared" si="243"/>
        <v>0</v>
      </c>
      <c r="EI919" s="29">
        <f>IF(COUNT(I919:AD919)&lt;5,DZ919,SUMPRODUCT(LARGE(I919:AD919,{1,2,3,4,5}))/5)</f>
        <v>0</v>
      </c>
      <c r="EJ919" s="29">
        <f>IF(COUNT(I919:BE919)&lt;5,DZ919,SUMPRODUCT(LARGE(I919:BE919,{1,2,3,4,5}))/5)</f>
        <v>0</v>
      </c>
      <c r="EK919" s="29">
        <f t="shared" si="245"/>
        <v>0</v>
      </c>
      <c r="EL919" s="29">
        <f>(EK919*100)/101.59</f>
        <v>0</v>
      </c>
      <c r="EM919" s="116">
        <f t="shared" si="244"/>
        <v>0</v>
      </c>
      <c r="EQ919"/>
    </row>
    <row r="920" spans="1:147" x14ac:dyDescent="0.25">
      <c r="A920" s="59"/>
      <c r="B920" s="32"/>
      <c r="C920" s="5"/>
      <c r="D920" s="6"/>
      <c r="E920" s="6"/>
      <c r="F920" s="6"/>
      <c r="G920" s="5"/>
      <c r="H920" s="37"/>
      <c r="I920" s="36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227"/>
      <c r="Z920" s="228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4"/>
      <c r="AP920" s="7"/>
      <c r="AQ920" s="74"/>
      <c r="AR920" s="70"/>
      <c r="AS920" s="7"/>
      <c r="AT920" s="70"/>
      <c r="AU920" s="7"/>
      <c r="AV920" s="70"/>
      <c r="AW920" s="7"/>
      <c r="AX920" s="8"/>
      <c r="AY920" s="36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101"/>
      <c r="CL920" s="74"/>
      <c r="CM920" s="74"/>
      <c r="CN920" s="74"/>
      <c r="CO920" s="70"/>
      <c r="CP920" s="74"/>
      <c r="CQ920" s="7"/>
      <c r="CR920" s="74"/>
      <c r="CS920" s="74"/>
      <c r="CT920" s="74"/>
      <c r="CU920" s="74"/>
      <c r="CV920" s="74"/>
      <c r="CW920" s="7"/>
      <c r="CX920" s="7"/>
      <c r="CY920" s="7"/>
      <c r="CZ920" s="74"/>
      <c r="DA920" s="7"/>
      <c r="DB920" s="7"/>
      <c r="DC920" s="7"/>
      <c r="DD920" s="7"/>
      <c r="DE920" s="74"/>
      <c r="DF920" s="74"/>
      <c r="DG920" s="74"/>
      <c r="DH920" s="74"/>
      <c r="DI920" s="74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4"/>
      <c r="DU920" s="7"/>
      <c r="DV920" s="7"/>
      <c r="DW920" s="7"/>
      <c r="DX920" s="7"/>
      <c r="DY920" s="7"/>
      <c r="DZ920" s="8">
        <f t="shared" si="236"/>
        <v>0</v>
      </c>
      <c r="EA920" s="3">
        <f t="shared" si="237"/>
        <v>0</v>
      </c>
      <c r="EB920" s="2">
        <f t="shared" si="238"/>
        <v>0</v>
      </c>
      <c r="EC920" s="112">
        <f t="shared" si="246"/>
        <v>0</v>
      </c>
      <c r="ED920" s="29">
        <f t="shared" si="239"/>
        <v>0</v>
      </c>
      <c r="EE920" s="2">
        <f t="shared" si="240"/>
        <v>0</v>
      </c>
      <c r="EF920" s="46">
        <f t="shared" si="241"/>
        <v>0</v>
      </c>
      <c r="EG920" s="46">
        <f t="shared" si="242"/>
        <v>0</v>
      </c>
      <c r="EH920" s="2">
        <f t="shared" si="243"/>
        <v>0</v>
      </c>
      <c r="EI920" s="29">
        <f>IF(COUNT(I920:AD920)&lt;5,DZ920,SUMPRODUCT(LARGE(I920:AD920,{1,2,3,4,5}))/5)</f>
        <v>0</v>
      </c>
      <c r="EJ920" s="29">
        <f>IF(COUNT(I920:BE920)&lt;5,DZ920,SUMPRODUCT(LARGE(I920:BE920,{1,2,3,4,5}))/5)</f>
        <v>0</v>
      </c>
      <c r="EK920" s="29">
        <f t="shared" si="245"/>
        <v>0</v>
      </c>
      <c r="EL920" s="29">
        <f>(EK920*100)/101.28</f>
        <v>0</v>
      </c>
      <c r="EM920" s="116">
        <f t="shared" si="244"/>
        <v>0</v>
      </c>
      <c r="EQ920"/>
    </row>
    <row r="921" spans="1:147" x14ac:dyDescent="0.25">
      <c r="A921" s="59"/>
      <c r="B921" s="32"/>
      <c r="C921" s="5"/>
      <c r="D921" s="6"/>
      <c r="E921" s="6"/>
      <c r="F921" s="6"/>
      <c r="G921" s="5"/>
      <c r="H921" s="37"/>
      <c r="I921" s="36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227"/>
      <c r="Z921" s="228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4"/>
      <c r="AP921" s="7"/>
      <c r="AQ921" s="74"/>
      <c r="AR921" s="70"/>
      <c r="AS921" s="7"/>
      <c r="AT921" s="70"/>
      <c r="AU921" s="7"/>
      <c r="AV921" s="70"/>
      <c r="AW921" s="7"/>
      <c r="AX921" s="8"/>
      <c r="AY921" s="36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4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4"/>
      <c r="CG921" s="7"/>
      <c r="CH921" s="7"/>
      <c r="CI921" s="7"/>
      <c r="CJ921" s="7"/>
      <c r="CK921" s="101"/>
      <c r="CL921" s="74"/>
      <c r="CM921" s="74"/>
      <c r="CN921" s="74"/>
      <c r="CO921" s="70"/>
      <c r="CP921" s="74"/>
      <c r="CQ921" s="7"/>
      <c r="CR921" s="74"/>
      <c r="CS921" s="74"/>
      <c r="CT921" s="74"/>
      <c r="CU921" s="74"/>
      <c r="CV921" s="7"/>
      <c r="CW921" s="7"/>
      <c r="CX921" s="7"/>
      <c r="CY921" s="7"/>
      <c r="CZ921" s="7"/>
      <c r="DA921" s="7"/>
      <c r="DB921" s="7"/>
      <c r="DC921" s="7"/>
      <c r="DD921" s="7"/>
      <c r="DE921" s="74"/>
      <c r="DF921" s="74"/>
      <c r="DG921" s="74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8">
        <f t="shared" si="236"/>
        <v>0</v>
      </c>
      <c r="EA921" s="3">
        <f t="shared" si="237"/>
        <v>0</v>
      </c>
      <c r="EB921" s="2">
        <f t="shared" si="238"/>
        <v>0</v>
      </c>
      <c r="EC921" s="112">
        <f t="shared" si="246"/>
        <v>0</v>
      </c>
      <c r="ED921" s="29">
        <f t="shared" si="239"/>
        <v>0</v>
      </c>
      <c r="EE921" s="2">
        <f t="shared" si="240"/>
        <v>0</v>
      </c>
      <c r="EF921" s="46">
        <f t="shared" si="241"/>
        <v>0</v>
      </c>
      <c r="EG921" s="46">
        <f t="shared" si="242"/>
        <v>0</v>
      </c>
      <c r="EH921" s="2">
        <f t="shared" si="243"/>
        <v>0</v>
      </c>
      <c r="EI921" s="29">
        <f>IF(COUNT(I921:AD921)&lt;5,DZ921,SUMPRODUCT(LARGE(I921:AD921,{1,2,3,4,5}))/5)</f>
        <v>0</v>
      </c>
      <c r="EJ921" s="29">
        <f>IF(COUNT(I921:BE921)&lt;5,DZ921,SUMPRODUCT(LARGE(I921:BE921,{1,2,3,4,5}))/5)</f>
        <v>0</v>
      </c>
      <c r="EK921" s="29">
        <f t="shared" si="245"/>
        <v>0</v>
      </c>
      <c r="EL921" s="29">
        <f>(EK921*100)/101.59</f>
        <v>0</v>
      </c>
      <c r="EM921" s="116">
        <f t="shared" si="244"/>
        <v>0</v>
      </c>
      <c r="EQ921"/>
    </row>
    <row r="922" spans="1:147" x14ac:dyDescent="0.25">
      <c r="A922" s="59"/>
      <c r="B922" s="32"/>
      <c r="C922" s="5"/>
      <c r="D922" s="6"/>
      <c r="E922" s="6"/>
      <c r="F922" s="6"/>
      <c r="G922" s="5"/>
      <c r="H922" s="37"/>
      <c r="I922" s="36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227"/>
      <c r="Z922" s="228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4"/>
      <c r="AP922" s="7"/>
      <c r="AQ922" s="74"/>
      <c r="AR922" s="70"/>
      <c r="AS922" s="7"/>
      <c r="AT922" s="70"/>
      <c r="AU922" s="7"/>
      <c r="AV922" s="70"/>
      <c r="AW922" s="7"/>
      <c r="AX922" s="8"/>
      <c r="AY922" s="36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101"/>
      <c r="CL922" s="74"/>
      <c r="CM922" s="74"/>
      <c r="CN922" s="74"/>
      <c r="CO922" s="70"/>
      <c r="CP922" s="74"/>
      <c r="CQ922" s="7"/>
      <c r="CR922" s="74"/>
      <c r="CS922" s="74"/>
      <c r="CT922" s="74"/>
      <c r="CU922" s="74"/>
      <c r="CV922" s="74"/>
      <c r="CW922" s="7"/>
      <c r="CX922" s="7"/>
      <c r="CY922" s="7"/>
      <c r="CZ922" s="7"/>
      <c r="DA922" s="7"/>
      <c r="DB922" s="7"/>
      <c r="DC922" s="7"/>
      <c r="DD922" s="7"/>
      <c r="DE922" s="74"/>
      <c r="DF922" s="74"/>
      <c r="DG922" s="74"/>
      <c r="DH922" s="74"/>
      <c r="DI922" s="74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8">
        <f t="shared" si="236"/>
        <v>0</v>
      </c>
      <c r="EA922" s="3">
        <f t="shared" si="237"/>
        <v>0</v>
      </c>
      <c r="EB922" s="2">
        <f t="shared" si="238"/>
        <v>0</v>
      </c>
      <c r="EC922" s="112">
        <f t="shared" si="246"/>
        <v>0</v>
      </c>
      <c r="ED922" s="29">
        <f t="shared" si="239"/>
        <v>0</v>
      </c>
      <c r="EE922" s="2">
        <f t="shared" si="240"/>
        <v>0</v>
      </c>
      <c r="EF922" s="46">
        <f t="shared" si="241"/>
        <v>0</v>
      </c>
      <c r="EG922" s="46">
        <f t="shared" si="242"/>
        <v>0</v>
      </c>
      <c r="EH922" s="2">
        <f t="shared" si="243"/>
        <v>0</v>
      </c>
      <c r="EI922" s="29">
        <f>IF(COUNT(I922:AD922)&lt;5,DZ922,SUMPRODUCT(LARGE(I922:AD922,{1,2,3,4,5}))/5)</f>
        <v>0</v>
      </c>
      <c r="EJ922" s="29">
        <f>IF(COUNT(I922:BE922)&lt;5,DZ922,SUMPRODUCT(LARGE(I922:BE922,{1,2,3,4,5}))/5)</f>
        <v>0</v>
      </c>
      <c r="EK922" s="29">
        <f t="shared" si="245"/>
        <v>0</v>
      </c>
      <c r="EL922" s="29">
        <f t="shared" ref="EL922:EL928" si="247">(EK922*100)/101.28</f>
        <v>0</v>
      </c>
      <c r="EM922" s="116">
        <f t="shared" si="244"/>
        <v>0</v>
      </c>
      <c r="EQ922"/>
    </row>
    <row r="923" spans="1:147" x14ac:dyDescent="0.25">
      <c r="A923" s="59"/>
      <c r="B923" s="32"/>
      <c r="C923" s="5"/>
      <c r="D923" s="6"/>
      <c r="E923" s="6"/>
      <c r="F923" s="6"/>
      <c r="G923" s="5"/>
      <c r="H923" s="37"/>
      <c r="I923" s="36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227"/>
      <c r="Z923" s="228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4"/>
      <c r="AP923" s="7"/>
      <c r="AQ923" s="74"/>
      <c r="AR923" s="70"/>
      <c r="AS923" s="7"/>
      <c r="AT923" s="70"/>
      <c r="AU923" s="7"/>
      <c r="AV923" s="70"/>
      <c r="AW923" s="7"/>
      <c r="AX923" s="8"/>
      <c r="AY923" s="36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101"/>
      <c r="CL923" s="74"/>
      <c r="CM923" s="74"/>
      <c r="CN923" s="74"/>
      <c r="CO923" s="70"/>
      <c r="CP923" s="74"/>
      <c r="CQ923" s="7"/>
      <c r="CR923" s="74"/>
      <c r="CS923" s="74"/>
      <c r="CT923" s="74"/>
      <c r="CU923" s="74"/>
      <c r="CV923" s="74"/>
      <c r="CW923" s="7"/>
      <c r="CX923" s="7"/>
      <c r="CY923" s="7"/>
      <c r="CZ923" s="7"/>
      <c r="DA923" s="7"/>
      <c r="DB923" s="7"/>
      <c r="DC923" s="7"/>
      <c r="DD923" s="7"/>
      <c r="DE923" s="74"/>
      <c r="DF923" s="74"/>
      <c r="DG923" s="74"/>
      <c r="DH923" s="74"/>
      <c r="DI923" s="74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8">
        <f t="shared" si="236"/>
        <v>0</v>
      </c>
      <c r="EA923" s="3">
        <f t="shared" si="237"/>
        <v>0</v>
      </c>
      <c r="EB923" s="2">
        <f t="shared" si="238"/>
        <v>0</v>
      </c>
      <c r="EC923" s="112">
        <f t="shared" si="246"/>
        <v>0</v>
      </c>
      <c r="ED923" s="29">
        <f t="shared" si="239"/>
        <v>0</v>
      </c>
      <c r="EE923" s="2">
        <f t="shared" si="240"/>
        <v>0</v>
      </c>
      <c r="EF923" s="46">
        <f t="shared" si="241"/>
        <v>0</v>
      </c>
      <c r="EG923" s="46">
        <f t="shared" si="242"/>
        <v>0</v>
      </c>
      <c r="EH923" s="2">
        <f t="shared" si="243"/>
        <v>0</v>
      </c>
      <c r="EI923" s="29">
        <f>IF(COUNT(I923:AD923)&lt;5,DZ923,SUMPRODUCT(LARGE(I923:AD923,{1,2,3,4,5}))/5)</f>
        <v>0</v>
      </c>
      <c r="EJ923" s="29">
        <f>IF(COUNT(I923:BE923)&lt;5,DZ923,SUMPRODUCT(LARGE(I923:BE923,{1,2,3,4,5}))/5)</f>
        <v>0</v>
      </c>
      <c r="EK923" s="29">
        <f t="shared" si="245"/>
        <v>0</v>
      </c>
      <c r="EL923" s="29">
        <f t="shared" si="247"/>
        <v>0</v>
      </c>
      <c r="EM923" s="116">
        <f t="shared" si="244"/>
        <v>0</v>
      </c>
      <c r="EQ923"/>
    </row>
    <row r="924" spans="1:147" x14ac:dyDescent="0.25">
      <c r="A924" s="59"/>
      <c r="B924" s="32"/>
      <c r="C924" s="5"/>
      <c r="D924" s="6"/>
      <c r="E924" s="6"/>
      <c r="F924" s="6"/>
      <c r="G924" s="5"/>
      <c r="H924" s="37"/>
      <c r="I924" s="107"/>
      <c r="J924" s="7"/>
      <c r="K924" s="74"/>
      <c r="L924" s="7"/>
      <c r="M924" s="74"/>
      <c r="N924" s="74"/>
      <c r="O924" s="7"/>
      <c r="P924" s="74"/>
      <c r="Q924" s="7"/>
      <c r="R924" s="74"/>
      <c r="S924" s="74"/>
      <c r="T924" s="7"/>
      <c r="U924" s="7"/>
      <c r="V924" s="74"/>
      <c r="W924" s="7"/>
      <c r="X924" s="74"/>
      <c r="Y924" s="227"/>
      <c r="Z924" s="228"/>
      <c r="AA924" s="74"/>
      <c r="AB924" s="74"/>
      <c r="AC924" s="74"/>
      <c r="AD924" s="74"/>
      <c r="AE924" s="7"/>
      <c r="AF924" s="74"/>
      <c r="AG924" s="74"/>
      <c r="AH924" s="7"/>
      <c r="AI924" s="7"/>
      <c r="AJ924" s="7"/>
      <c r="AK924" s="7"/>
      <c r="AL924" s="7"/>
      <c r="AM924" s="7"/>
      <c r="AN924" s="7"/>
      <c r="AO924" s="74"/>
      <c r="AP924" s="7"/>
      <c r="AQ924" s="74"/>
      <c r="AR924" s="101"/>
      <c r="AS924" s="7"/>
      <c r="AT924" s="101"/>
      <c r="AU924" s="7"/>
      <c r="AV924" s="101"/>
      <c r="AW924" s="7"/>
      <c r="AX924" s="8"/>
      <c r="AY924" s="36"/>
      <c r="AZ924" s="74"/>
      <c r="BA924" s="74"/>
      <c r="BB924" s="74"/>
      <c r="BC924" s="74"/>
      <c r="BD924" s="74"/>
      <c r="BE924" s="74"/>
      <c r="BF924" s="74"/>
      <c r="BG924" s="74"/>
      <c r="BH924" s="74"/>
      <c r="BI924" s="74"/>
      <c r="BJ924" s="74"/>
      <c r="BK924" s="7"/>
      <c r="BL924" s="74"/>
      <c r="BM924" s="7"/>
      <c r="BN924" s="74"/>
      <c r="BO924" s="74"/>
      <c r="BP924" s="74"/>
      <c r="BQ924" s="74"/>
      <c r="BR924" s="74"/>
      <c r="BS924" s="74"/>
      <c r="BT924" s="74"/>
      <c r="BU924" s="74"/>
      <c r="BV924" s="74"/>
      <c r="BW924" s="74"/>
      <c r="BX924" s="74"/>
      <c r="BY924" s="74"/>
      <c r="BZ924" s="74"/>
      <c r="CA924" s="74"/>
      <c r="CB924" s="74"/>
      <c r="CC924" s="74"/>
      <c r="CD924" s="74"/>
      <c r="CE924" s="7"/>
      <c r="CF924" s="74"/>
      <c r="CG924" s="74"/>
      <c r="CH924" s="7"/>
      <c r="CI924" s="74"/>
      <c r="CJ924" s="74"/>
      <c r="CK924" s="101"/>
      <c r="CL924" s="74"/>
      <c r="CM924" s="74"/>
      <c r="CN924" s="74"/>
      <c r="CO924" s="101"/>
      <c r="CP924" s="74"/>
      <c r="CQ924" s="74"/>
      <c r="CR924" s="74"/>
      <c r="CS924" s="74"/>
      <c r="CT924" s="74"/>
      <c r="CU924" s="74"/>
      <c r="CV924" s="74"/>
      <c r="CW924" s="74"/>
      <c r="CX924" s="74"/>
      <c r="CY924" s="74"/>
      <c r="CZ924" s="74"/>
      <c r="DA924" s="74"/>
      <c r="DB924" s="74"/>
      <c r="DC924" s="74"/>
      <c r="DD924" s="74"/>
      <c r="DE924" s="74"/>
      <c r="DF924" s="74"/>
      <c r="DG924" s="74"/>
      <c r="DH924" s="74"/>
      <c r="DI924" s="74"/>
      <c r="DJ924" s="74"/>
      <c r="DK924" s="74"/>
      <c r="DL924" s="74"/>
      <c r="DM924" s="74"/>
      <c r="DN924" s="74"/>
      <c r="DO924" s="74"/>
      <c r="DP924" s="74"/>
      <c r="DQ924" s="74"/>
      <c r="DR924" s="74"/>
      <c r="DS924" s="74"/>
      <c r="DT924" s="74"/>
      <c r="DU924" s="74"/>
      <c r="DV924" s="74"/>
      <c r="DW924" s="74"/>
      <c r="DX924" s="74"/>
      <c r="DY924" s="74"/>
      <c r="DZ924" s="8">
        <f t="shared" si="236"/>
        <v>0</v>
      </c>
      <c r="EA924" s="3">
        <f t="shared" si="237"/>
        <v>0</v>
      </c>
      <c r="EB924" s="2">
        <f t="shared" si="238"/>
        <v>0</v>
      </c>
      <c r="EC924" s="112">
        <f t="shared" si="246"/>
        <v>0</v>
      </c>
      <c r="ED924" s="29">
        <f t="shared" si="239"/>
        <v>0</v>
      </c>
      <c r="EE924" s="2">
        <f t="shared" si="240"/>
        <v>0</v>
      </c>
      <c r="EF924" s="46">
        <f t="shared" si="241"/>
        <v>0</v>
      </c>
      <c r="EG924" s="46">
        <f t="shared" si="242"/>
        <v>0</v>
      </c>
      <c r="EH924" s="29">
        <f t="shared" si="243"/>
        <v>0</v>
      </c>
      <c r="EI924" s="29">
        <f>IF(COUNT(I924:AD924)&lt;5,DZ924,SUMPRODUCT(LARGE(I924:AD924,{1,2,3,4,5}))/5)</f>
        <v>0</v>
      </c>
      <c r="EJ924" s="29">
        <f>IF(COUNT(I924:BE924)&lt;5,DZ924,SUMPRODUCT(LARGE(I924:BE924,{1,2,3,4,5}))/5)</f>
        <v>0</v>
      </c>
      <c r="EK924" s="29">
        <f t="shared" si="245"/>
        <v>0</v>
      </c>
      <c r="EL924" s="29">
        <f t="shared" si="247"/>
        <v>0</v>
      </c>
      <c r="EM924" s="116">
        <f t="shared" si="244"/>
        <v>0</v>
      </c>
      <c r="EQ924"/>
    </row>
    <row r="925" spans="1:147" x14ac:dyDescent="0.25">
      <c r="A925" s="59"/>
      <c r="B925" s="4"/>
      <c r="C925" s="5"/>
      <c r="D925" s="5"/>
      <c r="E925" s="6"/>
      <c r="F925" s="6"/>
      <c r="G925" s="5"/>
      <c r="H925" s="99"/>
      <c r="I925" s="107"/>
      <c r="J925" s="7"/>
      <c r="K925" s="106"/>
      <c r="L925" s="7"/>
      <c r="M925" s="106"/>
      <c r="N925" s="106"/>
      <c r="O925" s="7"/>
      <c r="P925" s="106"/>
      <c r="Q925" s="7"/>
      <c r="R925" s="106"/>
      <c r="S925" s="106"/>
      <c r="T925" s="7"/>
      <c r="U925" s="7"/>
      <c r="V925" s="106"/>
      <c r="W925" s="7"/>
      <c r="X925" s="106"/>
      <c r="Y925" s="227"/>
      <c r="Z925" s="228"/>
      <c r="AA925" s="7"/>
      <c r="AB925" s="7"/>
      <c r="AC925" s="106"/>
      <c r="AD925" s="74"/>
      <c r="AE925" s="7"/>
      <c r="AF925" s="106"/>
      <c r="AG925" s="74"/>
      <c r="AH925" s="7"/>
      <c r="AI925" s="7"/>
      <c r="AJ925" s="7"/>
      <c r="AK925" s="7"/>
      <c r="AL925" s="7"/>
      <c r="AM925" s="7"/>
      <c r="AN925" s="7"/>
      <c r="AO925" s="74"/>
      <c r="AP925" s="7"/>
      <c r="AQ925" s="74"/>
      <c r="AR925" s="101"/>
      <c r="AS925" s="7"/>
      <c r="AT925" s="101"/>
      <c r="AU925" s="7"/>
      <c r="AV925" s="101"/>
      <c r="AW925" s="7"/>
      <c r="AX925" s="8"/>
      <c r="AY925" s="36"/>
      <c r="AZ925" s="74"/>
      <c r="BA925" s="74"/>
      <c r="BB925" s="74"/>
      <c r="BC925" s="74"/>
      <c r="BD925" s="7"/>
      <c r="BE925" s="74"/>
      <c r="BF925" s="7"/>
      <c r="BG925" s="74"/>
      <c r="BH925" s="74"/>
      <c r="BI925" s="74"/>
      <c r="BJ925" s="74"/>
      <c r="BK925" s="7"/>
      <c r="BL925" s="74"/>
      <c r="BM925" s="7"/>
      <c r="BN925" s="74"/>
      <c r="BO925" s="74"/>
      <c r="BP925" s="74"/>
      <c r="BQ925" s="74"/>
      <c r="BR925" s="74"/>
      <c r="BS925" s="74"/>
      <c r="BT925" s="74"/>
      <c r="BU925" s="74"/>
      <c r="BV925" s="74"/>
      <c r="BW925" s="74"/>
      <c r="BX925" s="74"/>
      <c r="BY925" s="74"/>
      <c r="BZ925" s="74"/>
      <c r="CA925" s="74"/>
      <c r="CB925" s="74"/>
      <c r="CC925" s="74"/>
      <c r="CD925" s="74"/>
      <c r="CE925" s="7"/>
      <c r="CF925" s="74"/>
      <c r="CG925" s="74"/>
      <c r="CH925" s="7"/>
      <c r="CI925" s="74"/>
      <c r="CJ925" s="74"/>
      <c r="CK925" s="101"/>
      <c r="CL925" s="74"/>
      <c r="CM925" s="7"/>
      <c r="CN925" s="74"/>
      <c r="CO925" s="101"/>
      <c r="CP925" s="74"/>
      <c r="CQ925" s="74"/>
      <c r="CR925" s="74"/>
      <c r="CS925" s="74"/>
      <c r="CT925" s="74"/>
      <c r="CU925" s="74"/>
      <c r="CV925" s="74"/>
      <c r="CW925" s="74"/>
      <c r="CX925" s="74"/>
      <c r="CY925" s="74"/>
      <c r="CZ925" s="74"/>
      <c r="DA925" s="74"/>
      <c r="DB925" s="74"/>
      <c r="DC925" s="74"/>
      <c r="DD925" s="74"/>
      <c r="DE925" s="74"/>
      <c r="DF925" s="74"/>
      <c r="DG925" s="74"/>
      <c r="DH925" s="74"/>
      <c r="DI925" s="74"/>
      <c r="DJ925" s="74"/>
      <c r="DK925" s="74"/>
      <c r="DL925" s="74"/>
      <c r="DM925" s="74"/>
      <c r="DN925" s="74"/>
      <c r="DO925" s="74"/>
      <c r="DP925" s="74"/>
      <c r="DQ925" s="74"/>
      <c r="DR925" s="74"/>
      <c r="DS925" s="74"/>
      <c r="DT925" s="74"/>
      <c r="DU925" s="74"/>
      <c r="DV925" s="74"/>
      <c r="DW925" s="74"/>
      <c r="DX925" s="74"/>
      <c r="DY925" s="74"/>
      <c r="DZ925" s="8">
        <f t="shared" si="236"/>
        <v>0</v>
      </c>
      <c r="EA925" s="3">
        <f t="shared" si="237"/>
        <v>0</v>
      </c>
      <c r="EB925" s="2">
        <f t="shared" si="238"/>
        <v>0</v>
      </c>
      <c r="EC925" s="112">
        <f t="shared" si="246"/>
        <v>0</v>
      </c>
      <c r="ED925" s="29">
        <f t="shared" si="239"/>
        <v>0</v>
      </c>
      <c r="EE925" s="2">
        <f t="shared" si="240"/>
        <v>0</v>
      </c>
      <c r="EF925" s="46">
        <f t="shared" si="241"/>
        <v>0</v>
      </c>
      <c r="EG925" s="46">
        <f t="shared" si="242"/>
        <v>0</v>
      </c>
      <c r="EH925" s="29">
        <f t="shared" si="243"/>
        <v>0</v>
      </c>
      <c r="EI925" s="29">
        <f>IF(COUNT(I925:AD925)&lt;5,DZ925,SUMPRODUCT(LARGE(I925:AD925,{1,2,3,4,5}))/5)</f>
        <v>0</v>
      </c>
      <c r="EJ925" s="29">
        <f>IF(COUNT(I925:BE925)&lt;5,DZ925,SUMPRODUCT(LARGE(I925:BE925,{1,2,3,4,5}))/5)</f>
        <v>0</v>
      </c>
      <c r="EK925" s="29">
        <f t="shared" si="245"/>
        <v>0</v>
      </c>
      <c r="EL925" s="29">
        <f t="shared" si="247"/>
        <v>0</v>
      </c>
      <c r="EM925" s="116">
        <f t="shared" si="244"/>
        <v>0</v>
      </c>
      <c r="EQ925"/>
    </row>
    <row r="926" spans="1:147" x14ac:dyDescent="0.25">
      <c r="A926" s="59"/>
      <c r="B926" s="32"/>
      <c r="C926" s="5"/>
      <c r="D926" s="6"/>
      <c r="E926" s="6"/>
      <c r="F926" s="6"/>
      <c r="G926" s="5"/>
      <c r="H926" s="37"/>
      <c r="I926" s="107"/>
      <c r="J926" s="7"/>
      <c r="K926" s="74"/>
      <c r="L926" s="7"/>
      <c r="M926" s="74"/>
      <c r="N926" s="74"/>
      <c r="O926" s="7"/>
      <c r="P926" s="74"/>
      <c r="Q926" s="74"/>
      <c r="R926" s="74"/>
      <c r="S926" s="74"/>
      <c r="T926" s="7"/>
      <c r="U926" s="7"/>
      <c r="V926" s="74"/>
      <c r="W926" s="7"/>
      <c r="X926" s="74"/>
      <c r="Y926" s="227"/>
      <c r="Z926" s="228"/>
      <c r="AA926" s="74"/>
      <c r="AB926" s="74"/>
      <c r="AC926" s="74"/>
      <c r="AD926" s="74"/>
      <c r="AE926" s="7"/>
      <c r="AF926" s="74"/>
      <c r="AG926" s="74"/>
      <c r="AH926" s="7"/>
      <c r="AI926" s="7"/>
      <c r="AJ926" s="7"/>
      <c r="AK926" s="7"/>
      <c r="AL926" s="7"/>
      <c r="AM926" s="7"/>
      <c r="AN926" s="7"/>
      <c r="AO926" s="74"/>
      <c r="AP926" s="7"/>
      <c r="AQ926" s="74"/>
      <c r="AR926" s="101"/>
      <c r="AS926" s="7"/>
      <c r="AT926" s="101"/>
      <c r="AU926" s="7"/>
      <c r="AV926" s="101"/>
      <c r="AW926" s="7"/>
      <c r="AX926" s="8"/>
      <c r="AY926" s="36"/>
      <c r="AZ926" s="74"/>
      <c r="BA926" s="74"/>
      <c r="BB926" s="74"/>
      <c r="BC926" s="74"/>
      <c r="BD926" s="74"/>
      <c r="BE926" s="74"/>
      <c r="BF926" s="74"/>
      <c r="BG926" s="74"/>
      <c r="BH926" s="74"/>
      <c r="BI926" s="74"/>
      <c r="BJ926" s="74"/>
      <c r="BK926" s="7"/>
      <c r="BL926" s="74"/>
      <c r="BM926" s="7"/>
      <c r="BN926" s="74"/>
      <c r="BO926" s="74"/>
      <c r="BP926" s="74"/>
      <c r="BQ926" s="74"/>
      <c r="BR926" s="74"/>
      <c r="BS926" s="74"/>
      <c r="BT926" s="74"/>
      <c r="BU926" s="74"/>
      <c r="BV926" s="74"/>
      <c r="BW926" s="74"/>
      <c r="BX926" s="74"/>
      <c r="BY926" s="74"/>
      <c r="BZ926" s="74"/>
      <c r="CA926" s="74"/>
      <c r="CB926" s="7"/>
      <c r="CC926" s="74"/>
      <c r="CD926" s="74"/>
      <c r="CE926" s="7"/>
      <c r="CF926" s="74"/>
      <c r="CG926" s="74"/>
      <c r="CH926" s="7"/>
      <c r="CI926" s="74"/>
      <c r="CJ926" s="74"/>
      <c r="CK926" s="101"/>
      <c r="CL926" s="74"/>
      <c r="CM926" s="74"/>
      <c r="CN926" s="74"/>
      <c r="CO926" s="101"/>
      <c r="CP926" s="74"/>
      <c r="CQ926" s="74"/>
      <c r="CR926" s="74"/>
      <c r="CS926" s="74"/>
      <c r="CT926" s="74"/>
      <c r="CU926" s="74"/>
      <c r="CV926" s="74"/>
      <c r="CW926" s="74"/>
      <c r="CX926" s="74"/>
      <c r="CY926" s="7"/>
      <c r="CZ926" s="74"/>
      <c r="DA926" s="74"/>
      <c r="DB926" s="74"/>
      <c r="DC926" s="74"/>
      <c r="DD926" s="74"/>
      <c r="DE926" s="74"/>
      <c r="DF926" s="74"/>
      <c r="DG926" s="74"/>
      <c r="DH926" s="74"/>
      <c r="DI926" s="74"/>
      <c r="DJ926" s="74"/>
      <c r="DK926" s="74"/>
      <c r="DL926" s="74"/>
      <c r="DM926" s="74"/>
      <c r="DN926" s="74"/>
      <c r="DO926" s="74"/>
      <c r="DP926" s="74"/>
      <c r="DQ926" s="74"/>
      <c r="DR926" s="74"/>
      <c r="DS926" s="74"/>
      <c r="DT926" s="74"/>
      <c r="DU926" s="74"/>
      <c r="DV926" s="74"/>
      <c r="DW926" s="74"/>
      <c r="DX926" s="74"/>
      <c r="DY926" s="74"/>
      <c r="DZ926" s="8">
        <f t="shared" si="236"/>
        <v>0</v>
      </c>
      <c r="EA926" s="3">
        <f t="shared" si="237"/>
        <v>0</v>
      </c>
      <c r="EB926" s="2">
        <f t="shared" si="238"/>
        <v>0</v>
      </c>
      <c r="EC926" s="112">
        <f t="shared" si="246"/>
        <v>0</v>
      </c>
      <c r="ED926" s="29">
        <f t="shared" si="239"/>
        <v>0</v>
      </c>
      <c r="EE926" s="2">
        <f t="shared" si="240"/>
        <v>0</v>
      </c>
      <c r="EF926" s="46">
        <f t="shared" si="241"/>
        <v>0</v>
      </c>
      <c r="EG926" s="46">
        <f t="shared" si="242"/>
        <v>0</v>
      </c>
      <c r="EH926" s="2">
        <f t="shared" si="243"/>
        <v>0</v>
      </c>
      <c r="EI926" s="29">
        <f>IF(COUNT(I926:AD926)&lt;5,DZ926,SUMPRODUCT(LARGE(I926:AD926,{1,2,3,4,5}))/5)</f>
        <v>0</v>
      </c>
      <c r="EJ926" s="29">
        <f>IF(COUNT(I926:BE926)&lt;5,DZ926,SUMPRODUCT(LARGE(I926:BE926,{1,2,3,4,5}))/5)</f>
        <v>0</v>
      </c>
      <c r="EK926" s="29">
        <f t="shared" si="245"/>
        <v>0</v>
      </c>
      <c r="EL926" s="29">
        <f t="shared" si="247"/>
        <v>0</v>
      </c>
      <c r="EM926" s="116">
        <f t="shared" si="244"/>
        <v>0</v>
      </c>
      <c r="EQ926"/>
    </row>
    <row r="927" spans="1:147" x14ac:dyDescent="0.25">
      <c r="A927" s="59"/>
      <c r="B927" s="54"/>
      <c r="C927" s="55"/>
      <c r="D927" s="55"/>
      <c r="E927" s="6"/>
      <c r="F927" s="6"/>
      <c r="G927" s="5"/>
      <c r="H927" s="99"/>
      <c r="I927" s="36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227"/>
      <c r="Z927" s="228"/>
      <c r="AA927" s="7"/>
      <c r="AB927" s="7"/>
      <c r="AC927" s="7"/>
      <c r="AD927" s="7"/>
      <c r="AE927" s="7"/>
      <c r="AF927" s="7"/>
      <c r="AG927" s="7"/>
      <c r="AH927" s="74"/>
      <c r="AI927" s="74"/>
      <c r="AJ927" s="74"/>
      <c r="AK927" s="74"/>
      <c r="AL927" s="7"/>
      <c r="AM927" s="74"/>
      <c r="AN927" s="7"/>
      <c r="AO927" s="74"/>
      <c r="AP927" s="7"/>
      <c r="AQ927" s="74"/>
      <c r="AR927" s="70"/>
      <c r="AS927" s="7"/>
      <c r="AT927" s="70"/>
      <c r="AU927" s="7"/>
      <c r="AV927" s="70"/>
      <c r="AW927" s="7"/>
      <c r="AX927" s="183"/>
      <c r="AY927" s="10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101"/>
      <c r="CL927" s="74"/>
      <c r="CM927" s="74"/>
      <c r="CN927" s="74"/>
      <c r="CO927" s="70"/>
      <c r="CP927" s="74"/>
      <c r="CQ927" s="7"/>
      <c r="CR927" s="74"/>
      <c r="CS927" s="74"/>
      <c r="CT927" s="74"/>
      <c r="CU927" s="74"/>
      <c r="CV927" s="74"/>
      <c r="CW927" s="7"/>
      <c r="CX927" s="7"/>
      <c r="CY927" s="7"/>
      <c r="CZ927" s="7"/>
      <c r="DA927" s="7"/>
      <c r="DB927" s="7"/>
      <c r="DC927" s="7"/>
      <c r="DD927" s="7"/>
      <c r="DE927" s="74"/>
      <c r="DF927" s="74"/>
      <c r="DG927" s="74"/>
      <c r="DH927" s="74"/>
      <c r="DI927" s="74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8">
        <f t="shared" si="236"/>
        <v>0</v>
      </c>
      <c r="EA927" s="3">
        <f t="shared" si="237"/>
        <v>0</v>
      </c>
      <c r="EB927" s="2">
        <f t="shared" si="238"/>
        <v>0</v>
      </c>
      <c r="EC927" s="112">
        <f t="shared" si="246"/>
        <v>0</v>
      </c>
      <c r="ED927" s="29">
        <f t="shared" si="239"/>
        <v>0</v>
      </c>
      <c r="EE927" s="2">
        <f t="shared" si="240"/>
        <v>0</v>
      </c>
      <c r="EF927" s="46">
        <f t="shared" si="241"/>
        <v>0</v>
      </c>
      <c r="EG927" s="46">
        <f t="shared" si="242"/>
        <v>0</v>
      </c>
      <c r="EH927" s="2">
        <f t="shared" si="243"/>
        <v>0</v>
      </c>
      <c r="EI927" s="29">
        <f>IF(COUNT(I927:AD927)&lt;5,DZ927,SUMPRODUCT(LARGE(I927:AD927,{1,2,3,4,5}))/5)</f>
        <v>0</v>
      </c>
      <c r="EJ927" s="29">
        <f>IF(COUNT(I927:BE927)&lt;5,DZ927,SUMPRODUCT(LARGE(I927:BE927,{1,2,3,4,5}))/5)</f>
        <v>0</v>
      </c>
      <c r="EK927" s="29">
        <f t="shared" si="245"/>
        <v>0</v>
      </c>
      <c r="EL927" s="29">
        <f t="shared" si="247"/>
        <v>0</v>
      </c>
      <c r="EM927" s="116">
        <f t="shared" si="244"/>
        <v>0</v>
      </c>
      <c r="EQ927"/>
    </row>
    <row r="928" spans="1:147" x14ac:dyDescent="0.25">
      <c r="A928" s="59"/>
      <c r="B928" s="32"/>
      <c r="C928" s="5"/>
      <c r="D928" s="6"/>
      <c r="E928" s="6"/>
      <c r="F928" s="6"/>
      <c r="G928" s="5"/>
      <c r="H928" s="37"/>
      <c r="I928" s="36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227"/>
      <c r="Z928" s="228"/>
      <c r="AA928" s="7"/>
      <c r="AB928" s="7"/>
      <c r="AC928" s="7"/>
      <c r="AD928" s="7"/>
      <c r="AE928" s="7"/>
      <c r="AF928" s="7"/>
      <c r="AG928" s="7"/>
      <c r="AH928" s="74"/>
      <c r="AI928" s="74"/>
      <c r="AJ928" s="74"/>
      <c r="AK928" s="74"/>
      <c r="AL928" s="7"/>
      <c r="AM928" s="74"/>
      <c r="AN928" s="7"/>
      <c r="AO928" s="74"/>
      <c r="AP928" s="7"/>
      <c r="AQ928" s="74"/>
      <c r="AR928" s="70"/>
      <c r="AS928" s="7"/>
      <c r="AT928" s="70"/>
      <c r="AU928" s="7"/>
      <c r="AV928" s="70"/>
      <c r="AW928" s="7"/>
      <c r="AX928" s="183"/>
      <c r="AY928" s="10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101"/>
      <c r="CL928" s="74"/>
      <c r="CM928" s="74"/>
      <c r="CN928" s="74"/>
      <c r="CO928" s="70"/>
      <c r="CP928" s="74"/>
      <c r="CQ928" s="7"/>
      <c r="CR928" s="74"/>
      <c r="CS928" s="74"/>
      <c r="CT928" s="74"/>
      <c r="CU928" s="74"/>
      <c r="CV928" s="74"/>
      <c r="CW928" s="7"/>
      <c r="CX928" s="7"/>
      <c r="CY928" s="7"/>
      <c r="CZ928" s="7"/>
      <c r="DA928" s="7"/>
      <c r="DB928" s="7"/>
      <c r="DC928" s="7"/>
      <c r="DD928" s="7"/>
      <c r="DE928" s="74"/>
      <c r="DF928" s="74"/>
      <c r="DG928" s="74"/>
      <c r="DH928" s="74"/>
      <c r="DI928" s="74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8">
        <f t="shared" si="236"/>
        <v>0</v>
      </c>
      <c r="EA928" s="3">
        <f t="shared" si="237"/>
        <v>0</v>
      </c>
      <c r="EB928" s="2">
        <f t="shared" si="238"/>
        <v>0</v>
      </c>
      <c r="EC928" s="112">
        <f t="shared" si="246"/>
        <v>0</v>
      </c>
      <c r="ED928" s="29">
        <f t="shared" si="239"/>
        <v>0</v>
      </c>
      <c r="EE928" s="2">
        <f t="shared" si="240"/>
        <v>0</v>
      </c>
      <c r="EF928" s="46">
        <f t="shared" si="241"/>
        <v>0</v>
      </c>
      <c r="EG928" s="46">
        <f t="shared" si="242"/>
        <v>0</v>
      </c>
      <c r="EH928" s="2">
        <f t="shared" si="243"/>
        <v>0</v>
      </c>
      <c r="EI928" s="29">
        <f>IF(COUNT(I928:AD928)&lt;5,DZ928,SUMPRODUCT(LARGE(I928:AD928,{1,2,3,4,5}))/5)</f>
        <v>0</v>
      </c>
      <c r="EJ928" s="29">
        <f>IF(COUNT(I928:BE928)&lt;5,DZ928,SUMPRODUCT(LARGE(I928:BE928,{1,2,3,4,5}))/5)</f>
        <v>0</v>
      </c>
      <c r="EK928" s="29">
        <f t="shared" si="245"/>
        <v>0</v>
      </c>
      <c r="EL928" s="29">
        <f t="shared" si="247"/>
        <v>0</v>
      </c>
      <c r="EM928" s="116">
        <f t="shared" si="244"/>
        <v>0</v>
      </c>
      <c r="EQ928"/>
    </row>
    <row r="929" spans="1:147" x14ac:dyDescent="0.25">
      <c r="A929" s="59"/>
      <c r="B929" s="32"/>
      <c r="C929" s="5"/>
      <c r="D929" s="6"/>
      <c r="E929" s="6"/>
      <c r="F929" s="6"/>
      <c r="G929" s="5"/>
      <c r="H929" s="37"/>
      <c r="I929" s="36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227"/>
      <c r="Z929" s="228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4"/>
      <c r="AP929" s="7"/>
      <c r="AQ929" s="74"/>
      <c r="AR929" s="70"/>
      <c r="AS929" s="7"/>
      <c r="AT929" s="70"/>
      <c r="AU929" s="7"/>
      <c r="AV929" s="70"/>
      <c r="AW929" s="7"/>
      <c r="AX929" s="183"/>
      <c r="AY929" s="10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4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101"/>
      <c r="CL929" s="74"/>
      <c r="CM929" s="74"/>
      <c r="CN929" s="74"/>
      <c r="CO929" s="70"/>
      <c r="CP929" s="74"/>
      <c r="CQ929" s="7"/>
      <c r="CR929" s="74"/>
      <c r="CS929" s="74"/>
      <c r="CT929" s="74"/>
      <c r="CU929" s="74"/>
      <c r="CV929" s="7"/>
      <c r="CW929" s="7"/>
      <c r="CX929" s="7"/>
      <c r="CY929" s="7"/>
      <c r="CZ929" s="7"/>
      <c r="DA929" s="7"/>
      <c r="DB929" s="7"/>
      <c r="DC929" s="7"/>
      <c r="DD929" s="7"/>
      <c r="DE929" s="74"/>
      <c r="DF929" s="74"/>
      <c r="DG929" s="74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8">
        <f t="shared" si="236"/>
        <v>0</v>
      </c>
      <c r="EA929" s="3">
        <f t="shared" si="237"/>
        <v>0</v>
      </c>
      <c r="EB929" s="2">
        <f t="shared" si="238"/>
        <v>0</v>
      </c>
      <c r="EC929" s="112">
        <f t="shared" si="246"/>
        <v>0</v>
      </c>
      <c r="ED929" s="29">
        <f t="shared" si="239"/>
        <v>0</v>
      </c>
      <c r="EE929" s="2">
        <f t="shared" si="240"/>
        <v>0</v>
      </c>
      <c r="EF929" s="46">
        <f t="shared" si="241"/>
        <v>0</v>
      </c>
      <c r="EG929" s="46">
        <f t="shared" si="242"/>
        <v>0</v>
      </c>
      <c r="EH929" s="2">
        <f t="shared" si="243"/>
        <v>0</v>
      </c>
      <c r="EI929" s="29">
        <f>IF(COUNT(I929:AD929)&lt;5,DZ929,SUMPRODUCT(LARGE(I929:AD929,{1,2,3,4,5}))/5)</f>
        <v>0</v>
      </c>
      <c r="EJ929" s="29">
        <f>IF(COUNT(I929:BE929)&lt;5,DZ929,SUMPRODUCT(LARGE(I929:BE929,{1,2,3,4,5}))/5)</f>
        <v>0</v>
      </c>
      <c r="EK929" s="29">
        <f t="shared" si="245"/>
        <v>0</v>
      </c>
      <c r="EL929" s="29">
        <f>(EK929*100)/101.59</f>
        <v>0</v>
      </c>
      <c r="EM929" s="116">
        <f t="shared" si="244"/>
        <v>0</v>
      </c>
      <c r="EQ929"/>
    </row>
    <row r="930" spans="1:147" x14ac:dyDescent="0.25">
      <c r="A930" s="59"/>
      <c r="B930" s="32"/>
      <c r="C930" s="5"/>
      <c r="D930" s="6"/>
      <c r="E930" s="6"/>
      <c r="F930" s="6"/>
      <c r="G930" s="5"/>
      <c r="H930" s="99"/>
      <c r="I930" s="36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227"/>
      <c r="Z930" s="228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4"/>
      <c r="AP930" s="7"/>
      <c r="AQ930" s="74"/>
      <c r="AR930" s="70"/>
      <c r="AS930" s="7"/>
      <c r="AT930" s="70"/>
      <c r="AU930" s="7"/>
      <c r="AV930" s="70"/>
      <c r="AW930" s="7"/>
      <c r="AX930" s="8"/>
      <c r="AY930" s="36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4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101"/>
      <c r="CL930" s="74"/>
      <c r="CM930" s="74"/>
      <c r="CN930" s="74"/>
      <c r="CO930" s="70"/>
      <c r="CP930" s="74"/>
      <c r="CQ930" s="7"/>
      <c r="CR930" s="74"/>
      <c r="CS930" s="74"/>
      <c r="CT930" s="74"/>
      <c r="CU930" s="74"/>
      <c r="CV930" s="7"/>
      <c r="CW930" s="7"/>
      <c r="CX930" s="7"/>
      <c r="CY930" s="7"/>
      <c r="CZ930" s="7"/>
      <c r="DA930" s="7"/>
      <c r="DB930" s="7"/>
      <c r="DC930" s="7"/>
      <c r="DD930" s="7"/>
      <c r="DE930" s="74"/>
      <c r="DF930" s="74"/>
      <c r="DG930" s="74"/>
      <c r="DH930" s="7"/>
      <c r="DI930" s="74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8">
        <f t="shared" si="236"/>
        <v>0</v>
      </c>
      <c r="EA930" s="3">
        <f t="shared" si="237"/>
        <v>0</v>
      </c>
      <c r="EB930" s="2">
        <f t="shared" si="238"/>
        <v>0</v>
      </c>
      <c r="EC930" s="112">
        <f t="shared" si="246"/>
        <v>0</v>
      </c>
      <c r="ED930" s="29">
        <f t="shared" si="239"/>
        <v>0</v>
      </c>
      <c r="EE930" s="2">
        <f t="shared" si="240"/>
        <v>0</v>
      </c>
      <c r="EF930" s="46">
        <f t="shared" si="241"/>
        <v>0</v>
      </c>
      <c r="EG930" s="46">
        <f t="shared" si="242"/>
        <v>0</v>
      </c>
      <c r="EH930" s="2">
        <f t="shared" si="243"/>
        <v>0</v>
      </c>
      <c r="EI930" s="29">
        <f>IF(COUNT(I930:AD930)&lt;5,DZ930,SUMPRODUCT(LARGE(I930:AD930,{1,2,3,4,5}))/5)</f>
        <v>0</v>
      </c>
      <c r="EJ930" s="29">
        <f>IF(COUNT(I930:BE930)&lt;5,DZ930,SUMPRODUCT(LARGE(I930:BE930,{1,2,3,4,5}))/5)</f>
        <v>0</v>
      </c>
      <c r="EK930" s="29">
        <f t="shared" si="245"/>
        <v>0</v>
      </c>
      <c r="EL930" s="29">
        <f>(EK930*100)/101.28</f>
        <v>0</v>
      </c>
      <c r="EM930" s="116">
        <f t="shared" si="244"/>
        <v>0</v>
      </c>
      <c r="EQ930"/>
    </row>
    <row r="931" spans="1:147" x14ac:dyDescent="0.25">
      <c r="A931" s="59"/>
      <c r="B931" s="32"/>
      <c r="C931" s="5"/>
      <c r="D931" s="6"/>
      <c r="E931" s="6"/>
      <c r="F931" s="6"/>
      <c r="G931" s="5"/>
      <c r="H931" s="37"/>
      <c r="I931" s="36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227"/>
      <c r="Z931" s="228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4"/>
      <c r="AP931" s="7"/>
      <c r="AQ931" s="74"/>
      <c r="AR931" s="70"/>
      <c r="AS931" s="7"/>
      <c r="AT931" s="70"/>
      <c r="AU931" s="7"/>
      <c r="AV931" s="70"/>
      <c r="AW931" s="7"/>
      <c r="AX931" s="8"/>
      <c r="AY931" s="36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101"/>
      <c r="CL931" s="74"/>
      <c r="CM931" s="74"/>
      <c r="CN931" s="74"/>
      <c r="CO931" s="70"/>
      <c r="CP931" s="74"/>
      <c r="CQ931" s="7"/>
      <c r="CR931" s="74"/>
      <c r="CS931" s="74"/>
      <c r="CT931" s="74"/>
      <c r="CU931" s="74"/>
      <c r="CV931" s="74"/>
      <c r="CW931" s="7"/>
      <c r="CX931" s="7"/>
      <c r="CY931" s="7"/>
      <c r="CZ931" s="7"/>
      <c r="DA931" s="7"/>
      <c r="DB931" s="7"/>
      <c r="DC931" s="7"/>
      <c r="DD931" s="7"/>
      <c r="DE931" s="74"/>
      <c r="DF931" s="74"/>
      <c r="DG931" s="74"/>
      <c r="DH931" s="74"/>
      <c r="DI931" s="74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8">
        <f t="shared" si="236"/>
        <v>0</v>
      </c>
      <c r="EA931" s="3">
        <f t="shared" si="237"/>
        <v>0</v>
      </c>
      <c r="EB931" s="2">
        <f t="shared" si="238"/>
        <v>0</v>
      </c>
      <c r="EC931" s="112">
        <f t="shared" si="246"/>
        <v>0</v>
      </c>
      <c r="ED931" s="29">
        <f t="shared" si="239"/>
        <v>0</v>
      </c>
      <c r="EE931" s="2">
        <f t="shared" si="240"/>
        <v>0</v>
      </c>
      <c r="EF931" s="46">
        <f t="shared" si="241"/>
        <v>0</v>
      </c>
      <c r="EG931" s="46">
        <f t="shared" si="242"/>
        <v>0</v>
      </c>
      <c r="EH931" s="2">
        <f t="shared" si="243"/>
        <v>0</v>
      </c>
      <c r="EI931" s="29">
        <f>IF(COUNT(I931:AD931)&lt;5,DZ931,SUMPRODUCT(LARGE(I931:AD931,{1,2,3,4,5}))/5)</f>
        <v>0</v>
      </c>
      <c r="EJ931" s="29">
        <f>IF(COUNT(I931:BE931)&lt;5,DZ931,SUMPRODUCT(LARGE(I931:BE931,{1,2,3,4,5}))/5)</f>
        <v>0</v>
      </c>
      <c r="EK931" s="29">
        <f t="shared" si="245"/>
        <v>0</v>
      </c>
      <c r="EL931" s="29">
        <f>(EK931*100)/101.28</f>
        <v>0</v>
      </c>
      <c r="EM931" s="116">
        <f t="shared" si="244"/>
        <v>0</v>
      </c>
      <c r="EQ931"/>
    </row>
    <row r="932" spans="1:147" x14ac:dyDescent="0.25">
      <c r="A932" s="59"/>
      <c r="B932" s="32"/>
      <c r="C932" s="5"/>
      <c r="D932" s="6"/>
      <c r="E932" s="6"/>
      <c r="F932" s="6"/>
      <c r="G932" s="5"/>
      <c r="H932" s="37"/>
      <c r="I932" s="36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227"/>
      <c r="Z932" s="228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4"/>
      <c r="AP932" s="7"/>
      <c r="AQ932" s="74"/>
      <c r="AR932" s="70"/>
      <c r="AS932" s="7"/>
      <c r="AT932" s="70"/>
      <c r="AU932" s="7"/>
      <c r="AV932" s="70"/>
      <c r="AW932" s="7"/>
      <c r="AX932" s="8"/>
      <c r="AY932" s="36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101"/>
      <c r="CL932" s="74"/>
      <c r="CM932" s="74"/>
      <c r="CN932" s="74"/>
      <c r="CO932" s="70"/>
      <c r="CP932" s="74"/>
      <c r="CQ932" s="7"/>
      <c r="CR932" s="74"/>
      <c r="CS932" s="74"/>
      <c r="CT932" s="74"/>
      <c r="CU932" s="74"/>
      <c r="CV932" s="74"/>
      <c r="CW932" s="7"/>
      <c r="CX932" s="7"/>
      <c r="CY932" s="7"/>
      <c r="CZ932" s="7"/>
      <c r="DA932" s="7"/>
      <c r="DB932" s="7"/>
      <c r="DC932" s="7"/>
      <c r="DD932" s="7"/>
      <c r="DE932" s="74"/>
      <c r="DF932" s="74"/>
      <c r="DG932" s="74"/>
      <c r="DH932" s="74"/>
      <c r="DI932" s="74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8">
        <f t="shared" si="236"/>
        <v>0</v>
      </c>
      <c r="EA932" s="3">
        <f t="shared" si="237"/>
        <v>0</v>
      </c>
      <c r="EB932" s="2">
        <f t="shared" si="238"/>
        <v>0</v>
      </c>
      <c r="EC932" s="112">
        <f t="shared" si="246"/>
        <v>0</v>
      </c>
      <c r="ED932" s="29">
        <f t="shared" si="239"/>
        <v>0</v>
      </c>
      <c r="EE932" s="2">
        <f t="shared" si="240"/>
        <v>0</v>
      </c>
      <c r="EF932" s="46">
        <f t="shared" si="241"/>
        <v>0</v>
      </c>
      <c r="EG932" s="46">
        <f t="shared" si="242"/>
        <v>0</v>
      </c>
      <c r="EH932" s="2">
        <f t="shared" si="243"/>
        <v>0</v>
      </c>
      <c r="EI932" s="29">
        <f>IF(COUNT(I932:AD932)&lt;5,DZ932,SUMPRODUCT(LARGE(I932:AD932,{1,2,3,4,5}))/5)</f>
        <v>0</v>
      </c>
      <c r="EJ932" s="29">
        <f>IF(COUNT(I932:BE932)&lt;5,DZ932,SUMPRODUCT(LARGE(I932:BE932,{1,2,3,4,5}))/5)</f>
        <v>0</v>
      </c>
      <c r="EK932" s="29">
        <f t="shared" si="245"/>
        <v>0</v>
      </c>
      <c r="EL932" s="29">
        <f>(EK932*100)/101.28</f>
        <v>0</v>
      </c>
      <c r="EM932" s="116">
        <f t="shared" si="244"/>
        <v>0</v>
      </c>
      <c r="EQ932"/>
    </row>
    <row r="933" spans="1:147" x14ac:dyDescent="0.25">
      <c r="A933" s="59"/>
      <c r="B933" s="32"/>
      <c r="C933" s="5"/>
      <c r="D933" s="6"/>
      <c r="E933" s="6"/>
      <c r="F933" s="6"/>
      <c r="G933" s="5"/>
      <c r="H933" s="37"/>
      <c r="I933" s="36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227"/>
      <c r="Z933" s="228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4"/>
      <c r="AP933" s="7"/>
      <c r="AQ933" s="74"/>
      <c r="AR933" s="70"/>
      <c r="AS933" s="7"/>
      <c r="AT933" s="70"/>
      <c r="AU933" s="7"/>
      <c r="AV933" s="70"/>
      <c r="AW933" s="7"/>
      <c r="AX933" s="8"/>
      <c r="AY933" s="36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101"/>
      <c r="CL933" s="74"/>
      <c r="CM933" s="74"/>
      <c r="CN933" s="74"/>
      <c r="CO933" s="70"/>
      <c r="CP933" s="74"/>
      <c r="CQ933" s="7"/>
      <c r="CR933" s="74"/>
      <c r="CS933" s="74"/>
      <c r="CT933" s="74"/>
      <c r="CU933" s="74"/>
      <c r="CV933" s="74"/>
      <c r="CW933" s="7"/>
      <c r="CX933" s="7"/>
      <c r="CY933" s="7"/>
      <c r="CZ933" s="7"/>
      <c r="DA933" s="7"/>
      <c r="DB933" s="7"/>
      <c r="DC933" s="7"/>
      <c r="DD933" s="7"/>
      <c r="DE933" s="74"/>
      <c r="DF933" s="74"/>
      <c r="DG933" s="74"/>
      <c r="DH933" s="74"/>
      <c r="DI933" s="74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8">
        <f t="shared" si="236"/>
        <v>0</v>
      </c>
      <c r="EA933" s="3">
        <f t="shared" si="237"/>
        <v>0</v>
      </c>
      <c r="EB933" s="2">
        <f t="shared" si="238"/>
        <v>0</v>
      </c>
      <c r="EC933" s="112">
        <f t="shared" si="246"/>
        <v>0</v>
      </c>
      <c r="ED933" s="29">
        <f t="shared" si="239"/>
        <v>0</v>
      </c>
      <c r="EE933" s="2">
        <f t="shared" si="240"/>
        <v>0</v>
      </c>
      <c r="EF933" s="46">
        <f t="shared" si="241"/>
        <v>0</v>
      </c>
      <c r="EG933" s="46">
        <f t="shared" si="242"/>
        <v>0</v>
      </c>
      <c r="EH933" s="2">
        <f t="shared" si="243"/>
        <v>0</v>
      </c>
      <c r="EI933" s="29">
        <f>IF(COUNT(I933:AD933)&lt;5,DZ933,SUMPRODUCT(LARGE(I933:AD933,{1,2,3,4,5}))/5)</f>
        <v>0</v>
      </c>
      <c r="EJ933" s="29">
        <f>IF(COUNT(I933:BE933)&lt;5,DZ933,SUMPRODUCT(LARGE(I933:BE933,{1,2,3,4,5}))/5)</f>
        <v>0</v>
      </c>
      <c r="EK933" s="29">
        <f t="shared" si="245"/>
        <v>0</v>
      </c>
      <c r="EL933" s="29">
        <f>(EK933*100)/101.28</f>
        <v>0</v>
      </c>
      <c r="EM933" s="116">
        <f t="shared" si="244"/>
        <v>0</v>
      </c>
      <c r="EQ933"/>
    </row>
    <row r="934" spans="1:147" x14ac:dyDescent="0.25">
      <c r="A934" s="59"/>
      <c r="B934" s="32"/>
      <c r="C934" s="5"/>
      <c r="D934" s="6"/>
      <c r="E934" s="6"/>
      <c r="F934" s="6"/>
      <c r="G934" s="5"/>
      <c r="H934" s="37"/>
      <c r="I934" s="36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227"/>
      <c r="Z934" s="228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4"/>
      <c r="AP934" s="7"/>
      <c r="AQ934" s="74"/>
      <c r="AR934" s="70"/>
      <c r="AS934" s="70"/>
      <c r="AT934" s="70"/>
      <c r="AU934" s="7"/>
      <c r="AV934" s="70"/>
      <c r="AW934" s="7"/>
      <c r="AX934" s="8"/>
      <c r="AY934" s="36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4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101"/>
      <c r="CL934" s="74"/>
      <c r="CM934" s="74"/>
      <c r="CN934" s="74"/>
      <c r="CO934" s="70"/>
      <c r="CP934" s="74"/>
      <c r="CQ934" s="7"/>
      <c r="CR934" s="74"/>
      <c r="CS934" s="74"/>
      <c r="CT934" s="74"/>
      <c r="CU934" s="74"/>
      <c r="CV934" s="7"/>
      <c r="CW934" s="7"/>
      <c r="CX934" s="7"/>
      <c r="CY934" s="7"/>
      <c r="CZ934" s="7"/>
      <c r="DA934" s="7"/>
      <c r="DB934" s="7"/>
      <c r="DC934" s="7"/>
      <c r="DD934" s="7"/>
      <c r="DE934" s="74"/>
      <c r="DF934" s="74"/>
      <c r="DG934" s="74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8">
        <f t="shared" si="236"/>
        <v>0</v>
      </c>
      <c r="EA934" s="3">
        <f t="shared" si="237"/>
        <v>0</v>
      </c>
      <c r="EB934" s="2">
        <f t="shared" si="238"/>
        <v>0</v>
      </c>
      <c r="EC934" s="112">
        <f t="shared" si="246"/>
        <v>0</v>
      </c>
      <c r="ED934" s="29">
        <f t="shared" si="239"/>
        <v>0</v>
      </c>
      <c r="EE934" s="2">
        <f t="shared" si="240"/>
        <v>0</v>
      </c>
      <c r="EF934" s="46">
        <f t="shared" si="241"/>
        <v>0</v>
      </c>
      <c r="EG934" s="46">
        <f t="shared" si="242"/>
        <v>0</v>
      </c>
      <c r="EH934" s="2">
        <f t="shared" si="243"/>
        <v>0</v>
      </c>
      <c r="EI934" s="29">
        <f>IF(COUNT(I934:AD934)&lt;5,DZ934,SUMPRODUCT(LARGE(I934:AD934,{1,2,3,4,5}))/5)</f>
        <v>0</v>
      </c>
      <c r="EJ934" s="29">
        <f>IF(COUNT(I934:BE934)&lt;5,DZ934,SUMPRODUCT(LARGE(I934:BE934,{1,2,3,4,5}))/5)</f>
        <v>0</v>
      </c>
      <c r="EK934" s="29">
        <f t="shared" si="245"/>
        <v>0</v>
      </c>
      <c r="EL934" s="29">
        <f>(EK934*100)/101.59</f>
        <v>0</v>
      </c>
      <c r="EM934" s="116">
        <f t="shared" si="244"/>
        <v>0</v>
      </c>
      <c r="EQ934"/>
    </row>
    <row r="935" spans="1:147" x14ac:dyDescent="0.25">
      <c r="A935" s="59"/>
      <c r="B935" s="32"/>
      <c r="C935" s="5"/>
      <c r="D935" s="6"/>
      <c r="E935" s="6"/>
      <c r="F935" s="6"/>
      <c r="G935" s="5"/>
      <c r="H935" s="37"/>
      <c r="I935" s="107"/>
      <c r="J935" s="7"/>
      <c r="K935" s="74"/>
      <c r="L935" s="7"/>
      <c r="M935" s="74"/>
      <c r="N935" s="74"/>
      <c r="O935" s="7"/>
      <c r="P935" s="74"/>
      <c r="Q935" s="7"/>
      <c r="R935" s="74"/>
      <c r="S935" s="74"/>
      <c r="T935" s="74"/>
      <c r="U935" s="7"/>
      <c r="V935" s="74"/>
      <c r="W935" s="7"/>
      <c r="X935" s="74"/>
      <c r="Y935" s="227"/>
      <c r="Z935" s="228"/>
      <c r="AA935" s="74"/>
      <c r="AB935" s="74"/>
      <c r="AC935" s="74"/>
      <c r="AD935" s="74"/>
      <c r="AE935" s="7"/>
      <c r="AF935" s="74"/>
      <c r="AG935" s="74"/>
      <c r="AH935" s="7"/>
      <c r="AI935" s="7"/>
      <c r="AJ935" s="7"/>
      <c r="AK935" s="7"/>
      <c r="AL935" s="7"/>
      <c r="AM935" s="7"/>
      <c r="AN935" s="7"/>
      <c r="AO935" s="74"/>
      <c r="AP935" s="7"/>
      <c r="AQ935" s="74"/>
      <c r="AR935" s="101"/>
      <c r="AS935" s="70"/>
      <c r="AT935" s="101"/>
      <c r="AU935" s="7"/>
      <c r="AV935" s="101"/>
      <c r="AW935" s="7"/>
      <c r="AX935" s="8"/>
      <c r="AY935" s="36"/>
      <c r="AZ935" s="74"/>
      <c r="BA935" s="74"/>
      <c r="BB935" s="74"/>
      <c r="BC935" s="74"/>
      <c r="BD935" s="74"/>
      <c r="BE935" s="74"/>
      <c r="BF935" s="74"/>
      <c r="BG935" s="74"/>
      <c r="BH935" s="74"/>
      <c r="BI935" s="74"/>
      <c r="BJ935" s="74"/>
      <c r="BK935" s="7"/>
      <c r="BL935" s="74"/>
      <c r="BM935" s="7"/>
      <c r="BN935" s="74"/>
      <c r="BO935" s="74"/>
      <c r="BP935" s="74"/>
      <c r="BQ935" s="74"/>
      <c r="BR935" s="74"/>
      <c r="BS935" s="74"/>
      <c r="BT935" s="74"/>
      <c r="BU935" s="74"/>
      <c r="BV935" s="74"/>
      <c r="BW935" s="74"/>
      <c r="BX935" s="74"/>
      <c r="BY935" s="74"/>
      <c r="BZ935" s="74"/>
      <c r="CA935" s="74"/>
      <c r="CB935" s="74"/>
      <c r="CC935" s="74"/>
      <c r="CD935" s="74"/>
      <c r="CE935" s="74"/>
      <c r="CF935" s="74"/>
      <c r="CG935" s="74"/>
      <c r="CH935" s="74"/>
      <c r="CI935" s="74"/>
      <c r="CJ935" s="74"/>
      <c r="CK935" s="101"/>
      <c r="CL935" s="74"/>
      <c r="CM935" s="74"/>
      <c r="CN935" s="74"/>
      <c r="CO935" s="101"/>
      <c r="CP935" s="74"/>
      <c r="CQ935" s="74"/>
      <c r="CR935" s="74"/>
      <c r="CS935" s="74"/>
      <c r="CT935" s="101"/>
      <c r="CU935" s="74"/>
      <c r="CV935" s="74"/>
      <c r="CW935" s="74"/>
      <c r="CX935" s="74"/>
      <c r="CY935" s="74"/>
      <c r="CZ935" s="74"/>
      <c r="DA935" s="74"/>
      <c r="DB935" s="74"/>
      <c r="DC935" s="74"/>
      <c r="DD935" s="74"/>
      <c r="DE935" s="74"/>
      <c r="DF935" s="74"/>
      <c r="DG935" s="74"/>
      <c r="DH935" s="74"/>
      <c r="DI935" s="74"/>
      <c r="DJ935" s="74"/>
      <c r="DK935" s="74"/>
      <c r="DL935" s="74"/>
      <c r="DM935" s="74"/>
      <c r="DN935" s="74"/>
      <c r="DO935" s="74"/>
      <c r="DP935" s="74"/>
      <c r="DQ935" s="74"/>
      <c r="DR935" s="74"/>
      <c r="DS935" s="74"/>
      <c r="DT935" s="74"/>
      <c r="DU935" s="74"/>
      <c r="DV935" s="74"/>
      <c r="DW935" s="74"/>
      <c r="DX935" s="74"/>
      <c r="DY935" s="74"/>
      <c r="DZ935" s="8">
        <f t="shared" si="236"/>
        <v>0</v>
      </c>
      <c r="EA935" s="3">
        <f t="shared" si="237"/>
        <v>0</v>
      </c>
      <c r="EB935" s="2">
        <f t="shared" si="238"/>
        <v>0</v>
      </c>
      <c r="EC935" s="112">
        <f t="shared" si="246"/>
        <v>0</v>
      </c>
      <c r="ED935" s="29">
        <f t="shared" si="239"/>
        <v>0</v>
      </c>
      <c r="EE935" s="2">
        <f t="shared" si="240"/>
        <v>0</v>
      </c>
      <c r="EF935" s="46">
        <f t="shared" si="241"/>
        <v>0</v>
      </c>
      <c r="EG935" s="46">
        <f t="shared" si="242"/>
        <v>0</v>
      </c>
      <c r="EH935" s="29">
        <f t="shared" si="243"/>
        <v>0</v>
      </c>
      <c r="EI935" s="29">
        <f>IF(COUNT(I935:AD935)&lt;5,DZ935,SUMPRODUCT(LARGE(I935:AD935,{1,2,3,4,5}))/5)</f>
        <v>0</v>
      </c>
      <c r="EJ935" s="29">
        <f>IF(COUNT(I935:BE935)&lt;5,DZ935,SUMPRODUCT(LARGE(I935:BE935,{1,2,3,4,5}))/5)</f>
        <v>0</v>
      </c>
      <c r="EK935" s="29">
        <f t="shared" si="245"/>
        <v>0</v>
      </c>
      <c r="EL935" s="29">
        <f>(EK935*100)/101.28</f>
        <v>0</v>
      </c>
      <c r="EM935" s="116">
        <f t="shared" si="244"/>
        <v>0</v>
      </c>
      <c r="EQ935"/>
    </row>
    <row r="936" spans="1:147" x14ac:dyDescent="0.25">
      <c r="A936" s="59"/>
      <c r="B936" s="32"/>
      <c r="C936" s="5"/>
      <c r="D936" s="6"/>
      <c r="E936" s="6"/>
      <c r="F936" s="6"/>
      <c r="G936" s="5"/>
      <c r="H936" s="37"/>
      <c r="I936" s="36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227"/>
      <c r="Z936" s="228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4"/>
      <c r="AP936" s="7"/>
      <c r="AQ936" s="74"/>
      <c r="AR936" s="70"/>
      <c r="AS936" s="70"/>
      <c r="AT936" s="70"/>
      <c r="AU936" s="7"/>
      <c r="AV936" s="70"/>
      <c r="AW936" s="7"/>
      <c r="AX936" s="8"/>
      <c r="AY936" s="36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4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4"/>
      <c r="CG936" s="7"/>
      <c r="CH936" s="7"/>
      <c r="CI936" s="7"/>
      <c r="CJ936" s="7"/>
      <c r="CK936" s="101"/>
      <c r="CL936" s="74"/>
      <c r="CM936" s="74"/>
      <c r="CN936" s="74"/>
      <c r="CO936" s="70"/>
      <c r="CP936" s="74"/>
      <c r="CQ936" s="7"/>
      <c r="CR936" s="74"/>
      <c r="CS936" s="74"/>
      <c r="CT936" s="74"/>
      <c r="CU936" s="74"/>
      <c r="CV936" s="7"/>
      <c r="CW936" s="7"/>
      <c r="CX936" s="7"/>
      <c r="CY936" s="7"/>
      <c r="CZ936" s="7"/>
      <c r="DA936" s="7"/>
      <c r="DB936" s="7"/>
      <c r="DC936" s="7"/>
      <c r="DD936" s="7"/>
      <c r="DE936" s="74"/>
      <c r="DF936" s="74"/>
      <c r="DG936" s="74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8">
        <f t="shared" si="236"/>
        <v>0</v>
      </c>
      <c r="EA936" s="3">
        <f t="shared" si="237"/>
        <v>0</v>
      </c>
      <c r="EB936" s="2">
        <f t="shared" si="238"/>
        <v>0</v>
      </c>
      <c r="EC936" s="112">
        <f t="shared" si="246"/>
        <v>0</v>
      </c>
      <c r="ED936" s="29">
        <f t="shared" si="239"/>
        <v>0</v>
      </c>
      <c r="EE936" s="2">
        <f t="shared" si="240"/>
        <v>0</v>
      </c>
      <c r="EF936" s="46">
        <f t="shared" si="241"/>
        <v>0</v>
      </c>
      <c r="EG936" s="46">
        <f t="shared" si="242"/>
        <v>0</v>
      </c>
      <c r="EH936" s="2">
        <f t="shared" si="243"/>
        <v>0</v>
      </c>
      <c r="EI936" s="29">
        <f>IF(COUNT(I936:AD936)&lt;5,DZ936,SUMPRODUCT(LARGE(I936:AD936,{1,2,3,4,5}))/5)</f>
        <v>0</v>
      </c>
      <c r="EJ936" s="29">
        <f>IF(COUNT(I936:BE936)&lt;5,DZ936,SUMPRODUCT(LARGE(I936:BE936,{1,2,3,4,5}))/5)</f>
        <v>0</v>
      </c>
      <c r="EK936" s="29">
        <f t="shared" si="245"/>
        <v>0</v>
      </c>
      <c r="EL936" s="29">
        <f>(EK936*100)/101.59</f>
        <v>0</v>
      </c>
      <c r="EM936" s="116">
        <f t="shared" si="244"/>
        <v>0</v>
      </c>
      <c r="EQ936"/>
    </row>
    <row r="937" spans="1:147" x14ac:dyDescent="0.25">
      <c r="A937" s="59"/>
      <c r="B937" s="32"/>
      <c r="C937" s="5"/>
      <c r="D937" s="6"/>
      <c r="E937" s="6"/>
      <c r="F937" s="6"/>
      <c r="G937" s="5"/>
      <c r="H937" s="37"/>
      <c r="I937" s="107"/>
      <c r="J937" s="7"/>
      <c r="K937" s="74"/>
      <c r="L937" s="7"/>
      <c r="M937" s="74"/>
      <c r="N937" s="74"/>
      <c r="O937" s="7"/>
      <c r="P937" s="74"/>
      <c r="Q937" s="74"/>
      <c r="R937" s="74"/>
      <c r="S937" s="74"/>
      <c r="T937" s="7"/>
      <c r="U937" s="7"/>
      <c r="V937" s="74"/>
      <c r="W937" s="7"/>
      <c r="X937" s="7"/>
      <c r="Y937" s="227"/>
      <c r="Z937" s="228"/>
      <c r="AA937" s="74"/>
      <c r="AB937" s="74"/>
      <c r="AC937" s="74"/>
      <c r="AD937" s="74"/>
      <c r="AE937" s="7"/>
      <c r="AF937" s="74"/>
      <c r="AG937" s="74"/>
      <c r="AH937" s="7"/>
      <c r="AI937" s="7"/>
      <c r="AJ937" s="7"/>
      <c r="AK937" s="7"/>
      <c r="AL937" s="7"/>
      <c r="AM937" s="7"/>
      <c r="AN937" s="7"/>
      <c r="AO937" s="74"/>
      <c r="AP937" s="7"/>
      <c r="AQ937" s="74"/>
      <c r="AR937" s="101"/>
      <c r="AS937" s="70"/>
      <c r="AT937" s="101"/>
      <c r="AU937" s="7"/>
      <c r="AV937" s="101"/>
      <c r="AW937" s="7"/>
      <c r="AX937" s="8"/>
      <c r="AY937" s="36"/>
      <c r="AZ937" s="74"/>
      <c r="BA937" s="74"/>
      <c r="BB937" s="74"/>
      <c r="BC937" s="74"/>
      <c r="BD937" s="74"/>
      <c r="BE937" s="74"/>
      <c r="BF937" s="74"/>
      <c r="BG937" s="74"/>
      <c r="BH937" s="74"/>
      <c r="BI937" s="74"/>
      <c r="BJ937" s="74"/>
      <c r="BK937" s="7"/>
      <c r="BL937" s="74"/>
      <c r="BM937" s="7"/>
      <c r="BN937" s="74"/>
      <c r="BO937" s="74"/>
      <c r="BP937" s="74"/>
      <c r="BQ937" s="74"/>
      <c r="BR937" s="74"/>
      <c r="BS937" s="74"/>
      <c r="BT937" s="74"/>
      <c r="BU937" s="74"/>
      <c r="BV937" s="74"/>
      <c r="BW937" s="74"/>
      <c r="BX937" s="74"/>
      <c r="BY937" s="74"/>
      <c r="BZ937" s="74"/>
      <c r="CA937" s="74"/>
      <c r="CB937" s="74"/>
      <c r="CC937" s="74"/>
      <c r="CD937" s="74"/>
      <c r="CE937" s="74"/>
      <c r="CF937" s="74"/>
      <c r="CG937" s="74"/>
      <c r="CH937" s="74"/>
      <c r="CI937" s="74"/>
      <c r="CJ937" s="74"/>
      <c r="CK937" s="101"/>
      <c r="CL937" s="74"/>
      <c r="CM937" s="74"/>
      <c r="CN937" s="74"/>
      <c r="CO937" s="101"/>
      <c r="CP937" s="74"/>
      <c r="CQ937" s="74"/>
      <c r="CR937" s="74"/>
      <c r="CS937" s="74"/>
      <c r="CT937" s="74"/>
      <c r="CU937" s="74"/>
      <c r="CV937" s="74"/>
      <c r="CW937" s="74"/>
      <c r="CX937" s="74"/>
      <c r="CY937" s="74"/>
      <c r="CZ937" s="74"/>
      <c r="DA937" s="74"/>
      <c r="DB937" s="74"/>
      <c r="DC937" s="74"/>
      <c r="DD937" s="74"/>
      <c r="DE937" s="74"/>
      <c r="DF937" s="74"/>
      <c r="DG937" s="74"/>
      <c r="DH937" s="74"/>
      <c r="DI937" s="74"/>
      <c r="DJ937" s="74"/>
      <c r="DK937" s="74"/>
      <c r="DL937" s="74"/>
      <c r="DM937" s="74"/>
      <c r="DN937" s="74"/>
      <c r="DO937" s="74"/>
      <c r="DP937" s="74"/>
      <c r="DQ937" s="74"/>
      <c r="DR937" s="74"/>
      <c r="DS937" s="74"/>
      <c r="DT937" s="74"/>
      <c r="DU937" s="74"/>
      <c r="DV937" s="74"/>
      <c r="DW937" s="74"/>
      <c r="DX937" s="74"/>
      <c r="DY937" s="74"/>
      <c r="DZ937" s="8">
        <f t="shared" si="236"/>
        <v>0</v>
      </c>
      <c r="EA937" s="3">
        <f t="shared" si="237"/>
        <v>0</v>
      </c>
      <c r="EB937" s="2">
        <f t="shared" si="238"/>
        <v>0</v>
      </c>
      <c r="EC937" s="112">
        <f t="shared" si="246"/>
        <v>0</v>
      </c>
      <c r="ED937" s="29">
        <f t="shared" si="239"/>
        <v>0</v>
      </c>
      <c r="EE937" s="2">
        <f t="shared" si="240"/>
        <v>0</v>
      </c>
      <c r="EF937" s="46">
        <f t="shared" si="241"/>
        <v>0</v>
      </c>
      <c r="EG937" s="46">
        <f t="shared" si="242"/>
        <v>0</v>
      </c>
      <c r="EH937" s="29">
        <f t="shared" si="243"/>
        <v>0</v>
      </c>
      <c r="EI937" s="29">
        <f>IF(COUNT(I937:AD937)&lt;5,DZ937,SUMPRODUCT(LARGE(I937:AD937,{1,2,3,4,5}))/5)</f>
        <v>0</v>
      </c>
      <c r="EJ937" s="29">
        <f>IF(COUNT(I937:BE937)&lt;5,DZ937,SUMPRODUCT(LARGE(I937:BE937,{1,2,3,4,5}))/5)</f>
        <v>0</v>
      </c>
      <c r="EK937" s="29">
        <f t="shared" si="245"/>
        <v>0</v>
      </c>
      <c r="EL937" s="29">
        <f t="shared" ref="EL937:EL949" si="248">(EK937*100)/101.28</f>
        <v>0</v>
      </c>
      <c r="EM937" s="116">
        <f t="shared" si="244"/>
        <v>0</v>
      </c>
      <c r="EQ937"/>
    </row>
    <row r="938" spans="1:147" x14ac:dyDescent="0.25">
      <c r="A938" s="59"/>
      <c r="B938" s="32"/>
      <c r="C938" s="5"/>
      <c r="D938" s="6"/>
      <c r="E938" s="6"/>
      <c r="F938" s="6"/>
      <c r="G938" s="5"/>
      <c r="H938" s="37"/>
      <c r="I938" s="36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227"/>
      <c r="Z938" s="228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4"/>
      <c r="AP938" s="7"/>
      <c r="AQ938" s="74"/>
      <c r="AR938" s="70"/>
      <c r="AS938" s="70"/>
      <c r="AT938" s="70"/>
      <c r="AU938" s="7"/>
      <c r="AV938" s="70"/>
      <c r="AW938" s="7"/>
      <c r="AX938" s="183"/>
      <c r="AY938" s="10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4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101"/>
      <c r="CL938" s="74"/>
      <c r="CM938" s="74"/>
      <c r="CN938" s="74"/>
      <c r="CO938" s="70"/>
      <c r="CP938" s="74"/>
      <c r="CQ938" s="7"/>
      <c r="CR938" s="74"/>
      <c r="CS938" s="74"/>
      <c r="CT938" s="74"/>
      <c r="CU938" s="74"/>
      <c r="CV938" s="7"/>
      <c r="CW938" s="7"/>
      <c r="CX938" s="7"/>
      <c r="CY938" s="7"/>
      <c r="CZ938" s="7"/>
      <c r="DA938" s="7"/>
      <c r="DB938" s="7"/>
      <c r="DC938" s="7"/>
      <c r="DD938" s="7"/>
      <c r="DE938" s="74"/>
      <c r="DF938" s="74"/>
      <c r="DG938" s="74"/>
      <c r="DH938" s="7"/>
      <c r="DI938" s="7"/>
      <c r="DJ938" s="7"/>
      <c r="DK938" s="7"/>
      <c r="DL938" s="7"/>
      <c r="DM938" s="7"/>
      <c r="DN938" s="7"/>
      <c r="DO938" s="7"/>
      <c r="DP938" s="7"/>
      <c r="DQ938" s="74"/>
      <c r="DR938" s="74"/>
      <c r="DS938" s="7"/>
      <c r="DT938" s="7"/>
      <c r="DU938" s="7"/>
      <c r="DV938" s="74"/>
      <c r="DW938" s="7"/>
      <c r="DX938" s="7"/>
      <c r="DY938" s="7"/>
      <c r="DZ938" s="8">
        <f t="shared" si="236"/>
        <v>0</v>
      </c>
      <c r="EA938" s="3">
        <f t="shared" si="237"/>
        <v>0</v>
      </c>
      <c r="EB938" s="2">
        <f t="shared" si="238"/>
        <v>0</v>
      </c>
      <c r="EC938" s="112">
        <f t="shared" si="246"/>
        <v>0</v>
      </c>
      <c r="ED938" s="29">
        <f t="shared" si="239"/>
        <v>0</v>
      </c>
      <c r="EE938" s="2">
        <f t="shared" si="240"/>
        <v>0</v>
      </c>
      <c r="EF938" s="46">
        <f t="shared" si="241"/>
        <v>0</v>
      </c>
      <c r="EG938" s="46">
        <f t="shared" si="242"/>
        <v>0</v>
      </c>
      <c r="EH938" s="2">
        <f t="shared" si="243"/>
        <v>0</v>
      </c>
      <c r="EI938" s="29">
        <f>IF(COUNT(I938:AD938)&lt;5,DZ938,SUMPRODUCT(LARGE(I938:AD938,{1,2,3,4,5}))/5)</f>
        <v>0</v>
      </c>
      <c r="EJ938" s="29">
        <f>IF(COUNT(I938:BE938)&lt;5,DZ938,SUMPRODUCT(LARGE(I938:BE938,{1,2,3,4,5}))/5)</f>
        <v>0</v>
      </c>
      <c r="EK938" s="29">
        <f t="shared" si="245"/>
        <v>0</v>
      </c>
      <c r="EL938" s="29">
        <f t="shared" si="248"/>
        <v>0</v>
      </c>
      <c r="EM938" s="116">
        <f t="shared" si="244"/>
        <v>0</v>
      </c>
      <c r="EQ938"/>
    </row>
    <row r="939" spans="1:147" x14ac:dyDescent="0.25">
      <c r="A939" s="59"/>
      <c r="B939" s="32"/>
      <c r="C939" s="5"/>
      <c r="D939" s="6"/>
      <c r="E939" s="6"/>
      <c r="F939" s="6"/>
      <c r="G939" s="5"/>
      <c r="H939" s="99"/>
      <c r="I939" s="36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227"/>
      <c r="Z939" s="228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4"/>
      <c r="AP939" s="7"/>
      <c r="AQ939" s="74"/>
      <c r="AR939" s="70"/>
      <c r="AS939" s="70"/>
      <c r="AT939" s="70"/>
      <c r="AU939" s="7"/>
      <c r="AV939" s="70"/>
      <c r="AW939" s="7"/>
      <c r="AX939" s="8"/>
      <c r="AY939" s="36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4"/>
      <c r="BO939" s="74"/>
      <c r="BP939" s="74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101"/>
      <c r="CL939" s="74"/>
      <c r="CM939" s="74"/>
      <c r="CN939" s="74"/>
      <c r="CO939" s="70"/>
      <c r="CP939" s="74"/>
      <c r="CQ939" s="7"/>
      <c r="CR939" s="74"/>
      <c r="CS939" s="74"/>
      <c r="CT939" s="74"/>
      <c r="CU939" s="74"/>
      <c r="CV939" s="7"/>
      <c r="CW939" s="7"/>
      <c r="CX939" s="7"/>
      <c r="CY939" s="7"/>
      <c r="CZ939" s="7"/>
      <c r="DA939" s="7"/>
      <c r="DB939" s="7"/>
      <c r="DC939" s="7"/>
      <c r="DD939" s="7"/>
      <c r="DE939" s="74"/>
      <c r="DF939" s="74"/>
      <c r="DG939" s="74"/>
      <c r="DH939" s="7"/>
      <c r="DI939" s="74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8">
        <f t="shared" si="236"/>
        <v>0</v>
      </c>
      <c r="EA939" s="3">
        <f t="shared" si="237"/>
        <v>0</v>
      </c>
      <c r="EB939" s="2">
        <f t="shared" si="238"/>
        <v>0</v>
      </c>
      <c r="EC939" s="112">
        <f t="shared" si="246"/>
        <v>0</v>
      </c>
      <c r="ED939" s="29">
        <f t="shared" si="239"/>
        <v>0</v>
      </c>
      <c r="EE939" s="2">
        <f t="shared" si="240"/>
        <v>0</v>
      </c>
      <c r="EF939" s="46">
        <f t="shared" si="241"/>
        <v>0</v>
      </c>
      <c r="EG939" s="46">
        <f t="shared" si="242"/>
        <v>0</v>
      </c>
      <c r="EH939" s="2">
        <f t="shared" si="243"/>
        <v>0</v>
      </c>
      <c r="EI939" s="29">
        <f>IF(COUNT(I939:AD939)&lt;5,DZ939,SUMPRODUCT(LARGE(I939:AD939,{1,2,3,4,5}))/5)</f>
        <v>0</v>
      </c>
      <c r="EJ939" s="29">
        <f>IF(COUNT(I939:BE939)&lt;5,DZ939,SUMPRODUCT(LARGE(I939:BE939,{1,2,3,4,5}))/5)</f>
        <v>0</v>
      </c>
      <c r="EK939" s="29">
        <f t="shared" si="245"/>
        <v>0</v>
      </c>
      <c r="EL939" s="29">
        <f t="shared" si="248"/>
        <v>0</v>
      </c>
      <c r="EM939" s="116">
        <f t="shared" si="244"/>
        <v>0</v>
      </c>
      <c r="EQ939"/>
    </row>
    <row r="940" spans="1:147" x14ac:dyDescent="0.25">
      <c r="A940" s="59"/>
      <c r="B940" s="32"/>
      <c r="C940" s="5"/>
      <c r="D940" s="6"/>
      <c r="E940" s="6"/>
      <c r="F940" s="6"/>
      <c r="G940" s="5"/>
      <c r="H940" s="37"/>
      <c r="I940" s="36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227"/>
      <c r="Z940" s="228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4"/>
      <c r="AP940" s="7"/>
      <c r="AQ940" s="74"/>
      <c r="AR940" s="70"/>
      <c r="AS940" s="70"/>
      <c r="AT940" s="70"/>
      <c r="AU940" s="7"/>
      <c r="AV940" s="70"/>
      <c r="AW940" s="7"/>
      <c r="AX940" s="183"/>
      <c r="AY940" s="10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4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101"/>
      <c r="CL940" s="74"/>
      <c r="CM940" s="74"/>
      <c r="CN940" s="74"/>
      <c r="CO940" s="70"/>
      <c r="CP940" s="74"/>
      <c r="CQ940" s="7"/>
      <c r="CR940" s="74"/>
      <c r="CS940" s="74"/>
      <c r="CT940" s="74"/>
      <c r="CU940" s="74"/>
      <c r="CV940" s="7"/>
      <c r="CW940" s="7"/>
      <c r="CX940" s="7"/>
      <c r="CY940" s="7"/>
      <c r="CZ940" s="7"/>
      <c r="DA940" s="7"/>
      <c r="DB940" s="7"/>
      <c r="DC940" s="7"/>
      <c r="DD940" s="7"/>
      <c r="DE940" s="74"/>
      <c r="DF940" s="74"/>
      <c r="DG940" s="74"/>
      <c r="DH940" s="7"/>
      <c r="DI940" s="74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8">
        <f t="shared" si="236"/>
        <v>0</v>
      </c>
      <c r="EA940" s="3">
        <f t="shared" si="237"/>
        <v>0</v>
      </c>
      <c r="EB940" s="2">
        <f t="shared" si="238"/>
        <v>0</v>
      </c>
      <c r="EC940" s="112">
        <f t="shared" si="246"/>
        <v>0</v>
      </c>
      <c r="ED940" s="29">
        <f t="shared" si="239"/>
        <v>0</v>
      </c>
      <c r="EE940" s="2">
        <f t="shared" si="240"/>
        <v>0</v>
      </c>
      <c r="EF940" s="46">
        <f t="shared" si="241"/>
        <v>0</v>
      </c>
      <c r="EG940" s="46">
        <f t="shared" si="242"/>
        <v>0</v>
      </c>
      <c r="EH940" s="2">
        <f t="shared" si="243"/>
        <v>0</v>
      </c>
      <c r="EI940" s="29">
        <f>IF(COUNT(I940:AD940)&lt;5,DZ940,SUMPRODUCT(LARGE(I940:AD940,{1,2,3,4,5}))/5)</f>
        <v>0</v>
      </c>
      <c r="EJ940" s="29">
        <f>IF(COUNT(I940:BE940)&lt;5,DZ940,SUMPRODUCT(LARGE(I940:BE940,{1,2,3,4,5}))/5)</f>
        <v>0</v>
      </c>
      <c r="EK940" s="29">
        <f t="shared" si="245"/>
        <v>0</v>
      </c>
      <c r="EL940" s="29">
        <f t="shared" si="248"/>
        <v>0</v>
      </c>
      <c r="EM940" s="116">
        <f t="shared" si="244"/>
        <v>0</v>
      </c>
      <c r="EQ940"/>
    </row>
    <row r="941" spans="1:147" x14ac:dyDescent="0.25">
      <c r="A941" s="59"/>
      <c r="B941" s="32"/>
      <c r="C941" s="5"/>
      <c r="D941" s="6"/>
      <c r="E941" s="6"/>
      <c r="F941" s="6"/>
      <c r="G941" s="5"/>
      <c r="H941" s="37"/>
      <c r="I941" s="36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227"/>
      <c r="Z941" s="228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4"/>
      <c r="AP941" s="7"/>
      <c r="AQ941" s="74"/>
      <c r="AR941" s="70"/>
      <c r="AS941" s="70"/>
      <c r="AT941" s="70"/>
      <c r="AU941" s="7"/>
      <c r="AV941" s="70"/>
      <c r="AW941" s="7"/>
      <c r="AX941" s="8"/>
      <c r="AY941" s="36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101"/>
      <c r="CL941" s="74"/>
      <c r="CM941" s="74"/>
      <c r="CN941" s="74"/>
      <c r="CO941" s="70"/>
      <c r="CP941" s="74"/>
      <c r="CQ941" s="7"/>
      <c r="CR941" s="74"/>
      <c r="CS941" s="74"/>
      <c r="CT941" s="74"/>
      <c r="CU941" s="74"/>
      <c r="CV941" s="74"/>
      <c r="CW941" s="7"/>
      <c r="CX941" s="7"/>
      <c r="CY941" s="7"/>
      <c r="CZ941" s="7"/>
      <c r="DA941" s="7"/>
      <c r="DB941" s="7"/>
      <c r="DC941" s="7"/>
      <c r="DD941" s="7"/>
      <c r="DE941" s="74"/>
      <c r="DF941" s="74"/>
      <c r="DG941" s="74"/>
      <c r="DH941" s="74"/>
      <c r="DI941" s="74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8">
        <f t="shared" si="236"/>
        <v>0</v>
      </c>
      <c r="EA941" s="3">
        <f t="shared" si="237"/>
        <v>0</v>
      </c>
      <c r="EB941" s="2">
        <f t="shared" si="238"/>
        <v>0</v>
      </c>
      <c r="EC941" s="112">
        <f t="shared" si="246"/>
        <v>0</v>
      </c>
      <c r="ED941" s="29">
        <f t="shared" si="239"/>
        <v>0</v>
      </c>
      <c r="EE941" s="2">
        <f t="shared" si="240"/>
        <v>0</v>
      </c>
      <c r="EF941" s="46">
        <f t="shared" si="241"/>
        <v>0</v>
      </c>
      <c r="EG941" s="46">
        <f t="shared" si="242"/>
        <v>0</v>
      </c>
      <c r="EH941" s="2">
        <f t="shared" si="243"/>
        <v>0</v>
      </c>
      <c r="EI941" s="29">
        <f>IF(COUNT(I941:AD941)&lt;5,DZ941,SUMPRODUCT(LARGE(I941:AD941,{1,2,3,4,5}))/5)</f>
        <v>0</v>
      </c>
      <c r="EJ941" s="29">
        <f>IF(COUNT(I941:BE941)&lt;5,DZ941,SUMPRODUCT(LARGE(I941:BE941,{1,2,3,4,5}))/5)</f>
        <v>0</v>
      </c>
      <c r="EK941" s="29">
        <f t="shared" si="245"/>
        <v>0</v>
      </c>
      <c r="EL941" s="29">
        <f t="shared" si="248"/>
        <v>0</v>
      </c>
      <c r="EM941" s="116">
        <f t="shared" si="244"/>
        <v>0</v>
      </c>
      <c r="EQ941"/>
    </row>
    <row r="942" spans="1:147" x14ac:dyDescent="0.25">
      <c r="A942" s="59"/>
      <c r="B942" s="32"/>
      <c r="C942" s="5"/>
      <c r="D942" s="6"/>
      <c r="E942" s="6"/>
      <c r="F942" s="6"/>
      <c r="G942" s="5"/>
      <c r="H942" s="37"/>
      <c r="I942" s="36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227"/>
      <c r="Z942" s="228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4"/>
      <c r="AP942" s="7"/>
      <c r="AQ942" s="74"/>
      <c r="AR942" s="70"/>
      <c r="AS942" s="70"/>
      <c r="AT942" s="70"/>
      <c r="AU942" s="7"/>
      <c r="AV942" s="70"/>
      <c r="AW942" s="7"/>
      <c r="AX942" s="8"/>
      <c r="AY942" s="36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101"/>
      <c r="CL942" s="74"/>
      <c r="CM942" s="74"/>
      <c r="CN942" s="74"/>
      <c r="CO942" s="70"/>
      <c r="CP942" s="74"/>
      <c r="CQ942" s="7"/>
      <c r="CR942" s="74"/>
      <c r="CS942" s="74"/>
      <c r="CT942" s="74"/>
      <c r="CU942" s="74"/>
      <c r="CV942" s="74"/>
      <c r="CW942" s="7"/>
      <c r="CX942" s="7"/>
      <c r="CY942" s="7"/>
      <c r="CZ942" s="7"/>
      <c r="DA942" s="7"/>
      <c r="DB942" s="7"/>
      <c r="DC942" s="7"/>
      <c r="DD942" s="7"/>
      <c r="DE942" s="74"/>
      <c r="DF942" s="74"/>
      <c r="DG942" s="74"/>
      <c r="DH942" s="74"/>
      <c r="DI942" s="74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8">
        <f t="shared" si="236"/>
        <v>0</v>
      </c>
      <c r="EA942" s="3">
        <f t="shared" si="237"/>
        <v>0</v>
      </c>
      <c r="EB942" s="2">
        <f t="shared" si="238"/>
        <v>0</v>
      </c>
      <c r="EC942" s="112">
        <f t="shared" si="246"/>
        <v>0</v>
      </c>
      <c r="ED942" s="29">
        <f t="shared" si="239"/>
        <v>0</v>
      </c>
      <c r="EE942" s="2">
        <f t="shared" si="240"/>
        <v>0</v>
      </c>
      <c r="EF942" s="46">
        <f t="shared" si="241"/>
        <v>0</v>
      </c>
      <c r="EG942" s="46">
        <f t="shared" si="242"/>
        <v>0</v>
      </c>
      <c r="EH942" s="2">
        <f t="shared" si="243"/>
        <v>0</v>
      </c>
      <c r="EI942" s="29">
        <f>IF(COUNT(I942:AD942)&lt;5,DZ942,SUMPRODUCT(LARGE(I942:AD942,{1,2,3,4,5}))/5)</f>
        <v>0</v>
      </c>
      <c r="EJ942" s="29">
        <f>IF(COUNT(I942:BE942)&lt;5,DZ942,SUMPRODUCT(LARGE(I942:BE942,{1,2,3,4,5}))/5)</f>
        <v>0</v>
      </c>
      <c r="EK942" s="29">
        <f t="shared" si="245"/>
        <v>0</v>
      </c>
      <c r="EL942" s="29">
        <f t="shared" si="248"/>
        <v>0</v>
      </c>
      <c r="EM942" s="116">
        <f t="shared" si="244"/>
        <v>0</v>
      </c>
      <c r="EQ942"/>
    </row>
    <row r="943" spans="1:147" x14ac:dyDescent="0.25">
      <c r="A943" s="59"/>
      <c r="B943" s="32"/>
      <c r="C943" s="5"/>
      <c r="D943" s="6"/>
      <c r="E943" s="6"/>
      <c r="F943" s="6"/>
      <c r="G943" s="5"/>
      <c r="H943" s="99"/>
      <c r="I943" s="36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227"/>
      <c r="Z943" s="228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4"/>
      <c r="AP943" s="7"/>
      <c r="AQ943" s="74"/>
      <c r="AR943" s="70"/>
      <c r="AS943" s="70"/>
      <c r="AT943" s="70"/>
      <c r="AU943" s="7"/>
      <c r="AV943" s="70"/>
      <c r="AW943" s="7"/>
      <c r="AX943" s="8"/>
      <c r="AY943" s="36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101"/>
      <c r="CL943" s="74"/>
      <c r="CM943" s="74"/>
      <c r="CN943" s="74"/>
      <c r="CO943" s="70"/>
      <c r="CP943" s="74"/>
      <c r="CQ943" s="7"/>
      <c r="CR943" s="74"/>
      <c r="CS943" s="74"/>
      <c r="CT943" s="74"/>
      <c r="CU943" s="74"/>
      <c r="CV943" s="74"/>
      <c r="CW943" s="7"/>
      <c r="CX943" s="7"/>
      <c r="CY943" s="7"/>
      <c r="CZ943" s="7"/>
      <c r="DA943" s="7"/>
      <c r="DB943" s="7"/>
      <c r="DC943" s="7"/>
      <c r="DD943" s="7"/>
      <c r="DE943" s="74"/>
      <c r="DF943" s="74"/>
      <c r="DG943" s="74"/>
      <c r="DH943" s="74"/>
      <c r="DI943" s="74"/>
      <c r="DJ943" s="7"/>
      <c r="DK943" s="7"/>
      <c r="DL943" s="7"/>
      <c r="DM943" s="7"/>
      <c r="DN943" s="7"/>
      <c r="DO943" s="7"/>
      <c r="DP943" s="7"/>
      <c r="DQ943" s="7"/>
      <c r="DR943" s="7"/>
      <c r="DS943" s="74"/>
      <c r="DT943" s="74"/>
      <c r="DU943" s="7"/>
      <c r="DV943" s="7"/>
      <c r="DW943" s="7"/>
      <c r="DX943" s="7"/>
      <c r="DY943" s="7"/>
      <c r="DZ943" s="8">
        <f t="shared" si="236"/>
        <v>0</v>
      </c>
      <c r="EA943" s="3">
        <f t="shared" si="237"/>
        <v>0</v>
      </c>
      <c r="EB943" s="2">
        <f t="shared" si="238"/>
        <v>0</v>
      </c>
      <c r="EC943" s="112">
        <f t="shared" si="246"/>
        <v>0</v>
      </c>
      <c r="ED943" s="29">
        <f t="shared" si="239"/>
        <v>0</v>
      </c>
      <c r="EE943" s="2">
        <f t="shared" si="240"/>
        <v>0</v>
      </c>
      <c r="EF943" s="46">
        <f t="shared" si="241"/>
        <v>0</v>
      </c>
      <c r="EG943" s="46">
        <f t="shared" si="242"/>
        <v>0</v>
      </c>
      <c r="EH943" s="2">
        <f t="shared" si="243"/>
        <v>0</v>
      </c>
      <c r="EI943" s="29">
        <f>IF(COUNT(I943:AD943)&lt;5,DZ943,SUMPRODUCT(LARGE(I943:AD943,{1,2,3,4,5}))/5)</f>
        <v>0</v>
      </c>
      <c r="EJ943" s="29">
        <f>IF(COUNT(I943:BE943)&lt;5,DZ943,SUMPRODUCT(LARGE(I943:BE943,{1,2,3,4,5}))/5)</f>
        <v>0</v>
      </c>
      <c r="EK943" s="29">
        <f t="shared" si="245"/>
        <v>0</v>
      </c>
      <c r="EL943" s="29">
        <f t="shared" si="248"/>
        <v>0</v>
      </c>
      <c r="EM943" s="116">
        <f t="shared" si="244"/>
        <v>0</v>
      </c>
      <c r="EQ943"/>
    </row>
    <row r="944" spans="1:147" x14ac:dyDescent="0.25">
      <c r="A944" s="59"/>
      <c r="B944" s="32"/>
      <c r="C944" s="5"/>
      <c r="D944" s="6"/>
      <c r="E944" s="6"/>
      <c r="F944" s="6"/>
      <c r="G944" s="5"/>
      <c r="H944" s="37"/>
      <c r="I944" s="36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227"/>
      <c r="Z944" s="228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4"/>
      <c r="AP944" s="7"/>
      <c r="AQ944" s="74"/>
      <c r="AR944" s="70"/>
      <c r="AS944" s="70"/>
      <c r="AT944" s="70"/>
      <c r="AU944" s="7"/>
      <c r="AV944" s="70"/>
      <c r="AW944" s="7"/>
      <c r="AX944" s="8"/>
      <c r="AY944" s="36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101"/>
      <c r="CL944" s="74"/>
      <c r="CM944" s="74"/>
      <c r="CN944" s="74"/>
      <c r="CO944" s="70"/>
      <c r="CP944" s="74"/>
      <c r="CQ944" s="7"/>
      <c r="CR944" s="74"/>
      <c r="CS944" s="74"/>
      <c r="CT944" s="74"/>
      <c r="CU944" s="74"/>
      <c r="CV944" s="74"/>
      <c r="CW944" s="7"/>
      <c r="CX944" s="7"/>
      <c r="CY944" s="7"/>
      <c r="CZ944" s="7"/>
      <c r="DA944" s="7"/>
      <c r="DB944" s="7"/>
      <c r="DC944" s="7"/>
      <c r="DD944" s="7"/>
      <c r="DE944" s="74"/>
      <c r="DF944" s="74"/>
      <c r="DG944" s="74"/>
      <c r="DH944" s="74"/>
      <c r="DI944" s="74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8">
        <f t="shared" si="236"/>
        <v>0</v>
      </c>
      <c r="EA944" s="3">
        <f t="shared" si="237"/>
        <v>0</v>
      </c>
      <c r="EB944" s="2">
        <f t="shared" si="238"/>
        <v>0</v>
      </c>
      <c r="EC944" s="112">
        <f t="shared" si="246"/>
        <v>0</v>
      </c>
      <c r="ED944" s="29">
        <f t="shared" si="239"/>
        <v>0</v>
      </c>
      <c r="EE944" s="2">
        <f t="shared" si="240"/>
        <v>0</v>
      </c>
      <c r="EF944" s="46">
        <f t="shared" si="241"/>
        <v>0</v>
      </c>
      <c r="EG944" s="46">
        <f t="shared" si="242"/>
        <v>0</v>
      </c>
      <c r="EH944" s="2">
        <f t="shared" si="243"/>
        <v>0</v>
      </c>
      <c r="EI944" s="29">
        <f>IF(COUNT(I944:AD944)&lt;5,DZ944,SUMPRODUCT(LARGE(I944:AD944,{1,2,3,4,5}))/5)</f>
        <v>0</v>
      </c>
      <c r="EJ944" s="29">
        <f>IF(COUNT(I944:BE944)&lt;5,DZ944,SUMPRODUCT(LARGE(I944:BE944,{1,2,3,4,5}))/5)</f>
        <v>0</v>
      </c>
      <c r="EK944" s="29">
        <f t="shared" si="245"/>
        <v>0</v>
      </c>
      <c r="EL944" s="29">
        <f t="shared" si="248"/>
        <v>0</v>
      </c>
      <c r="EM944" s="116">
        <f t="shared" si="244"/>
        <v>0</v>
      </c>
      <c r="EQ944"/>
    </row>
    <row r="945" spans="1:147" x14ac:dyDescent="0.25">
      <c r="A945" s="59"/>
      <c r="B945" s="84"/>
      <c r="C945" s="5"/>
      <c r="D945" s="6"/>
      <c r="E945" s="6"/>
      <c r="F945" s="6"/>
      <c r="G945" s="5"/>
      <c r="H945" s="99"/>
      <c r="I945" s="36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227"/>
      <c r="Z945" s="228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4"/>
      <c r="AP945" s="7"/>
      <c r="AQ945" s="74"/>
      <c r="AR945" s="70"/>
      <c r="AS945" s="70"/>
      <c r="AT945" s="70"/>
      <c r="AU945" s="7"/>
      <c r="AV945" s="70"/>
      <c r="AW945" s="7"/>
      <c r="AX945" s="8"/>
      <c r="AY945" s="36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101"/>
      <c r="CL945" s="74"/>
      <c r="CM945" s="74"/>
      <c r="CN945" s="74"/>
      <c r="CO945" s="70"/>
      <c r="CP945" s="74"/>
      <c r="CQ945" s="7"/>
      <c r="CR945" s="74"/>
      <c r="CS945" s="74"/>
      <c r="CT945" s="74"/>
      <c r="CU945" s="74"/>
      <c r="CV945" s="74"/>
      <c r="CW945" s="7"/>
      <c r="CX945" s="7"/>
      <c r="CY945" s="7"/>
      <c r="CZ945" s="7"/>
      <c r="DA945" s="7"/>
      <c r="DB945" s="7"/>
      <c r="DC945" s="7"/>
      <c r="DD945" s="7"/>
      <c r="DE945" s="74"/>
      <c r="DF945" s="74"/>
      <c r="DG945" s="74"/>
      <c r="DH945" s="74"/>
      <c r="DI945" s="74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8">
        <f t="shared" si="236"/>
        <v>0</v>
      </c>
      <c r="EA945" s="3">
        <f t="shared" si="237"/>
        <v>0</v>
      </c>
      <c r="EB945" s="2">
        <f t="shared" si="238"/>
        <v>0</v>
      </c>
      <c r="EC945" s="112">
        <f t="shared" si="246"/>
        <v>0</v>
      </c>
      <c r="ED945" s="29">
        <f t="shared" si="239"/>
        <v>0</v>
      </c>
      <c r="EE945" s="2">
        <f t="shared" si="240"/>
        <v>0</v>
      </c>
      <c r="EF945" s="46">
        <f t="shared" si="241"/>
        <v>0</v>
      </c>
      <c r="EG945" s="46">
        <f t="shared" si="242"/>
        <v>0</v>
      </c>
      <c r="EH945" s="2">
        <f t="shared" si="243"/>
        <v>0</v>
      </c>
      <c r="EI945" s="29">
        <f>IF(COUNT(I945:AD945)&lt;5,DZ945,SUMPRODUCT(LARGE(I945:AD945,{1,2,3,4,5}))/5)</f>
        <v>0</v>
      </c>
      <c r="EJ945" s="112">
        <f>IF(COUNT(I945:BE945)&lt;5,DZ945,SUMPRODUCT(LARGE(I945:BE945,{1,2,3,4,5}))/5)</f>
        <v>0</v>
      </c>
      <c r="EK945" s="29">
        <f t="shared" si="245"/>
        <v>0</v>
      </c>
      <c r="EL945" s="29">
        <f t="shared" si="248"/>
        <v>0</v>
      </c>
      <c r="EM945" s="116">
        <f t="shared" si="244"/>
        <v>0</v>
      </c>
      <c r="EQ945"/>
    </row>
    <row r="946" spans="1:147" x14ac:dyDescent="0.25">
      <c r="A946" s="59"/>
      <c r="B946" s="32"/>
      <c r="C946" s="5"/>
      <c r="D946" s="6"/>
      <c r="E946" s="6"/>
      <c r="F946" s="6"/>
      <c r="G946" s="5"/>
      <c r="H946" s="37"/>
      <c r="I946" s="36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227"/>
      <c r="Z946" s="228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4"/>
      <c r="AP946" s="7"/>
      <c r="AQ946" s="74"/>
      <c r="AR946" s="70"/>
      <c r="AS946" s="70"/>
      <c r="AT946" s="70"/>
      <c r="AU946" s="7"/>
      <c r="AV946" s="70"/>
      <c r="AW946" s="7"/>
      <c r="AX946" s="8"/>
      <c r="AY946" s="36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101"/>
      <c r="CL946" s="74"/>
      <c r="CM946" s="74"/>
      <c r="CN946" s="74"/>
      <c r="CO946" s="70"/>
      <c r="CP946" s="74"/>
      <c r="CQ946" s="7"/>
      <c r="CR946" s="74"/>
      <c r="CS946" s="74"/>
      <c r="CT946" s="74"/>
      <c r="CU946" s="74"/>
      <c r="CV946" s="74"/>
      <c r="CW946" s="7"/>
      <c r="CX946" s="7"/>
      <c r="CY946" s="7"/>
      <c r="CZ946" s="7"/>
      <c r="DA946" s="7"/>
      <c r="DB946" s="7"/>
      <c r="DC946" s="7"/>
      <c r="DD946" s="7"/>
      <c r="DE946" s="74"/>
      <c r="DF946" s="74"/>
      <c r="DG946" s="74"/>
      <c r="DH946" s="74"/>
      <c r="DI946" s="74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8">
        <f t="shared" si="236"/>
        <v>0</v>
      </c>
      <c r="EA946" s="3">
        <f t="shared" si="237"/>
        <v>0</v>
      </c>
      <c r="EB946" s="2">
        <f t="shared" si="238"/>
        <v>0</v>
      </c>
      <c r="EC946" s="112">
        <f t="shared" si="246"/>
        <v>0</v>
      </c>
      <c r="ED946" s="29">
        <f t="shared" si="239"/>
        <v>0</v>
      </c>
      <c r="EE946" s="2">
        <f t="shared" si="240"/>
        <v>0</v>
      </c>
      <c r="EF946" s="46">
        <f t="shared" si="241"/>
        <v>0</v>
      </c>
      <c r="EG946" s="46">
        <f t="shared" si="242"/>
        <v>0</v>
      </c>
      <c r="EH946" s="2">
        <f t="shared" si="243"/>
        <v>0</v>
      </c>
      <c r="EI946" s="29">
        <f>IF(COUNT(I946:AD946)&lt;5,DZ946,SUMPRODUCT(LARGE(I946:AD946,{1,2,3,4,5}))/5)</f>
        <v>0</v>
      </c>
      <c r="EJ946" s="29">
        <f>IF(COUNT(I946:BE946)&lt;5,DZ946,SUMPRODUCT(LARGE(I946:BE946,{1,2,3,4,5}))/5)</f>
        <v>0</v>
      </c>
      <c r="EK946" s="29">
        <f t="shared" si="245"/>
        <v>0</v>
      </c>
      <c r="EL946" s="29">
        <f t="shared" si="248"/>
        <v>0</v>
      </c>
      <c r="EM946" s="116">
        <f t="shared" si="244"/>
        <v>0</v>
      </c>
      <c r="EQ946"/>
    </row>
    <row r="947" spans="1:147" x14ac:dyDescent="0.25">
      <c r="A947" s="59"/>
      <c r="B947" s="32"/>
      <c r="C947" s="5"/>
      <c r="D947" s="6"/>
      <c r="E947" s="6"/>
      <c r="F947" s="6"/>
      <c r="G947" s="5"/>
      <c r="H947" s="37"/>
      <c r="I947" s="36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227"/>
      <c r="Z947" s="228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4"/>
      <c r="AP947" s="7"/>
      <c r="AQ947" s="74"/>
      <c r="AR947" s="70"/>
      <c r="AS947" s="70"/>
      <c r="AT947" s="70"/>
      <c r="AU947" s="7"/>
      <c r="AV947" s="70"/>
      <c r="AW947" s="7"/>
      <c r="AX947" s="8"/>
      <c r="AY947" s="36"/>
      <c r="AZ947" s="74"/>
      <c r="BA947" s="7"/>
      <c r="BB947" s="74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101"/>
      <c r="CL947" s="74"/>
      <c r="CM947" s="74"/>
      <c r="CN947" s="74"/>
      <c r="CO947" s="70"/>
      <c r="CP947" s="74"/>
      <c r="CQ947" s="7"/>
      <c r="CR947" s="74"/>
      <c r="CS947" s="74"/>
      <c r="CT947" s="74"/>
      <c r="CU947" s="74"/>
      <c r="CV947" s="74"/>
      <c r="CW947" s="7"/>
      <c r="CX947" s="7"/>
      <c r="CY947" s="7"/>
      <c r="CZ947" s="7"/>
      <c r="DA947" s="7"/>
      <c r="DB947" s="7"/>
      <c r="DC947" s="7"/>
      <c r="DD947" s="7"/>
      <c r="DE947" s="74"/>
      <c r="DF947" s="74"/>
      <c r="DG947" s="74"/>
      <c r="DH947" s="74"/>
      <c r="DI947" s="74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8">
        <f t="shared" si="236"/>
        <v>0</v>
      </c>
      <c r="EA947" s="3">
        <f t="shared" si="237"/>
        <v>0</v>
      </c>
      <c r="EB947" s="2">
        <f t="shared" si="238"/>
        <v>0</v>
      </c>
      <c r="EC947" s="112">
        <f t="shared" si="246"/>
        <v>0</v>
      </c>
      <c r="ED947" s="29">
        <f t="shared" si="239"/>
        <v>0</v>
      </c>
      <c r="EE947" s="2">
        <f t="shared" si="240"/>
        <v>0</v>
      </c>
      <c r="EF947" s="46">
        <f t="shared" si="241"/>
        <v>0</v>
      </c>
      <c r="EG947" s="46">
        <f t="shared" si="242"/>
        <v>0</v>
      </c>
      <c r="EH947" s="2">
        <f t="shared" si="243"/>
        <v>0</v>
      </c>
      <c r="EI947" s="29">
        <f>IF(COUNT(I947:AD947)&lt;5,DZ947,SUMPRODUCT(LARGE(I947:AD947,{1,2,3,4,5}))/5)</f>
        <v>0</v>
      </c>
      <c r="EJ947" s="29">
        <f>IF(COUNT(I947:BE947)&lt;5,DZ947,SUMPRODUCT(LARGE(I947:BE947,{1,2,3,4,5}))/5)</f>
        <v>0</v>
      </c>
      <c r="EK947" s="29">
        <f t="shared" si="245"/>
        <v>0</v>
      </c>
      <c r="EL947" s="29">
        <f t="shared" si="248"/>
        <v>0</v>
      </c>
      <c r="EM947" s="116">
        <f t="shared" si="244"/>
        <v>0</v>
      </c>
      <c r="EQ947"/>
    </row>
    <row r="948" spans="1:147" x14ac:dyDescent="0.25">
      <c r="A948" s="59"/>
      <c r="B948" s="32"/>
      <c r="C948" s="5"/>
      <c r="D948" s="6"/>
      <c r="E948" s="6"/>
      <c r="F948" s="6"/>
      <c r="G948" s="5"/>
      <c r="H948" s="37"/>
      <c r="I948" s="36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227"/>
      <c r="Z948" s="228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4"/>
      <c r="AP948" s="7"/>
      <c r="AQ948" s="74"/>
      <c r="AR948" s="70"/>
      <c r="AS948" s="70"/>
      <c r="AT948" s="70"/>
      <c r="AU948" s="7"/>
      <c r="AV948" s="70"/>
      <c r="AW948" s="7"/>
      <c r="AX948" s="8"/>
      <c r="AY948" s="36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4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4"/>
      <c r="CH948" s="7"/>
      <c r="CI948" s="7"/>
      <c r="CJ948" s="7"/>
      <c r="CK948" s="101"/>
      <c r="CL948" s="74"/>
      <c r="CM948" s="74"/>
      <c r="CN948" s="74"/>
      <c r="CO948" s="70"/>
      <c r="CP948" s="74"/>
      <c r="CQ948" s="7"/>
      <c r="CR948" s="74"/>
      <c r="CS948" s="74"/>
      <c r="CT948" s="74"/>
      <c r="CU948" s="74"/>
      <c r="CV948" s="7"/>
      <c r="CW948" s="7"/>
      <c r="CX948" s="7"/>
      <c r="CY948" s="7"/>
      <c r="CZ948" s="7"/>
      <c r="DA948" s="7"/>
      <c r="DB948" s="7"/>
      <c r="DC948" s="7"/>
      <c r="DD948" s="7"/>
      <c r="DE948" s="74"/>
      <c r="DF948" s="74"/>
      <c r="DG948" s="74"/>
      <c r="DH948" s="7"/>
      <c r="DI948" s="74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8">
        <f t="shared" si="236"/>
        <v>0</v>
      </c>
      <c r="EA948" s="3">
        <f t="shared" si="237"/>
        <v>0</v>
      </c>
      <c r="EB948" s="2">
        <f t="shared" si="238"/>
        <v>0</v>
      </c>
      <c r="EC948" s="112">
        <f t="shared" si="246"/>
        <v>0</v>
      </c>
      <c r="ED948" s="29">
        <f t="shared" si="239"/>
        <v>0</v>
      </c>
      <c r="EE948" s="2">
        <f t="shared" si="240"/>
        <v>0</v>
      </c>
      <c r="EF948" s="46">
        <f t="shared" si="241"/>
        <v>0</v>
      </c>
      <c r="EG948" s="46">
        <f t="shared" si="242"/>
        <v>0</v>
      </c>
      <c r="EH948" s="2">
        <f t="shared" si="243"/>
        <v>0</v>
      </c>
      <c r="EI948" s="29">
        <f>IF(COUNT(I948:AD948)&lt;5,DZ948,SUMPRODUCT(LARGE(I948:AD948,{1,2,3,4,5}))/5)</f>
        <v>0</v>
      </c>
      <c r="EJ948" s="29">
        <f>IF(COUNT(I948:BE948)&lt;5,DZ948,SUMPRODUCT(LARGE(I948:BE948,{1,2,3,4,5}))/5)</f>
        <v>0</v>
      </c>
      <c r="EK948" s="29">
        <f t="shared" si="245"/>
        <v>0</v>
      </c>
      <c r="EL948" s="29">
        <f t="shared" si="248"/>
        <v>0</v>
      </c>
      <c r="EM948" s="116">
        <f t="shared" si="244"/>
        <v>0</v>
      </c>
      <c r="EQ948"/>
    </row>
    <row r="949" spans="1:147" x14ac:dyDescent="0.25">
      <c r="A949" s="59"/>
      <c r="B949" s="32"/>
      <c r="C949" s="5"/>
      <c r="D949" s="6"/>
      <c r="E949" s="6"/>
      <c r="F949" s="6"/>
      <c r="G949" s="5"/>
      <c r="H949" s="37"/>
      <c r="I949" s="36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227"/>
      <c r="Z949" s="228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4"/>
      <c r="AP949" s="7"/>
      <c r="AQ949" s="74"/>
      <c r="AR949" s="70"/>
      <c r="AS949" s="70"/>
      <c r="AT949" s="70"/>
      <c r="AU949" s="7"/>
      <c r="AV949" s="70"/>
      <c r="AW949" s="7"/>
      <c r="AX949" s="8"/>
      <c r="AY949" s="36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4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101"/>
      <c r="CL949" s="74"/>
      <c r="CM949" s="74"/>
      <c r="CN949" s="74"/>
      <c r="CO949" s="70"/>
      <c r="CP949" s="74"/>
      <c r="CQ949" s="7"/>
      <c r="CR949" s="74"/>
      <c r="CS949" s="74"/>
      <c r="CT949" s="74"/>
      <c r="CU949" s="74"/>
      <c r="CV949" s="7"/>
      <c r="CW949" s="7"/>
      <c r="CX949" s="7"/>
      <c r="CY949" s="7"/>
      <c r="CZ949" s="7"/>
      <c r="DA949" s="7"/>
      <c r="DB949" s="7"/>
      <c r="DC949" s="7"/>
      <c r="DD949" s="7"/>
      <c r="DE949" s="74"/>
      <c r="DF949" s="74"/>
      <c r="DG949" s="74"/>
      <c r="DH949" s="7"/>
      <c r="DI949" s="74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8">
        <f t="shared" si="236"/>
        <v>0</v>
      </c>
      <c r="EA949" s="3">
        <f t="shared" si="237"/>
        <v>0</v>
      </c>
      <c r="EB949" s="2">
        <f t="shared" si="238"/>
        <v>0</v>
      </c>
      <c r="EC949" s="112">
        <f t="shared" si="246"/>
        <v>0</v>
      </c>
      <c r="ED949" s="29">
        <f t="shared" si="239"/>
        <v>0</v>
      </c>
      <c r="EE949" s="2">
        <f t="shared" si="240"/>
        <v>0</v>
      </c>
      <c r="EF949" s="46">
        <f t="shared" si="241"/>
        <v>0</v>
      </c>
      <c r="EG949" s="46">
        <f t="shared" si="242"/>
        <v>0</v>
      </c>
      <c r="EH949" s="2">
        <f t="shared" si="243"/>
        <v>0</v>
      </c>
      <c r="EI949" s="29">
        <f>IF(COUNT(I949:AD949)&lt;5,DZ949,SUMPRODUCT(LARGE(I949:AD949,{1,2,3,4,5}))/5)</f>
        <v>0</v>
      </c>
      <c r="EJ949" s="29">
        <f>IF(COUNT(I949:BE949)&lt;5,DZ949,SUMPRODUCT(LARGE(I949:BE949,{1,2,3,4,5}))/5)</f>
        <v>0</v>
      </c>
      <c r="EK949" s="29">
        <f t="shared" si="245"/>
        <v>0</v>
      </c>
      <c r="EL949" s="29">
        <f t="shared" si="248"/>
        <v>0</v>
      </c>
      <c r="EM949" s="116">
        <f t="shared" si="244"/>
        <v>0</v>
      </c>
      <c r="EQ949"/>
    </row>
    <row r="950" spans="1:147" x14ac:dyDescent="0.25">
      <c r="A950" s="59"/>
      <c r="B950" s="32"/>
      <c r="C950" s="5"/>
      <c r="D950" s="6"/>
      <c r="E950" s="6"/>
      <c r="F950" s="6"/>
      <c r="G950" s="5"/>
      <c r="H950" s="37"/>
      <c r="I950" s="36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227"/>
      <c r="Z950" s="228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4"/>
      <c r="AP950" s="7"/>
      <c r="AQ950" s="74"/>
      <c r="AR950" s="70"/>
      <c r="AS950" s="70"/>
      <c r="AT950" s="70"/>
      <c r="AU950" s="7"/>
      <c r="AV950" s="70"/>
      <c r="AW950" s="7"/>
      <c r="AX950" s="8"/>
      <c r="AY950" s="36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4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101"/>
      <c r="CL950" s="74"/>
      <c r="CM950" s="74"/>
      <c r="CN950" s="74"/>
      <c r="CO950" s="70"/>
      <c r="CP950" s="74"/>
      <c r="CQ950" s="7"/>
      <c r="CR950" s="74"/>
      <c r="CS950" s="74"/>
      <c r="CT950" s="74"/>
      <c r="CU950" s="74"/>
      <c r="CV950" s="7"/>
      <c r="CW950" s="7"/>
      <c r="CX950" s="7"/>
      <c r="CY950" s="7"/>
      <c r="CZ950" s="7"/>
      <c r="DA950" s="7"/>
      <c r="DB950" s="7"/>
      <c r="DC950" s="7"/>
      <c r="DD950" s="7"/>
      <c r="DE950" s="74"/>
      <c r="DF950" s="74"/>
      <c r="DG950" s="74"/>
      <c r="DH950" s="7"/>
      <c r="DI950" s="74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8">
        <f t="shared" si="236"/>
        <v>0</v>
      </c>
      <c r="EA950" s="3">
        <f t="shared" si="237"/>
        <v>0</v>
      </c>
      <c r="EB950" s="2">
        <f t="shared" si="238"/>
        <v>0</v>
      </c>
      <c r="EC950" s="112">
        <f t="shared" si="246"/>
        <v>0</v>
      </c>
      <c r="ED950" s="29">
        <f t="shared" si="239"/>
        <v>0</v>
      </c>
      <c r="EE950" s="2">
        <f t="shared" si="240"/>
        <v>0</v>
      </c>
      <c r="EF950" s="46">
        <f t="shared" si="241"/>
        <v>0</v>
      </c>
      <c r="EG950" s="46">
        <f t="shared" si="242"/>
        <v>0</v>
      </c>
      <c r="EH950" s="2">
        <f t="shared" si="243"/>
        <v>0</v>
      </c>
      <c r="EI950" s="29">
        <f>IF(COUNT(I950:AD950)&lt;5,DZ950,SUMPRODUCT(LARGE(I950:AD950,{1,2,3,4,5}))/5)</f>
        <v>0</v>
      </c>
      <c r="EJ950" s="29">
        <f>IF(COUNT(I950:BE950)&lt;5,DZ950,SUMPRODUCT(LARGE(I950:BE950,{1,2,3,4,5}))/5)</f>
        <v>0</v>
      </c>
      <c r="EK950" s="29">
        <f t="shared" si="245"/>
        <v>0</v>
      </c>
      <c r="EL950" s="29">
        <f>(EK950*100)/101.59</f>
        <v>0</v>
      </c>
      <c r="EM950" s="116">
        <f t="shared" si="244"/>
        <v>0</v>
      </c>
      <c r="EQ950"/>
    </row>
    <row r="951" spans="1:147" x14ac:dyDescent="0.25">
      <c r="A951" s="59"/>
      <c r="B951" s="33"/>
      <c r="C951" s="5"/>
      <c r="D951" s="6"/>
      <c r="E951" s="6"/>
      <c r="F951" s="6"/>
      <c r="G951" s="5"/>
      <c r="H951" s="99"/>
      <c r="I951" s="36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227"/>
      <c r="Z951" s="228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4"/>
      <c r="AP951" s="7"/>
      <c r="AQ951" s="74"/>
      <c r="AR951" s="70"/>
      <c r="AS951" s="70"/>
      <c r="AT951" s="70"/>
      <c r="AU951" s="7"/>
      <c r="AV951" s="70"/>
      <c r="AW951" s="7"/>
      <c r="AX951" s="8"/>
      <c r="AY951" s="36"/>
      <c r="AZ951" s="74"/>
      <c r="BA951" s="7"/>
      <c r="BB951" s="74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101"/>
      <c r="CL951" s="74"/>
      <c r="CM951" s="74"/>
      <c r="CN951" s="74"/>
      <c r="CO951" s="70"/>
      <c r="CP951" s="74"/>
      <c r="CQ951" s="7"/>
      <c r="CR951" s="74"/>
      <c r="CS951" s="74"/>
      <c r="CT951" s="74"/>
      <c r="CU951" s="74"/>
      <c r="CV951" s="74"/>
      <c r="CW951" s="7"/>
      <c r="CX951" s="7"/>
      <c r="CY951" s="7"/>
      <c r="CZ951" s="7"/>
      <c r="DA951" s="7"/>
      <c r="DB951" s="7"/>
      <c r="DC951" s="7"/>
      <c r="DD951" s="7"/>
      <c r="DE951" s="74"/>
      <c r="DF951" s="74"/>
      <c r="DG951" s="74"/>
      <c r="DH951" s="74"/>
      <c r="DI951" s="74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8">
        <f t="shared" si="236"/>
        <v>0</v>
      </c>
      <c r="EA951" s="3">
        <f t="shared" si="237"/>
        <v>0</v>
      </c>
      <c r="EB951" s="2">
        <f t="shared" si="238"/>
        <v>0</v>
      </c>
      <c r="EC951" s="112">
        <f t="shared" si="246"/>
        <v>0</v>
      </c>
      <c r="ED951" s="29">
        <f t="shared" si="239"/>
        <v>0</v>
      </c>
      <c r="EE951" s="2">
        <f t="shared" si="240"/>
        <v>0</v>
      </c>
      <c r="EF951" s="46">
        <f t="shared" si="241"/>
        <v>0</v>
      </c>
      <c r="EG951" s="46">
        <f t="shared" si="242"/>
        <v>0</v>
      </c>
      <c r="EH951" s="2">
        <f t="shared" si="243"/>
        <v>0</v>
      </c>
      <c r="EI951" s="29">
        <f>IF(COUNT(I951:AD951)&lt;5,DZ951,SUMPRODUCT(LARGE(I951:AD951,{1,2,3,4,5}))/5)</f>
        <v>0</v>
      </c>
      <c r="EJ951" s="29">
        <f>IF(COUNT(I951:BE951)&lt;5,DZ951,SUMPRODUCT(LARGE(I951:BE951,{1,2,3,4,5}))/5)</f>
        <v>0</v>
      </c>
      <c r="EK951" s="29">
        <f t="shared" si="245"/>
        <v>0</v>
      </c>
      <c r="EL951" s="29">
        <f>(EK951*100)/101.28</f>
        <v>0</v>
      </c>
      <c r="EM951" s="116">
        <f t="shared" si="244"/>
        <v>0</v>
      </c>
      <c r="EQ951"/>
    </row>
    <row r="952" spans="1:147" x14ac:dyDescent="0.25">
      <c r="A952" s="59"/>
      <c r="B952" s="32"/>
      <c r="C952" s="5"/>
      <c r="D952" s="6"/>
      <c r="E952" s="6"/>
      <c r="F952" s="6"/>
      <c r="G952" s="5"/>
      <c r="H952" s="37"/>
      <c r="I952" s="36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227"/>
      <c r="Z952" s="228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4"/>
      <c r="AP952" s="7"/>
      <c r="AQ952" s="74"/>
      <c r="AR952" s="70"/>
      <c r="AS952" s="70"/>
      <c r="AT952" s="70"/>
      <c r="AU952" s="7"/>
      <c r="AV952" s="70"/>
      <c r="AW952" s="7"/>
      <c r="AX952" s="8"/>
      <c r="AY952" s="36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101"/>
      <c r="CL952" s="74"/>
      <c r="CM952" s="74"/>
      <c r="CN952" s="74"/>
      <c r="CO952" s="70"/>
      <c r="CP952" s="74"/>
      <c r="CQ952" s="7"/>
      <c r="CR952" s="74"/>
      <c r="CS952" s="74"/>
      <c r="CT952" s="74"/>
      <c r="CU952" s="74"/>
      <c r="CV952" s="74"/>
      <c r="CW952" s="7"/>
      <c r="CX952" s="7"/>
      <c r="CY952" s="7"/>
      <c r="CZ952" s="74"/>
      <c r="DA952" s="7"/>
      <c r="DB952" s="7"/>
      <c r="DC952" s="7"/>
      <c r="DD952" s="7"/>
      <c r="DE952" s="74"/>
      <c r="DF952" s="74"/>
      <c r="DG952" s="74"/>
      <c r="DH952" s="74"/>
      <c r="DI952" s="74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8">
        <f t="shared" si="236"/>
        <v>0</v>
      </c>
      <c r="EA952" s="3">
        <f t="shared" si="237"/>
        <v>0</v>
      </c>
      <c r="EB952" s="2">
        <f t="shared" si="238"/>
        <v>0</v>
      </c>
      <c r="EC952" s="112">
        <f t="shared" si="246"/>
        <v>0</v>
      </c>
      <c r="ED952" s="29">
        <f t="shared" si="239"/>
        <v>0</v>
      </c>
      <c r="EE952" s="2">
        <f t="shared" si="240"/>
        <v>0</v>
      </c>
      <c r="EF952" s="46">
        <f t="shared" si="241"/>
        <v>0</v>
      </c>
      <c r="EG952" s="46">
        <f t="shared" si="242"/>
        <v>0</v>
      </c>
      <c r="EH952" s="2">
        <f t="shared" si="243"/>
        <v>0</v>
      </c>
      <c r="EI952" s="29">
        <f>IF(COUNT(I952:AD952)&lt;5,DZ952,SUMPRODUCT(LARGE(I952:AD952,{1,2,3,4,5}))/5)</f>
        <v>0</v>
      </c>
      <c r="EJ952" s="29">
        <f>IF(COUNT(I952:BE952)&lt;5,DZ952,SUMPRODUCT(LARGE(I952:BE952,{1,2,3,4,5}))/5)</f>
        <v>0</v>
      </c>
      <c r="EK952" s="29">
        <f t="shared" si="245"/>
        <v>0</v>
      </c>
      <c r="EL952" s="29">
        <f>(EK952*100)/101.28</f>
        <v>0</v>
      </c>
      <c r="EM952" s="116">
        <f t="shared" si="244"/>
        <v>0</v>
      </c>
      <c r="EQ952"/>
    </row>
    <row r="953" spans="1:147" x14ac:dyDescent="0.25">
      <c r="A953" s="59"/>
      <c r="B953" s="4"/>
      <c r="C953" s="5"/>
      <c r="D953" s="5"/>
      <c r="E953" s="6"/>
      <c r="F953" s="6"/>
      <c r="G953" s="5"/>
      <c r="H953" s="99"/>
      <c r="I953" s="36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227"/>
      <c r="Z953" s="228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4"/>
      <c r="AP953" s="7"/>
      <c r="AQ953" s="74"/>
      <c r="AR953" s="70"/>
      <c r="AS953" s="70"/>
      <c r="AT953" s="70"/>
      <c r="AU953" s="7"/>
      <c r="AV953" s="70"/>
      <c r="AW953" s="7"/>
      <c r="AX953" s="8"/>
      <c r="AY953" s="36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4"/>
      <c r="BK953" s="7"/>
      <c r="BL953" s="74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101"/>
      <c r="CL953" s="74"/>
      <c r="CM953" s="74"/>
      <c r="CN953" s="74"/>
      <c r="CO953" s="70"/>
      <c r="CP953" s="74"/>
      <c r="CQ953" s="7"/>
      <c r="CR953" s="74"/>
      <c r="CS953" s="74"/>
      <c r="CT953" s="74"/>
      <c r="CU953" s="74"/>
      <c r="CV953" s="74"/>
      <c r="CW953" s="7"/>
      <c r="CX953" s="7"/>
      <c r="CY953" s="7"/>
      <c r="CZ953" s="7"/>
      <c r="DA953" s="7"/>
      <c r="DB953" s="7"/>
      <c r="DC953" s="7"/>
      <c r="DD953" s="7"/>
      <c r="DE953" s="74"/>
      <c r="DF953" s="74"/>
      <c r="DG953" s="74"/>
      <c r="DH953" s="74"/>
      <c r="DI953" s="74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8">
        <f t="shared" si="236"/>
        <v>0</v>
      </c>
      <c r="EA953" s="3">
        <f t="shared" si="237"/>
        <v>0</v>
      </c>
      <c r="EB953" s="2">
        <f t="shared" si="238"/>
        <v>0</v>
      </c>
      <c r="EC953" s="112">
        <f t="shared" si="246"/>
        <v>0</v>
      </c>
      <c r="ED953" s="29">
        <f t="shared" si="239"/>
        <v>0</v>
      </c>
      <c r="EE953" s="2">
        <f t="shared" si="240"/>
        <v>0</v>
      </c>
      <c r="EF953" s="46">
        <f t="shared" si="241"/>
        <v>0</v>
      </c>
      <c r="EG953" s="46">
        <f t="shared" si="242"/>
        <v>0</v>
      </c>
      <c r="EH953" s="2">
        <f t="shared" si="243"/>
        <v>0</v>
      </c>
      <c r="EI953" s="29">
        <f>IF(COUNT(I953:AD953)&lt;5,DZ953,SUMPRODUCT(LARGE(I953:AD953,{1,2,3,4,5}))/5)</f>
        <v>0</v>
      </c>
      <c r="EJ953" s="29">
        <f>IF(COUNT(I953:BE953)&lt;5,DZ953,SUMPRODUCT(LARGE(I953:BE953,{1,2,3,4,5}))/5)</f>
        <v>0</v>
      </c>
      <c r="EK953" s="29">
        <f t="shared" si="245"/>
        <v>0</v>
      </c>
      <c r="EL953" s="29">
        <f>(EK953*100)/101.28</f>
        <v>0</v>
      </c>
      <c r="EM953" s="116">
        <f t="shared" si="244"/>
        <v>0</v>
      </c>
      <c r="EQ953"/>
    </row>
    <row r="954" spans="1:147" x14ac:dyDescent="0.25">
      <c r="A954" s="59"/>
      <c r="B954" s="32"/>
      <c r="C954" s="5"/>
      <c r="D954" s="6"/>
      <c r="E954" s="6"/>
      <c r="F954" s="6"/>
      <c r="G954" s="5"/>
      <c r="H954" s="37"/>
      <c r="I954" s="36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227"/>
      <c r="Z954" s="228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4"/>
      <c r="AP954" s="7"/>
      <c r="AQ954" s="74"/>
      <c r="AR954" s="70"/>
      <c r="AS954" s="70"/>
      <c r="AT954" s="70"/>
      <c r="AU954" s="7"/>
      <c r="AV954" s="70"/>
      <c r="AW954" s="7"/>
      <c r="AX954" s="8"/>
      <c r="AY954" s="36"/>
      <c r="AZ954" s="7"/>
      <c r="BA954" s="74"/>
      <c r="BB954" s="74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101"/>
      <c r="CL954" s="74"/>
      <c r="CM954" s="74"/>
      <c r="CN954" s="74"/>
      <c r="CO954" s="70"/>
      <c r="CP954" s="74"/>
      <c r="CQ954" s="7"/>
      <c r="CR954" s="74"/>
      <c r="CS954" s="74"/>
      <c r="CT954" s="74"/>
      <c r="CU954" s="74"/>
      <c r="CV954" s="74"/>
      <c r="CW954" s="7"/>
      <c r="CX954" s="7"/>
      <c r="CY954" s="74"/>
      <c r="CZ954" s="7"/>
      <c r="DA954" s="7"/>
      <c r="DB954" s="7"/>
      <c r="DC954" s="7"/>
      <c r="DD954" s="7"/>
      <c r="DE954" s="74"/>
      <c r="DF954" s="74"/>
      <c r="DG954" s="74"/>
      <c r="DH954" s="74"/>
      <c r="DI954" s="74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8">
        <f t="shared" si="236"/>
        <v>0</v>
      </c>
      <c r="EA954" s="3">
        <f t="shared" si="237"/>
        <v>0</v>
      </c>
      <c r="EB954" s="2">
        <f t="shared" si="238"/>
        <v>0</v>
      </c>
      <c r="EC954" s="112">
        <f t="shared" si="246"/>
        <v>0</v>
      </c>
      <c r="ED954" s="29">
        <f t="shared" si="239"/>
        <v>0</v>
      </c>
      <c r="EE954" s="2">
        <f t="shared" si="240"/>
        <v>0</v>
      </c>
      <c r="EF954" s="46">
        <f t="shared" si="241"/>
        <v>0</v>
      </c>
      <c r="EG954" s="46">
        <f t="shared" si="242"/>
        <v>0</v>
      </c>
      <c r="EH954" s="2">
        <f t="shared" si="243"/>
        <v>0</v>
      </c>
      <c r="EI954" s="29">
        <f>IF(COUNT(I954:AD954)&lt;5,DZ954,SUMPRODUCT(LARGE(I954:AD954,{1,2,3,4,5}))/5)</f>
        <v>0</v>
      </c>
      <c r="EJ954" s="29">
        <f>IF(COUNT(I954:BE954)&lt;5,DZ954,SUMPRODUCT(LARGE(I954:BE954,{1,2,3,4,5}))/5)</f>
        <v>0</v>
      </c>
      <c r="EK954" s="29">
        <f t="shared" si="245"/>
        <v>0</v>
      </c>
      <c r="EL954" s="29">
        <f>(EK954*100)/101.28</f>
        <v>0</v>
      </c>
      <c r="EM954" s="116">
        <f t="shared" si="244"/>
        <v>0</v>
      </c>
      <c r="EQ954"/>
    </row>
    <row r="955" spans="1:147" x14ac:dyDescent="0.25">
      <c r="A955" s="59"/>
      <c r="B955" s="32"/>
      <c r="C955" s="5"/>
      <c r="D955" s="6"/>
      <c r="E955" s="6"/>
      <c r="F955" s="6"/>
      <c r="G955" s="5"/>
      <c r="H955" s="37"/>
      <c r="I955" s="36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227"/>
      <c r="Z955" s="228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4"/>
      <c r="AP955" s="7"/>
      <c r="AQ955" s="74"/>
      <c r="AR955" s="70"/>
      <c r="AS955" s="70"/>
      <c r="AT955" s="70"/>
      <c r="AU955" s="7"/>
      <c r="AV955" s="70"/>
      <c r="AW955" s="7"/>
      <c r="AX955" s="8"/>
      <c r="AY955" s="36"/>
      <c r="AZ955" s="7"/>
      <c r="BA955" s="7"/>
      <c r="BB955" s="74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101"/>
      <c r="CL955" s="74"/>
      <c r="CM955" s="74"/>
      <c r="CN955" s="74"/>
      <c r="CO955" s="70"/>
      <c r="CP955" s="74"/>
      <c r="CQ955" s="7"/>
      <c r="CR955" s="74"/>
      <c r="CS955" s="74"/>
      <c r="CT955" s="74"/>
      <c r="CU955" s="74"/>
      <c r="CV955" s="74"/>
      <c r="CW955" s="7"/>
      <c r="CX955" s="7"/>
      <c r="CY955" s="7"/>
      <c r="CZ955" s="7"/>
      <c r="DA955" s="7"/>
      <c r="DB955" s="7"/>
      <c r="DC955" s="7"/>
      <c r="DD955" s="7"/>
      <c r="DE955" s="74"/>
      <c r="DF955" s="74"/>
      <c r="DG955" s="74"/>
      <c r="DH955" s="74"/>
      <c r="DI955" s="74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8">
        <f t="shared" si="236"/>
        <v>0</v>
      </c>
      <c r="EA955" s="3">
        <f t="shared" si="237"/>
        <v>0</v>
      </c>
      <c r="EB955" s="2">
        <f t="shared" si="238"/>
        <v>0</v>
      </c>
      <c r="EC955" s="112">
        <f t="shared" si="246"/>
        <v>0</v>
      </c>
      <c r="ED955" s="29">
        <f t="shared" si="239"/>
        <v>0</v>
      </c>
      <c r="EE955" s="2">
        <f t="shared" si="240"/>
        <v>0</v>
      </c>
      <c r="EF955" s="46">
        <f t="shared" si="241"/>
        <v>0</v>
      </c>
      <c r="EG955" s="46">
        <f t="shared" si="242"/>
        <v>0</v>
      </c>
      <c r="EH955" s="2">
        <f t="shared" si="243"/>
        <v>0</v>
      </c>
      <c r="EI955" s="29">
        <f>IF(COUNT(I955:AD955)&lt;5,DZ955,SUMPRODUCT(LARGE(I955:AD955,{1,2,3,4,5}))/5)</f>
        <v>0</v>
      </c>
      <c r="EJ955" s="29">
        <f>IF(COUNT(I955:BE955)&lt;5,DZ955,SUMPRODUCT(LARGE(I955:BE955,{1,2,3,4,5}))/5)</f>
        <v>0</v>
      </c>
      <c r="EK955" s="29">
        <f t="shared" si="245"/>
        <v>0</v>
      </c>
      <c r="EL955" s="29">
        <f>(EK955*100)/101.28</f>
        <v>0</v>
      </c>
      <c r="EM955" s="116">
        <f t="shared" si="244"/>
        <v>0</v>
      </c>
      <c r="EQ955"/>
    </row>
    <row r="956" spans="1:147" x14ac:dyDescent="0.25">
      <c r="A956" s="59"/>
      <c r="B956" s="32"/>
      <c r="C956" s="5"/>
      <c r="D956" s="6"/>
      <c r="E956" s="6"/>
      <c r="F956" s="6"/>
      <c r="G956" s="5"/>
      <c r="H956" s="37"/>
      <c r="I956" s="107"/>
      <c r="J956" s="7"/>
      <c r="K956" s="74"/>
      <c r="L956" s="7"/>
      <c r="M956" s="74"/>
      <c r="N956" s="74"/>
      <c r="O956" s="7"/>
      <c r="P956" s="74"/>
      <c r="Q956" s="7"/>
      <c r="R956" s="74"/>
      <c r="S956" s="74"/>
      <c r="T956" s="7"/>
      <c r="U956" s="7"/>
      <c r="V956" s="74"/>
      <c r="W956" s="7"/>
      <c r="X956" s="74"/>
      <c r="Y956" s="227"/>
      <c r="Z956" s="228"/>
      <c r="AA956" s="74"/>
      <c r="AB956" s="74"/>
      <c r="AC956" s="74"/>
      <c r="AD956" s="74"/>
      <c r="AE956" s="7"/>
      <c r="AF956" s="74"/>
      <c r="AG956" s="74"/>
      <c r="AH956" s="7"/>
      <c r="AI956" s="7"/>
      <c r="AJ956" s="7"/>
      <c r="AK956" s="7"/>
      <c r="AL956" s="7"/>
      <c r="AM956" s="7"/>
      <c r="AN956" s="7"/>
      <c r="AO956" s="74"/>
      <c r="AP956" s="7"/>
      <c r="AQ956" s="74"/>
      <c r="AR956" s="101"/>
      <c r="AS956" s="70"/>
      <c r="AT956" s="101"/>
      <c r="AU956" s="7"/>
      <c r="AV956" s="101"/>
      <c r="AW956" s="7"/>
      <c r="AX956" s="8"/>
      <c r="AY956" s="36"/>
      <c r="AZ956" s="74"/>
      <c r="BA956" s="74"/>
      <c r="BB956" s="74"/>
      <c r="BC956" s="74"/>
      <c r="BD956" s="74"/>
      <c r="BE956" s="74"/>
      <c r="BF956" s="74"/>
      <c r="BG956" s="74"/>
      <c r="BH956" s="74"/>
      <c r="BI956" s="74"/>
      <c r="BJ956" s="74"/>
      <c r="BK956" s="7"/>
      <c r="BL956" s="74"/>
      <c r="BM956" s="7"/>
      <c r="BN956" s="74"/>
      <c r="BO956" s="74"/>
      <c r="BP956" s="74"/>
      <c r="BQ956" s="74"/>
      <c r="BR956" s="74"/>
      <c r="BS956" s="74"/>
      <c r="BT956" s="74"/>
      <c r="BU956" s="74"/>
      <c r="BV956" s="74"/>
      <c r="BW956" s="74"/>
      <c r="BX956" s="74"/>
      <c r="BY956" s="74"/>
      <c r="BZ956" s="74"/>
      <c r="CA956" s="74"/>
      <c r="CB956" s="74"/>
      <c r="CC956" s="74"/>
      <c r="CD956" s="74"/>
      <c r="CE956" s="7"/>
      <c r="CF956" s="74"/>
      <c r="CG956" s="74"/>
      <c r="CH956" s="7"/>
      <c r="CI956" s="74"/>
      <c r="CJ956" s="74"/>
      <c r="CK956" s="101"/>
      <c r="CL956" s="74"/>
      <c r="CM956" s="74"/>
      <c r="CN956" s="74"/>
      <c r="CO956" s="101"/>
      <c r="CP956" s="74"/>
      <c r="CQ956" s="74"/>
      <c r="CR956" s="74"/>
      <c r="CS956" s="74"/>
      <c r="CT956" s="74"/>
      <c r="CU956" s="74"/>
      <c r="CV956" s="74"/>
      <c r="CW956" s="74"/>
      <c r="CX956" s="74"/>
      <c r="CY956" s="7"/>
      <c r="CZ956" s="74"/>
      <c r="DA956" s="74"/>
      <c r="DB956" s="74"/>
      <c r="DC956" s="74"/>
      <c r="DD956" s="74"/>
      <c r="DE956" s="74"/>
      <c r="DF956" s="74"/>
      <c r="DG956" s="74"/>
      <c r="DH956" s="74"/>
      <c r="DI956" s="74"/>
      <c r="DJ956" s="74"/>
      <c r="DK956" s="74"/>
      <c r="DL956" s="74"/>
      <c r="DM956" s="74"/>
      <c r="DN956" s="74"/>
      <c r="DO956" s="74"/>
      <c r="DP956" s="74"/>
      <c r="DQ956" s="74"/>
      <c r="DR956" s="74"/>
      <c r="DS956" s="74"/>
      <c r="DT956" s="74"/>
      <c r="DU956" s="74"/>
      <c r="DV956" s="74"/>
      <c r="DW956" s="74"/>
      <c r="DX956" s="74"/>
      <c r="DY956" s="74"/>
      <c r="DZ956" s="8">
        <f t="shared" si="236"/>
        <v>0</v>
      </c>
      <c r="EA956" s="3">
        <f t="shared" si="237"/>
        <v>0</v>
      </c>
      <c r="EB956" s="2">
        <f t="shared" si="238"/>
        <v>0</v>
      </c>
      <c r="EC956" s="112">
        <f t="shared" si="246"/>
        <v>0</v>
      </c>
      <c r="ED956" s="29">
        <f t="shared" si="239"/>
        <v>0</v>
      </c>
      <c r="EE956" s="2">
        <f t="shared" si="240"/>
        <v>0</v>
      </c>
      <c r="EF956" s="46">
        <f t="shared" si="241"/>
        <v>0</v>
      </c>
      <c r="EG956" s="46">
        <f t="shared" si="242"/>
        <v>0</v>
      </c>
      <c r="EH956" s="29">
        <f t="shared" si="243"/>
        <v>0</v>
      </c>
      <c r="EI956" s="29">
        <f>IF(COUNT(I956:AD956)&lt;5,DZ956,SUMPRODUCT(LARGE(I956:AD956,{1,2,3,4,5}))/5)</f>
        <v>0</v>
      </c>
      <c r="EJ956" s="29">
        <f>IF(COUNT(I956:BE956)&lt;5,DZ956,SUMPRODUCT(LARGE(I956:BE956,{1,2,3,4,5}))/5)</f>
        <v>0</v>
      </c>
      <c r="EK956" s="29">
        <f t="shared" si="245"/>
        <v>0</v>
      </c>
      <c r="EL956" s="29">
        <f>(EK956*100)/101.59</f>
        <v>0</v>
      </c>
      <c r="EM956" s="116">
        <f t="shared" si="244"/>
        <v>0</v>
      </c>
      <c r="EQ956"/>
    </row>
    <row r="957" spans="1:147" x14ac:dyDescent="0.25">
      <c r="A957" s="59"/>
      <c r="B957" s="32"/>
      <c r="C957" s="5"/>
      <c r="D957" s="6"/>
      <c r="E957" s="6"/>
      <c r="F957" s="6"/>
      <c r="G957" s="5"/>
      <c r="H957" s="37"/>
      <c r="I957" s="36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227"/>
      <c r="Z957" s="228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4"/>
      <c r="AP957" s="7"/>
      <c r="AQ957" s="74"/>
      <c r="AR957" s="70"/>
      <c r="AS957" s="70"/>
      <c r="AT957" s="70"/>
      <c r="AU957" s="7"/>
      <c r="AV957" s="70"/>
      <c r="AW957" s="7"/>
      <c r="AX957" s="8"/>
      <c r="AY957" s="36"/>
      <c r="AZ957" s="7"/>
      <c r="BA957" s="7"/>
      <c r="BB957" s="74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101"/>
      <c r="CL957" s="74"/>
      <c r="CM957" s="74"/>
      <c r="CN957" s="74"/>
      <c r="CO957" s="70"/>
      <c r="CP957" s="74"/>
      <c r="CQ957" s="7"/>
      <c r="CR957" s="74"/>
      <c r="CS957" s="74"/>
      <c r="CT957" s="74"/>
      <c r="CU957" s="74"/>
      <c r="CV957" s="74"/>
      <c r="CW957" s="7"/>
      <c r="CX957" s="7"/>
      <c r="CY957" s="7"/>
      <c r="CZ957" s="7"/>
      <c r="DA957" s="7"/>
      <c r="DB957" s="7"/>
      <c r="DC957" s="7"/>
      <c r="DD957" s="7"/>
      <c r="DE957" s="74"/>
      <c r="DF957" s="74"/>
      <c r="DG957" s="74"/>
      <c r="DH957" s="74"/>
      <c r="DI957" s="74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8">
        <f t="shared" si="236"/>
        <v>0</v>
      </c>
      <c r="EA957" s="3">
        <f t="shared" si="237"/>
        <v>0</v>
      </c>
      <c r="EB957" s="2">
        <f t="shared" si="238"/>
        <v>0</v>
      </c>
      <c r="EC957" s="112">
        <f t="shared" si="246"/>
        <v>0</v>
      </c>
      <c r="ED957" s="29">
        <f t="shared" si="239"/>
        <v>0</v>
      </c>
      <c r="EE957" s="2">
        <f t="shared" si="240"/>
        <v>0</v>
      </c>
      <c r="EF957" s="46">
        <f t="shared" si="241"/>
        <v>0</v>
      </c>
      <c r="EG957" s="46">
        <f t="shared" si="242"/>
        <v>0</v>
      </c>
      <c r="EH957" s="2">
        <f t="shared" si="243"/>
        <v>0</v>
      </c>
      <c r="EI957" s="29">
        <f>IF(COUNT(I957:AD957)&lt;5,DZ957,SUMPRODUCT(LARGE(I957:AD957,{1,2,3,4,5}))/5)</f>
        <v>0</v>
      </c>
      <c r="EJ957" s="29">
        <f>IF(COUNT(I957:BE957)&lt;5,DZ957,SUMPRODUCT(LARGE(I957:BE957,{1,2,3,4,5}))/5)</f>
        <v>0</v>
      </c>
      <c r="EK957" s="29">
        <f t="shared" si="245"/>
        <v>0</v>
      </c>
      <c r="EL957" s="29">
        <f>(EK957*100)/101.28</f>
        <v>0</v>
      </c>
      <c r="EM957" s="116">
        <f t="shared" si="244"/>
        <v>0</v>
      </c>
      <c r="EQ957"/>
    </row>
    <row r="958" spans="1:147" x14ac:dyDescent="0.25">
      <c r="A958" s="59"/>
      <c r="B958" s="32"/>
      <c r="C958" s="5"/>
      <c r="D958" s="6"/>
      <c r="E958" s="6"/>
      <c r="F958" s="6"/>
      <c r="G958" s="5"/>
      <c r="H958" s="37"/>
      <c r="I958" s="107"/>
      <c r="J958" s="7"/>
      <c r="K958" s="74"/>
      <c r="L958" s="7"/>
      <c r="M958" s="74"/>
      <c r="N958" s="74"/>
      <c r="O958" s="7"/>
      <c r="P958" s="74"/>
      <c r="Q958" s="7"/>
      <c r="R958" s="74"/>
      <c r="S958" s="74"/>
      <c r="T958" s="7"/>
      <c r="U958" s="7"/>
      <c r="V958" s="74"/>
      <c r="W958" s="7"/>
      <c r="X958" s="74"/>
      <c r="Y958" s="227"/>
      <c r="Z958" s="228"/>
      <c r="AA958" s="74"/>
      <c r="AB958" s="74"/>
      <c r="AC958" s="74"/>
      <c r="AD958" s="74"/>
      <c r="AE958" s="7"/>
      <c r="AF958" s="74"/>
      <c r="AG958" s="74"/>
      <c r="AH958" s="7"/>
      <c r="AI958" s="7"/>
      <c r="AJ958" s="7"/>
      <c r="AK958" s="7"/>
      <c r="AL958" s="7"/>
      <c r="AM958" s="7"/>
      <c r="AN958" s="7"/>
      <c r="AO958" s="74"/>
      <c r="AP958" s="7"/>
      <c r="AQ958" s="74"/>
      <c r="AR958" s="101"/>
      <c r="AS958" s="70"/>
      <c r="AT958" s="101"/>
      <c r="AU958" s="7"/>
      <c r="AV958" s="101"/>
      <c r="AW958" s="7"/>
      <c r="AX958" s="8"/>
      <c r="AY958" s="36"/>
      <c r="AZ958" s="74"/>
      <c r="BA958" s="74"/>
      <c r="BB958" s="74"/>
      <c r="BC958" s="74"/>
      <c r="BD958" s="74"/>
      <c r="BE958" s="74"/>
      <c r="BF958" s="74"/>
      <c r="BG958" s="74"/>
      <c r="BH958" s="74"/>
      <c r="BI958" s="74"/>
      <c r="BJ958" s="74"/>
      <c r="BK958" s="7"/>
      <c r="BL958" s="74"/>
      <c r="BM958" s="7"/>
      <c r="BN958" s="74"/>
      <c r="BO958" s="74"/>
      <c r="BP958" s="74"/>
      <c r="BQ958" s="74"/>
      <c r="BR958" s="74"/>
      <c r="BS958" s="74"/>
      <c r="BT958" s="74"/>
      <c r="BU958" s="74"/>
      <c r="BV958" s="74"/>
      <c r="BW958" s="74"/>
      <c r="BX958" s="74"/>
      <c r="BY958" s="74"/>
      <c r="BZ958" s="74"/>
      <c r="CA958" s="74"/>
      <c r="CB958" s="74"/>
      <c r="CC958" s="74"/>
      <c r="CD958" s="74"/>
      <c r="CE958" s="7"/>
      <c r="CF958" s="74"/>
      <c r="CG958" s="74"/>
      <c r="CH958" s="7"/>
      <c r="CI958" s="74"/>
      <c r="CJ958" s="74"/>
      <c r="CK958" s="101"/>
      <c r="CL958" s="74"/>
      <c r="CM958" s="74"/>
      <c r="CN958" s="74"/>
      <c r="CO958" s="101"/>
      <c r="CP958" s="74"/>
      <c r="CQ958" s="74"/>
      <c r="CR958" s="74"/>
      <c r="CS958" s="74"/>
      <c r="CT958" s="74"/>
      <c r="CU958" s="74"/>
      <c r="CV958" s="74"/>
      <c r="CW958" s="74"/>
      <c r="CX958" s="74"/>
      <c r="CY958" s="74"/>
      <c r="CZ958" s="74"/>
      <c r="DA958" s="74"/>
      <c r="DB958" s="74"/>
      <c r="DC958" s="74"/>
      <c r="DD958" s="74"/>
      <c r="DE958" s="74"/>
      <c r="DF958" s="74"/>
      <c r="DG958" s="74"/>
      <c r="DH958" s="74"/>
      <c r="DI958" s="74"/>
      <c r="DJ958" s="74"/>
      <c r="DK958" s="74"/>
      <c r="DL958" s="74"/>
      <c r="DM958" s="74"/>
      <c r="DN958" s="74"/>
      <c r="DO958" s="74"/>
      <c r="DP958" s="74"/>
      <c r="DQ958" s="74"/>
      <c r="DR958" s="74"/>
      <c r="DS958" s="74"/>
      <c r="DT958" s="74"/>
      <c r="DU958" s="74"/>
      <c r="DV958" s="74"/>
      <c r="DW958" s="74"/>
      <c r="DX958" s="74"/>
      <c r="DY958" s="74"/>
      <c r="DZ958" s="8">
        <f t="shared" si="236"/>
        <v>0</v>
      </c>
      <c r="EA958" s="3">
        <f t="shared" si="237"/>
        <v>0</v>
      </c>
      <c r="EB958" s="2">
        <f t="shared" si="238"/>
        <v>0</v>
      </c>
      <c r="EC958" s="112">
        <f t="shared" si="246"/>
        <v>0</v>
      </c>
      <c r="ED958" s="29">
        <f t="shared" si="239"/>
        <v>0</v>
      </c>
      <c r="EE958" s="2">
        <f t="shared" si="240"/>
        <v>0</v>
      </c>
      <c r="EF958" s="46">
        <f t="shared" si="241"/>
        <v>0</v>
      </c>
      <c r="EG958" s="46">
        <f t="shared" si="242"/>
        <v>0</v>
      </c>
      <c r="EH958" s="2">
        <f t="shared" si="243"/>
        <v>0</v>
      </c>
      <c r="EI958" s="29">
        <f>IF(COUNT(I958:AD958)&lt;5,DZ958,SUMPRODUCT(LARGE(I958:AD958,{1,2,3,4,5}))/5)</f>
        <v>0</v>
      </c>
      <c r="EJ958" s="29">
        <f>IF(COUNT(I958:BE958)&lt;5,DZ958,SUMPRODUCT(LARGE(I958:BE958,{1,2,3,4,5}))/5)</f>
        <v>0</v>
      </c>
      <c r="EK958" s="29">
        <f t="shared" si="245"/>
        <v>0</v>
      </c>
      <c r="EL958" s="29">
        <f>(EK958*100)/101.28</f>
        <v>0</v>
      </c>
      <c r="EM958" s="116">
        <f t="shared" si="244"/>
        <v>0</v>
      </c>
      <c r="EQ958"/>
    </row>
    <row r="959" spans="1:147" x14ac:dyDescent="0.25">
      <c r="A959" s="59"/>
      <c r="B959" s="32"/>
      <c r="C959" s="5"/>
      <c r="D959" s="6"/>
      <c r="E959" s="6"/>
      <c r="F959" s="6"/>
      <c r="G959" s="5"/>
      <c r="H959" s="37"/>
      <c r="I959" s="36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227"/>
      <c r="Z959" s="228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4"/>
      <c r="AP959" s="7"/>
      <c r="AQ959" s="74"/>
      <c r="AR959" s="70"/>
      <c r="AS959" s="70"/>
      <c r="AT959" s="70"/>
      <c r="AU959" s="7"/>
      <c r="AV959" s="70"/>
      <c r="AW959" s="7"/>
      <c r="AX959" s="183"/>
      <c r="AY959" s="107"/>
      <c r="AZ959" s="7"/>
      <c r="BA959" s="7"/>
      <c r="BB959" s="74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101"/>
      <c r="CL959" s="74"/>
      <c r="CM959" s="74"/>
      <c r="CN959" s="74"/>
      <c r="CO959" s="70"/>
      <c r="CP959" s="74"/>
      <c r="CQ959" s="7"/>
      <c r="CR959" s="74"/>
      <c r="CS959" s="74"/>
      <c r="CT959" s="74"/>
      <c r="CU959" s="74"/>
      <c r="CV959" s="74"/>
      <c r="CW959" s="7"/>
      <c r="CX959" s="7"/>
      <c r="CY959" s="7"/>
      <c r="CZ959" s="7"/>
      <c r="DA959" s="7"/>
      <c r="DB959" s="7"/>
      <c r="DC959" s="7"/>
      <c r="DD959" s="7"/>
      <c r="DE959" s="74"/>
      <c r="DF959" s="74"/>
      <c r="DG959" s="74"/>
      <c r="DH959" s="74"/>
      <c r="DI959" s="74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8">
        <f t="shared" si="236"/>
        <v>0</v>
      </c>
      <c r="EA959" s="3">
        <f t="shared" si="237"/>
        <v>0</v>
      </c>
      <c r="EB959" s="2">
        <f t="shared" si="238"/>
        <v>0</v>
      </c>
      <c r="EC959" s="112">
        <f t="shared" si="246"/>
        <v>0</v>
      </c>
      <c r="ED959" s="29">
        <f t="shared" si="239"/>
        <v>0</v>
      </c>
      <c r="EE959" s="2">
        <f t="shared" si="240"/>
        <v>0</v>
      </c>
      <c r="EF959" s="46">
        <f t="shared" si="241"/>
        <v>0</v>
      </c>
      <c r="EG959" s="46">
        <f t="shared" si="242"/>
        <v>0</v>
      </c>
      <c r="EH959" s="2">
        <f t="shared" si="243"/>
        <v>0</v>
      </c>
      <c r="EI959" s="29">
        <f>IF(COUNT(I959:AD959)&lt;5,DZ959,SUMPRODUCT(LARGE(I959:AD959,{1,2,3,4,5}))/5)</f>
        <v>0</v>
      </c>
      <c r="EJ959" s="29">
        <f>IF(COUNT(I959:BE959)&lt;5,DZ959,SUMPRODUCT(LARGE(I959:BE959,{1,2,3,4,5}))/5)</f>
        <v>0</v>
      </c>
      <c r="EK959" s="29">
        <f t="shared" si="245"/>
        <v>0</v>
      </c>
      <c r="EL959" s="29">
        <f>(EK959*100)/101.28</f>
        <v>0</v>
      </c>
      <c r="EM959" s="116">
        <f t="shared" si="244"/>
        <v>0</v>
      </c>
      <c r="EQ959"/>
    </row>
    <row r="960" spans="1:147" x14ac:dyDescent="0.25">
      <c r="A960" s="59"/>
      <c r="B960" s="32"/>
      <c r="C960" s="5"/>
      <c r="D960" s="6"/>
      <c r="E960" s="6"/>
      <c r="F960" s="6"/>
      <c r="G960" s="5"/>
      <c r="H960" s="37"/>
      <c r="I960" s="36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227"/>
      <c r="Z960" s="228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4"/>
      <c r="AP960" s="7"/>
      <c r="AQ960" s="74"/>
      <c r="AR960" s="70"/>
      <c r="AS960" s="70"/>
      <c r="AT960" s="70"/>
      <c r="AU960" s="7"/>
      <c r="AV960" s="70"/>
      <c r="AW960" s="7"/>
      <c r="AX960" s="8"/>
      <c r="AY960" s="36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101"/>
      <c r="CL960" s="74"/>
      <c r="CM960" s="74"/>
      <c r="CN960" s="74"/>
      <c r="CO960" s="70"/>
      <c r="CP960" s="74"/>
      <c r="CQ960" s="7"/>
      <c r="CR960" s="74"/>
      <c r="CS960" s="74"/>
      <c r="CT960" s="74"/>
      <c r="CU960" s="74"/>
      <c r="CV960" s="74"/>
      <c r="CW960" s="7"/>
      <c r="CX960" s="7"/>
      <c r="CY960" s="7"/>
      <c r="CZ960" s="7"/>
      <c r="DA960" s="7"/>
      <c r="DB960" s="7"/>
      <c r="DC960" s="7"/>
      <c r="DD960" s="7"/>
      <c r="DE960" s="74"/>
      <c r="DF960" s="74"/>
      <c r="DG960" s="74"/>
      <c r="DH960" s="74"/>
      <c r="DI960" s="74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8">
        <f t="shared" si="236"/>
        <v>0</v>
      </c>
      <c r="EA960" s="3">
        <f t="shared" si="237"/>
        <v>0</v>
      </c>
      <c r="EB960" s="2">
        <f t="shared" si="238"/>
        <v>0</v>
      </c>
      <c r="EC960" s="112">
        <f t="shared" si="246"/>
        <v>0</v>
      </c>
      <c r="ED960" s="29">
        <f t="shared" si="239"/>
        <v>0</v>
      </c>
      <c r="EE960" s="2">
        <f t="shared" si="240"/>
        <v>0</v>
      </c>
      <c r="EF960" s="46">
        <f t="shared" si="241"/>
        <v>0</v>
      </c>
      <c r="EG960" s="46">
        <f t="shared" si="242"/>
        <v>0</v>
      </c>
      <c r="EH960" s="2">
        <f t="shared" si="243"/>
        <v>0</v>
      </c>
      <c r="EI960" s="29">
        <f>IF(COUNT(I960:AD960)&lt;5,DZ960,SUMPRODUCT(LARGE(I960:AD960,{1,2,3,4,5}))/5)</f>
        <v>0</v>
      </c>
      <c r="EJ960" s="29">
        <f>IF(COUNT(I960:BE960)&lt;5,DZ960,SUMPRODUCT(LARGE(I960:BE960,{1,2,3,4,5}))/5)</f>
        <v>0</v>
      </c>
      <c r="EK960" s="29">
        <f t="shared" si="245"/>
        <v>0</v>
      </c>
      <c r="EL960" s="29">
        <f>(EK960*100)/101.28</f>
        <v>0</v>
      </c>
      <c r="EM960" s="116">
        <f t="shared" si="244"/>
        <v>0</v>
      </c>
      <c r="EQ960"/>
    </row>
    <row r="961" spans="1:147" x14ac:dyDescent="0.25">
      <c r="A961" s="59"/>
      <c r="B961" s="32"/>
      <c r="C961" s="5"/>
      <c r="D961" s="6"/>
      <c r="E961" s="6"/>
      <c r="F961" s="6"/>
      <c r="G961" s="5"/>
      <c r="H961" s="37"/>
      <c r="I961" s="36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227"/>
      <c r="Z961" s="228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4"/>
      <c r="AP961" s="7"/>
      <c r="AQ961" s="74"/>
      <c r="AR961" s="70"/>
      <c r="AS961" s="70"/>
      <c r="AT961" s="70"/>
      <c r="AU961" s="7"/>
      <c r="AV961" s="70"/>
      <c r="AW961" s="7"/>
      <c r="AX961" s="183"/>
      <c r="AY961" s="10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4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4"/>
      <c r="CG961" s="7"/>
      <c r="CH961" s="7"/>
      <c r="CI961" s="7"/>
      <c r="CJ961" s="7"/>
      <c r="CK961" s="101"/>
      <c r="CL961" s="74"/>
      <c r="CM961" s="74"/>
      <c r="CN961" s="74"/>
      <c r="CO961" s="70"/>
      <c r="CP961" s="74"/>
      <c r="CQ961" s="7"/>
      <c r="CR961" s="74"/>
      <c r="CS961" s="74"/>
      <c r="CT961" s="74"/>
      <c r="CU961" s="74"/>
      <c r="CV961" s="7"/>
      <c r="CW961" s="7"/>
      <c r="CX961" s="7"/>
      <c r="CY961" s="7"/>
      <c r="CZ961" s="7"/>
      <c r="DA961" s="7"/>
      <c r="DB961" s="7"/>
      <c r="DC961" s="7"/>
      <c r="DD961" s="7"/>
      <c r="DE961" s="74"/>
      <c r="DF961" s="74"/>
      <c r="DG961" s="74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8">
        <f t="shared" si="236"/>
        <v>0</v>
      </c>
      <c r="EA961" s="3">
        <f t="shared" si="237"/>
        <v>0</v>
      </c>
      <c r="EB961" s="2">
        <f t="shared" si="238"/>
        <v>0</v>
      </c>
      <c r="EC961" s="112">
        <f t="shared" si="246"/>
        <v>0</v>
      </c>
      <c r="ED961" s="29">
        <f t="shared" si="239"/>
        <v>0</v>
      </c>
      <c r="EE961" s="2">
        <f t="shared" si="240"/>
        <v>0</v>
      </c>
      <c r="EF961" s="46">
        <f t="shared" si="241"/>
        <v>0</v>
      </c>
      <c r="EG961" s="46">
        <f t="shared" si="242"/>
        <v>0</v>
      </c>
      <c r="EH961" s="2">
        <f t="shared" si="243"/>
        <v>0</v>
      </c>
      <c r="EI961" s="29">
        <f>IF(COUNT(I961:AD961)&lt;5,DZ961,SUMPRODUCT(LARGE(I961:AD961,{1,2,3,4,5}))/5)</f>
        <v>0</v>
      </c>
      <c r="EJ961" s="29">
        <f>IF(COUNT(I961:BE961)&lt;5,DZ961,SUMPRODUCT(LARGE(I961:BE961,{1,2,3,4,5}))/5)</f>
        <v>0</v>
      </c>
      <c r="EK961" s="29">
        <f t="shared" si="245"/>
        <v>0</v>
      </c>
      <c r="EL961" s="29">
        <f>(EK961*100)/101.59</f>
        <v>0</v>
      </c>
      <c r="EM961" s="116">
        <f t="shared" si="244"/>
        <v>0</v>
      </c>
      <c r="EQ961"/>
    </row>
    <row r="962" spans="1:147" x14ac:dyDescent="0.25">
      <c r="A962" s="59"/>
      <c r="B962" s="32"/>
      <c r="C962" s="5"/>
      <c r="D962" s="6"/>
      <c r="E962" s="6"/>
      <c r="F962" s="6"/>
      <c r="G962" s="5"/>
      <c r="H962" s="99"/>
      <c r="I962" s="36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227"/>
      <c r="Z962" s="228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4"/>
      <c r="AP962" s="7"/>
      <c r="AQ962" s="74"/>
      <c r="AR962" s="70"/>
      <c r="AS962" s="70"/>
      <c r="AT962" s="70"/>
      <c r="AU962" s="7"/>
      <c r="AV962" s="70"/>
      <c r="AW962" s="7"/>
      <c r="AX962" s="8"/>
      <c r="AY962" s="36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4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101"/>
      <c r="CL962" s="74"/>
      <c r="CM962" s="74"/>
      <c r="CN962" s="74"/>
      <c r="CO962" s="70"/>
      <c r="CP962" s="74"/>
      <c r="CQ962" s="7"/>
      <c r="CR962" s="74"/>
      <c r="CS962" s="74"/>
      <c r="CT962" s="74"/>
      <c r="CU962" s="74"/>
      <c r="CV962" s="7"/>
      <c r="CW962" s="7"/>
      <c r="CX962" s="7"/>
      <c r="CY962" s="7"/>
      <c r="CZ962" s="7"/>
      <c r="DA962" s="7"/>
      <c r="DB962" s="7"/>
      <c r="DC962" s="7"/>
      <c r="DD962" s="7"/>
      <c r="DE962" s="74"/>
      <c r="DF962" s="74"/>
      <c r="DG962" s="74"/>
      <c r="DH962" s="7"/>
      <c r="DI962" s="74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8">
        <f t="shared" si="236"/>
        <v>0</v>
      </c>
      <c r="EA962" s="3">
        <f t="shared" si="237"/>
        <v>0</v>
      </c>
      <c r="EB962" s="2">
        <f t="shared" si="238"/>
        <v>0</v>
      </c>
      <c r="EC962" s="112">
        <f t="shared" si="246"/>
        <v>0</v>
      </c>
      <c r="ED962" s="29">
        <f t="shared" si="239"/>
        <v>0</v>
      </c>
      <c r="EE962" s="2">
        <f t="shared" si="240"/>
        <v>0</v>
      </c>
      <c r="EF962" s="46">
        <f t="shared" si="241"/>
        <v>0</v>
      </c>
      <c r="EG962" s="46">
        <f t="shared" si="242"/>
        <v>0</v>
      </c>
      <c r="EH962" s="2">
        <f t="shared" si="243"/>
        <v>0</v>
      </c>
      <c r="EI962" s="29">
        <f>IF(COUNT(I962:AD962)&lt;5,DZ962,SUMPRODUCT(LARGE(I962:AD962,{1,2,3,4,5}))/5)</f>
        <v>0</v>
      </c>
      <c r="EJ962" s="29">
        <f>IF(COUNT(I962:BE962)&lt;5,DZ962,SUMPRODUCT(LARGE(I962:BE962,{1,2,3,4,5}))/5)</f>
        <v>0</v>
      </c>
      <c r="EK962" s="29">
        <f t="shared" si="245"/>
        <v>0</v>
      </c>
      <c r="EL962" s="29">
        <f>(EK962*100)/101.28</f>
        <v>0</v>
      </c>
      <c r="EM962" s="116">
        <f t="shared" si="244"/>
        <v>0</v>
      </c>
      <c r="EQ962"/>
    </row>
    <row r="963" spans="1:147" x14ac:dyDescent="0.25">
      <c r="A963" s="59"/>
      <c r="B963" s="32"/>
      <c r="C963" s="5"/>
      <c r="D963" s="6"/>
      <c r="E963" s="6"/>
      <c r="F963" s="6"/>
      <c r="G963" s="5"/>
      <c r="H963" s="37"/>
      <c r="I963" s="36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227"/>
      <c r="Z963" s="228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4"/>
      <c r="AP963" s="7"/>
      <c r="AQ963" s="74"/>
      <c r="AR963" s="70"/>
      <c r="AS963" s="70"/>
      <c r="AT963" s="70"/>
      <c r="AU963" s="7"/>
      <c r="AV963" s="70"/>
      <c r="AW963" s="7"/>
      <c r="AX963" s="8"/>
      <c r="AY963" s="36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4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101"/>
      <c r="CL963" s="74"/>
      <c r="CM963" s="74"/>
      <c r="CN963" s="74"/>
      <c r="CO963" s="70"/>
      <c r="CP963" s="74"/>
      <c r="CQ963" s="7"/>
      <c r="CR963" s="74"/>
      <c r="CS963" s="74"/>
      <c r="CT963" s="74"/>
      <c r="CU963" s="74"/>
      <c r="CV963" s="7"/>
      <c r="CW963" s="7"/>
      <c r="CX963" s="7"/>
      <c r="CY963" s="7"/>
      <c r="CZ963" s="7"/>
      <c r="DA963" s="7"/>
      <c r="DB963" s="7"/>
      <c r="DC963" s="7"/>
      <c r="DD963" s="7"/>
      <c r="DE963" s="74"/>
      <c r="DF963" s="74"/>
      <c r="DG963" s="74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8">
        <f t="shared" si="236"/>
        <v>0</v>
      </c>
      <c r="EA963" s="3">
        <f t="shared" si="237"/>
        <v>0</v>
      </c>
      <c r="EB963" s="2">
        <f t="shared" si="238"/>
        <v>0</v>
      </c>
      <c r="EC963" s="112">
        <f t="shared" si="246"/>
        <v>0</v>
      </c>
      <c r="ED963" s="29">
        <f t="shared" si="239"/>
        <v>0</v>
      </c>
      <c r="EE963" s="2">
        <f t="shared" si="240"/>
        <v>0</v>
      </c>
      <c r="EF963" s="46">
        <f t="shared" si="241"/>
        <v>0</v>
      </c>
      <c r="EG963" s="46">
        <f t="shared" si="242"/>
        <v>0</v>
      </c>
      <c r="EH963" s="2">
        <f t="shared" si="243"/>
        <v>0</v>
      </c>
      <c r="EI963" s="29">
        <f>IF(COUNT(I963:AD963)&lt;5,DZ963,SUMPRODUCT(LARGE(I963:AD963,{1,2,3,4,5}))/5)</f>
        <v>0</v>
      </c>
      <c r="EJ963" s="29">
        <f>IF(COUNT(I963:BE963)&lt;5,DZ963,SUMPRODUCT(LARGE(I963:BE963,{1,2,3,4,5}))/5)</f>
        <v>0</v>
      </c>
      <c r="EK963" s="29">
        <f t="shared" si="245"/>
        <v>0</v>
      </c>
      <c r="EL963" s="29">
        <f>(EK963*100)/101.59</f>
        <v>0</v>
      </c>
      <c r="EM963" s="116">
        <f t="shared" si="244"/>
        <v>0</v>
      </c>
      <c r="EQ963"/>
    </row>
    <row r="964" spans="1:147" x14ac:dyDescent="0.25">
      <c r="A964" s="59"/>
      <c r="B964" s="32"/>
      <c r="C964" s="5"/>
      <c r="D964" s="6"/>
      <c r="E964" s="6"/>
      <c r="F964" s="6"/>
      <c r="G964" s="5"/>
      <c r="H964" s="37"/>
      <c r="I964" s="36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227"/>
      <c r="Z964" s="228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4"/>
      <c r="AP964" s="7"/>
      <c r="AQ964" s="74"/>
      <c r="AR964" s="70"/>
      <c r="AS964" s="70"/>
      <c r="AT964" s="70"/>
      <c r="AU964" s="7"/>
      <c r="AV964" s="70"/>
      <c r="AW964" s="7"/>
      <c r="AX964" s="8"/>
      <c r="AY964" s="36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4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4"/>
      <c r="CG964" s="7"/>
      <c r="CH964" s="7"/>
      <c r="CI964" s="7"/>
      <c r="CJ964" s="7"/>
      <c r="CK964" s="101"/>
      <c r="CL964" s="74"/>
      <c r="CM964" s="74"/>
      <c r="CN964" s="74"/>
      <c r="CO964" s="70"/>
      <c r="CP964" s="74"/>
      <c r="CQ964" s="7"/>
      <c r="CR964" s="74"/>
      <c r="CS964" s="74"/>
      <c r="CT964" s="74"/>
      <c r="CU964" s="74"/>
      <c r="CV964" s="7"/>
      <c r="CW964" s="7"/>
      <c r="CX964" s="7"/>
      <c r="CY964" s="7"/>
      <c r="CZ964" s="7"/>
      <c r="DA964" s="7"/>
      <c r="DB964" s="7"/>
      <c r="DC964" s="7"/>
      <c r="DD964" s="7"/>
      <c r="DE964" s="74"/>
      <c r="DF964" s="74"/>
      <c r="DG964" s="74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8">
        <f t="shared" si="236"/>
        <v>0</v>
      </c>
      <c r="EA964" s="3">
        <f t="shared" si="237"/>
        <v>0</v>
      </c>
      <c r="EB964" s="2">
        <f t="shared" si="238"/>
        <v>0</v>
      </c>
      <c r="EC964" s="112">
        <f t="shared" si="246"/>
        <v>0</v>
      </c>
      <c r="ED964" s="29">
        <f t="shared" si="239"/>
        <v>0</v>
      </c>
      <c r="EE964" s="2">
        <f t="shared" si="240"/>
        <v>0</v>
      </c>
      <c r="EF964" s="46">
        <f t="shared" si="241"/>
        <v>0</v>
      </c>
      <c r="EG964" s="46">
        <f t="shared" si="242"/>
        <v>0</v>
      </c>
      <c r="EH964" s="2">
        <f t="shared" si="243"/>
        <v>0</v>
      </c>
      <c r="EI964" s="29">
        <f>IF(COUNT(I964:AD964)&lt;5,DZ964,SUMPRODUCT(LARGE(I964:AD964,{1,2,3,4,5}))/5)</f>
        <v>0</v>
      </c>
      <c r="EJ964" s="29">
        <f>IF(COUNT(I964:BE964)&lt;5,DZ964,SUMPRODUCT(LARGE(I964:BE964,{1,2,3,4,5}))/5)</f>
        <v>0</v>
      </c>
      <c r="EK964" s="29">
        <f t="shared" si="245"/>
        <v>0</v>
      </c>
      <c r="EL964" s="29">
        <f>(EK964*100)/101.59</f>
        <v>0</v>
      </c>
      <c r="EM964" s="116">
        <f t="shared" si="244"/>
        <v>0</v>
      </c>
      <c r="EQ964"/>
    </row>
    <row r="965" spans="1:147" x14ac:dyDescent="0.25">
      <c r="A965" s="59"/>
      <c r="B965" s="32"/>
      <c r="C965" s="5"/>
      <c r="D965" s="6"/>
      <c r="E965" s="6"/>
      <c r="F965" s="6"/>
      <c r="G965" s="5"/>
      <c r="H965" s="37"/>
      <c r="I965" s="107"/>
      <c r="J965" s="7"/>
      <c r="K965" s="7"/>
      <c r="L965" s="7"/>
      <c r="M965" s="74"/>
      <c r="N965" s="74"/>
      <c r="O965" s="7"/>
      <c r="P965" s="74"/>
      <c r="Q965" s="7"/>
      <c r="R965" s="74"/>
      <c r="S965" s="74"/>
      <c r="T965" s="7"/>
      <c r="U965" s="7"/>
      <c r="V965" s="74"/>
      <c r="W965" s="7"/>
      <c r="X965" s="74"/>
      <c r="Y965" s="227"/>
      <c r="Z965" s="228"/>
      <c r="AA965" s="74"/>
      <c r="AB965" s="74"/>
      <c r="AC965" s="74"/>
      <c r="AD965" s="74"/>
      <c r="AE965" s="7"/>
      <c r="AF965" s="74"/>
      <c r="AG965" s="74"/>
      <c r="AH965" s="7"/>
      <c r="AI965" s="7"/>
      <c r="AJ965" s="7"/>
      <c r="AK965" s="7"/>
      <c r="AL965" s="7"/>
      <c r="AM965" s="7"/>
      <c r="AN965" s="7"/>
      <c r="AO965" s="74"/>
      <c r="AP965" s="7"/>
      <c r="AQ965" s="74"/>
      <c r="AR965" s="101"/>
      <c r="AS965" s="70"/>
      <c r="AT965" s="101"/>
      <c r="AU965" s="7"/>
      <c r="AV965" s="101"/>
      <c r="AW965" s="7"/>
      <c r="AX965" s="8"/>
      <c r="AY965" s="36"/>
      <c r="AZ965" s="74"/>
      <c r="BA965" s="74"/>
      <c r="BB965" s="74"/>
      <c r="BC965" s="74"/>
      <c r="BD965" s="74"/>
      <c r="BE965" s="74"/>
      <c r="BF965" s="74"/>
      <c r="BG965" s="74"/>
      <c r="BH965" s="74"/>
      <c r="BI965" s="74"/>
      <c r="BJ965" s="74"/>
      <c r="BK965" s="7"/>
      <c r="BL965" s="74"/>
      <c r="BM965" s="7"/>
      <c r="BN965" s="74"/>
      <c r="BO965" s="74"/>
      <c r="BP965" s="74"/>
      <c r="BQ965" s="74"/>
      <c r="BR965" s="74"/>
      <c r="BS965" s="74"/>
      <c r="BT965" s="74"/>
      <c r="BU965" s="74"/>
      <c r="BV965" s="74"/>
      <c r="BW965" s="74"/>
      <c r="BX965" s="74"/>
      <c r="BY965" s="74"/>
      <c r="BZ965" s="74"/>
      <c r="CA965" s="74"/>
      <c r="CB965" s="74"/>
      <c r="CC965" s="74"/>
      <c r="CD965" s="74"/>
      <c r="CE965" s="7"/>
      <c r="CF965" s="74"/>
      <c r="CG965" s="74"/>
      <c r="CH965" s="7"/>
      <c r="CI965" s="74"/>
      <c r="CJ965" s="74"/>
      <c r="CK965" s="101"/>
      <c r="CL965" s="74"/>
      <c r="CM965" s="74"/>
      <c r="CN965" s="74"/>
      <c r="CO965" s="101"/>
      <c r="CP965" s="74"/>
      <c r="CQ965" s="74"/>
      <c r="CR965" s="74"/>
      <c r="CS965" s="74"/>
      <c r="CT965" s="74"/>
      <c r="CU965" s="74"/>
      <c r="CV965" s="74"/>
      <c r="CW965" s="74"/>
      <c r="CX965" s="74"/>
      <c r="CY965" s="74"/>
      <c r="CZ965" s="74"/>
      <c r="DA965" s="74"/>
      <c r="DB965" s="74"/>
      <c r="DC965" s="74"/>
      <c r="DD965" s="74"/>
      <c r="DE965" s="74"/>
      <c r="DF965" s="74"/>
      <c r="DG965" s="74"/>
      <c r="DH965" s="74"/>
      <c r="DI965" s="74"/>
      <c r="DJ965" s="74"/>
      <c r="DK965" s="74"/>
      <c r="DL965" s="74"/>
      <c r="DM965" s="74"/>
      <c r="DN965" s="74"/>
      <c r="DO965" s="74"/>
      <c r="DP965" s="74"/>
      <c r="DQ965" s="74"/>
      <c r="DR965" s="74"/>
      <c r="DS965" s="74"/>
      <c r="DT965" s="100"/>
      <c r="DU965" s="74"/>
      <c r="DV965" s="74"/>
      <c r="DW965" s="74"/>
      <c r="DX965" s="74"/>
      <c r="DY965" s="74"/>
      <c r="DZ965" s="8">
        <f t="shared" ref="DZ965:DZ1028" si="249">IF(EB965&gt;0,AVERAGE(I965:DY965),H965)</f>
        <v>0</v>
      </c>
      <c r="EA965" s="3">
        <f t="shared" ref="EA965:EA1028" si="250">B965</f>
        <v>0</v>
      </c>
      <c r="EB965" s="2">
        <f t="shared" ref="EB965:EB1028" si="251">IF(G965&gt;0,1,0)</f>
        <v>0</v>
      </c>
      <c r="EC965" s="112">
        <f t="shared" si="246"/>
        <v>0</v>
      </c>
      <c r="ED965" s="29">
        <f t="shared" ref="ED965:ED1028" si="252">EL965</f>
        <v>0</v>
      </c>
      <c r="EE965" s="2">
        <f t="shared" ref="EE965:EE1028" si="253">COUNT(I965:AH965)</f>
        <v>0</v>
      </c>
      <c r="EF965" s="46">
        <f t="shared" ref="EF965:EF1028" si="254">COUNT(I965:BQ965)</f>
        <v>0</v>
      </c>
      <c r="EG965" s="46">
        <f t="shared" ref="EG965:EG1028" si="255">COUNT(I965:DY965)</f>
        <v>0</v>
      </c>
      <c r="EH965" s="29">
        <f t="shared" ref="EH965:EH1028" si="256">D965</f>
        <v>0</v>
      </c>
      <c r="EI965" s="29">
        <f>IF(COUNT(I965:AD965)&lt;5,DZ965,SUMPRODUCT(LARGE(I965:AD965,{1,2,3,4,5}))/5)</f>
        <v>0</v>
      </c>
      <c r="EJ965" s="29">
        <f>IF(COUNT(I965:BE965)&lt;5,DZ965,SUMPRODUCT(LARGE(I965:BE965,{1,2,3,4,5}))/5)</f>
        <v>0</v>
      </c>
      <c r="EK965" s="29">
        <f t="shared" si="245"/>
        <v>0</v>
      </c>
      <c r="EL965" s="29">
        <f t="shared" ref="EL965:EL973" si="257">(EK965*100)/101.28</f>
        <v>0</v>
      </c>
      <c r="EM965" s="116">
        <f t="shared" ref="EM965:EM1028" si="258">B965</f>
        <v>0</v>
      </c>
      <c r="EQ965"/>
    </row>
    <row r="966" spans="1:147" x14ac:dyDescent="0.25">
      <c r="A966" s="59"/>
      <c r="B966" s="32"/>
      <c r="C966" s="5"/>
      <c r="D966" s="6"/>
      <c r="E966" s="6"/>
      <c r="F966" s="6"/>
      <c r="G966" s="5"/>
      <c r="H966" s="37"/>
      <c r="I966" s="107"/>
      <c r="J966" s="7"/>
      <c r="K966" s="7"/>
      <c r="L966" s="7"/>
      <c r="M966" s="74"/>
      <c r="N966" s="74"/>
      <c r="O966" s="74"/>
      <c r="P966" s="74"/>
      <c r="Q966" s="7"/>
      <c r="R966" s="74"/>
      <c r="S966" s="74"/>
      <c r="T966" s="74"/>
      <c r="U966" s="74"/>
      <c r="V966" s="74"/>
      <c r="W966" s="7"/>
      <c r="X966" s="74"/>
      <c r="Y966" s="227"/>
      <c r="Z966" s="228"/>
      <c r="AA966" s="74"/>
      <c r="AB966" s="74"/>
      <c r="AC966" s="74"/>
      <c r="AD966" s="74"/>
      <c r="AE966" s="74"/>
      <c r="AF966" s="74"/>
      <c r="AG966" s="74"/>
      <c r="AH966" s="74"/>
      <c r="AI966" s="74"/>
      <c r="AJ966" s="74"/>
      <c r="AK966" s="74"/>
      <c r="AL966" s="74"/>
      <c r="AM966" s="74"/>
      <c r="AN966" s="74"/>
      <c r="AO966" s="74"/>
      <c r="AP966" s="74"/>
      <c r="AQ966" s="74"/>
      <c r="AR966" s="101"/>
      <c r="AS966" s="70"/>
      <c r="AT966" s="101"/>
      <c r="AU966" s="7"/>
      <c r="AV966" s="101"/>
      <c r="AW966" s="7"/>
      <c r="AX966" s="8"/>
      <c r="AY966" s="36"/>
      <c r="AZ966" s="74"/>
      <c r="BA966" s="74"/>
      <c r="BB966" s="74"/>
      <c r="BC966" s="74"/>
      <c r="BD966" s="74"/>
      <c r="BE966" s="74"/>
      <c r="BF966" s="74"/>
      <c r="BG966" s="74"/>
      <c r="BH966" s="74"/>
      <c r="BI966" s="74"/>
      <c r="BJ966" s="74"/>
      <c r="BK966" s="7"/>
      <c r="BL966" s="74"/>
      <c r="BM966" s="7"/>
      <c r="BN966" s="74"/>
      <c r="BO966" s="74"/>
      <c r="BP966" s="74"/>
      <c r="BQ966" s="74"/>
      <c r="BR966" s="74"/>
      <c r="BS966" s="74"/>
      <c r="BT966" s="74"/>
      <c r="BU966" s="74"/>
      <c r="BV966" s="74"/>
      <c r="BW966" s="74"/>
      <c r="BX966" s="74"/>
      <c r="BY966" s="74"/>
      <c r="BZ966" s="74"/>
      <c r="CA966" s="74"/>
      <c r="CB966" s="74"/>
      <c r="CC966" s="74"/>
      <c r="CD966" s="74"/>
      <c r="CE966" s="74"/>
      <c r="CF966" s="74"/>
      <c r="CG966" s="74"/>
      <c r="CH966" s="74"/>
      <c r="CI966" s="74"/>
      <c r="CJ966" s="74"/>
      <c r="CK966" s="101"/>
      <c r="CL966" s="74"/>
      <c r="CM966" s="74"/>
      <c r="CN966" s="74"/>
      <c r="CO966" s="101"/>
      <c r="CP966" s="74"/>
      <c r="CQ966" s="74"/>
      <c r="CR966" s="74"/>
      <c r="CS966" s="74"/>
      <c r="CT966" s="74"/>
      <c r="CU966" s="74"/>
      <c r="CV966" s="74"/>
      <c r="CW966" s="74"/>
      <c r="CX966" s="74"/>
      <c r="CY966" s="74"/>
      <c r="CZ966" s="74"/>
      <c r="DA966" s="74"/>
      <c r="DB966" s="74"/>
      <c r="DC966" s="74"/>
      <c r="DD966" s="74"/>
      <c r="DE966" s="74"/>
      <c r="DF966" s="74"/>
      <c r="DG966" s="74"/>
      <c r="DH966" s="74"/>
      <c r="DI966" s="74"/>
      <c r="DJ966" s="74"/>
      <c r="DK966" s="74"/>
      <c r="DL966" s="100"/>
      <c r="DM966" s="74"/>
      <c r="DN966" s="74"/>
      <c r="DO966" s="74"/>
      <c r="DP966" s="74"/>
      <c r="DQ966" s="74"/>
      <c r="DR966" s="74"/>
      <c r="DS966" s="100"/>
      <c r="DT966" s="74"/>
      <c r="DU966" s="74"/>
      <c r="DV966" s="74"/>
      <c r="DW966" s="74"/>
      <c r="DX966" s="74"/>
      <c r="DY966" s="74"/>
      <c r="DZ966" s="8">
        <f t="shared" si="249"/>
        <v>0</v>
      </c>
      <c r="EA966" s="3">
        <f t="shared" si="250"/>
        <v>0</v>
      </c>
      <c r="EB966" s="2">
        <f t="shared" si="251"/>
        <v>0</v>
      </c>
      <c r="EC966" s="112">
        <f t="shared" si="246"/>
        <v>0</v>
      </c>
      <c r="ED966" s="29">
        <f t="shared" si="252"/>
        <v>0</v>
      </c>
      <c r="EE966" s="2">
        <f t="shared" si="253"/>
        <v>0</v>
      </c>
      <c r="EF966" s="46">
        <f t="shared" si="254"/>
        <v>0</v>
      </c>
      <c r="EG966" s="46">
        <f t="shared" si="255"/>
        <v>0</v>
      </c>
      <c r="EH966" s="29">
        <f t="shared" si="256"/>
        <v>0</v>
      </c>
      <c r="EI966" s="29">
        <f>IF(COUNT(I966:AD966)&lt;5,DZ966,SUMPRODUCT(LARGE(I966:AD966,{1,2,3,4,5}))/5)</f>
        <v>0</v>
      </c>
      <c r="EJ966" s="29">
        <f>IF(COUNT(I966:BE966)&lt;5,DZ966,SUMPRODUCT(LARGE(I966:BE966,{1,2,3,4,5}))/5)</f>
        <v>0</v>
      </c>
      <c r="EK966" s="29">
        <f t="shared" ref="EK966:EK1029" si="259">IF(EG966&lt;0,AVERAGE(I966:DY966),0)</f>
        <v>0</v>
      </c>
      <c r="EL966" s="29">
        <f t="shared" si="257"/>
        <v>0</v>
      </c>
      <c r="EM966" s="116">
        <f t="shared" si="258"/>
        <v>0</v>
      </c>
      <c r="EQ966"/>
    </row>
    <row r="967" spans="1:147" x14ac:dyDescent="0.25">
      <c r="A967" s="59"/>
      <c r="B967" s="32"/>
      <c r="C967" s="5"/>
      <c r="D967" s="6"/>
      <c r="E967" s="6"/>
      <c r="F967" s="6"/>
      <c r="G967" s="5"/>
      <c r="H967" s="37"/>
      <c r="I967" s="36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227"/>
      <c r="Z967" s="228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4"/>
      <c r="AP967" s="7"/>
      <c r="AQ967" s="74"/>
      <c r="AR967" s="70"/>
      <c r="AS967" s="70"/>
      <c r="AT967" s="70"/>
      <c r="AU967" s="7"/>
      <c r="AV967" s="70"/>
      <c r="AW967" s="7"/>
      <c r="AX967" s="8"/>
      <c r="AY967" s="36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4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101"/>
      <c r="CL967" s="74"/>
      <c r="CM967" s="74"/>
      <c r="CN967" s="74"/>
      <c r="CO967" s="70"/>
      <c r="CP967" s="74"/>
      <c r="CQ967" s="7"/>
      <c r="CR967" s="74"/>
      <c r="CS967" s="74"/>
      <c r="CT967" s="74"/>
      <c r="CU967" s="74"/>
      <c r="CV967" s="7"/>
      <c r="CW967" s="7"/>
      <c r="CX967" s="7"/>
      <c r="CY967" s="7"/>
      <c r="CZ967" s="7"/>
      <c r="DA967" s="7"/>
      <c r="DB967" s="7"/>
      <c r="DC967" s="7"/>
      <c r="DD967" s="7"/>
      <c r="DE967" s="74"/>
      <c r="DF967" s="74"/>
      <c r="DG967" s="74"/>
      <c r="DH967" s="7"/>
      <c r="DI967" s="74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8">
        <f t="shared" si="249"/>
        <v>0</v>
      </c>
      <c r="EA967" s="3">
        <f t="shared" si="250"/>
        <v>0</v>
      </c>
      <c r="EB967" s="2">
        <f t="shared" si="251"/>
        <v>0</v>
      </c>
      <c r="EC967" s="112">
        <f t="shared" si="246"/>
        <v>0</v>
      </c>
      <c r="ED967" s="29">
        <f t="shared" si="252"/>
        <v>0</v>
      </c>
      <c r="EE967" s="2">
        <f t="shared" si="253"/>
        <v>0</v>
      </c>
      <c r="EF967" s="46">
        <f t="shared" si="254"/>
        <v>0</v>
      </c>
      <c r="EG967" s="46">
        <f t="shared" si="255"/>
        <v>0</v>
      </c>
      <c r="EH967" s="2">
        <f t="shared" si="256"/>
        <v>0</v>
      </c>
      <c r="EI967" s="29">
        <f>IF(COUNT(I967:AD967)&lt;5,DZ967,SUMPRODUCT(LARGE(I967:AD967,{1,2,3,4,5}))/5)</f>
        <v>0</v>
      </c>
      <c r="EJ967" s="29">
        <f>IF(COUNT(I967:BE967)&lt;5,DZ967,SUMPRODUCT(LARGE(I967:BE967,{1,2,3,4,5}))/5)</f>
        <v>0</v>
      </c>
      <c r="EK967" s="29">
        <f t="shared" si="259"/>
        <v>0</v>
      </c>
      <c r="EL967" s="29">
        <f t="shared" si="257"/>
        <v>0</v>
      </c>
      <c r="EM967" s="116">
        <f t="shared" si="258"/>
        <v>0</v>
      </c>
      <c r="EQ967"/>
    </row>
    <row r="968" spans="1:147" x14ac:dyDescent="0.25">
      <c r="A968" s="59"/>
      <c r="B968" s="32"/>
      <c r="C968" s="5"/>
      <c r="D968" s="6"/>
      <c r="E968" s="6"/>
      <c r="F968" s="6"/>
      <c r="G968" s="5"/>
      <c r="H968" s="37"/>
      <c r="I968" s="107"/>
      <c r="J968" s="7"/>
      <c r="K968" s="7"/>
      <c r="L968" s="7"/>
      <c r="M968" s="74"/>
      <c r="N968" s="74"/>
      <c r="O968" s="7"/>
      <c r="P968" s="74"/>
      <c r="Q968" s="74"/>
      <c r="R968" s="74"/>
      <c r="S968" s="74"/>
      <c r="T968" s="7"/>
      <c r="U968" s="7"/>
      <c r="V968" s="74"/>
      <c r="W968" s="7"/>
      <c r="X968" s="74"/>
      <c r="Y968" s="227"/>
      <c r="Z968" s="228"/>
      <c r="AA968" s="74"/>
      <c r="AB968" s="74"/>
      <c r="AC968" s="74"/>
      <c r="AD968" s="74"/>
      <c r="AE968" s="7"/>
      <c r="AF968" s="74"/>
      <c r="AG968" s="74"/>
      <c r="AH968" s="7"/>
      <c r="AI968" s="7"/>
      <c r="AJ968" s="7"/>
      <c r="AK968" s="7"/>
      <c r="AL968" s="7"/>
      <c r="AM968" s="7"/>
      <c r="AN968" s="7"/>
      <c r="AO968" s="74"/>
      <c r="AP968" s="7"/>
      <c r="AQ968" s="74"/>
      <c r="AR968" s="101"/>
      <c r="AS968" s="70"/>
      <c r="AT968" s="101"/>
      <c r="AU968" s="7"/>
      <c r="AV968" s="101"/>
      <c r="AW968" s="7"/>
      <c r="AX968" s="183"/>
      <c r="AY968" s="107"/>
      <c r="AZ968" s="74"/>
      <c r="BA968" s="74"/>
      <c r="BB968" s="74"/>
      <c r="BC968" s="74"/>
      <c r="BD968" s="74"/>
      <c r="BE968" s="74"/>
      <c r="BF968" s="74"/>
      <c r="BG968" s="74"/>
      <c r="BH968" s="74"/>
      <c r="BI968" s="74"/>
      <c r="BJ968" s="74"/>
      <c r="BK968" s="7"/>
      <c r="BL968" s="74"/>
      <c r="BM968" s="7"/>
      <c r="BN968" s="74"/>
      <c r="BO968" s="74"/>
      <c r="BP968" s="74"/>
      <c r="BQ968" s="74"/>
      <c r="BR968" s="74"/>
      <c r="BS968" s="74"/>
      <c r="BT968" s="74"/>
      <c r="BU968" s="74"/>
      <c r="BV968" s="74"/>
      <c r="BW968" s="74"/>
      <c r="BX968" s="74"/>
      <c r="BY968" s="74"/>
      <c r="BZ968" s="7"/>
      <c r="CA968" s="74"/>
      <c r="CB968" s="74"/>
      <c r="CC968" s="74"/>
      <c r="CD968" s="74"/>
      <c r="CE968" s="7"/>
      <c r="CF968" s="74"/>
      <c r="CG968" s="74"/>
      <c r="CH968" s="7"/>
      <c r="CI968" s="74"/>
      <c r="CJ968" s="74"/>
      <c r="CK968" s="101"/>
      <c r="CL968" s="74"/>
      <c r="CM968" s="74"/>
      <c r="CN968" s="74"/>
      <c r="CO968" s="101"/>
      <c r="CP968" s="74"/>
      <c r="CQ968" s="74"/>
      <c r="CR968" s="74"/>
      <c r="CS968" s="74"/>
      <c r="CT968" s="74"/>
      <c r="CU968" s="74"/>
      <c r="CV968" s="74"/>
      <c r="CW968" s="7"/>
      <c r="CX968" s="7"/>
      <c r="CY968" s="74"/>
      <c r="CZ968" s="74"/>
      <c r="DA968" s="7"/>
      <c r="DB968" s="74"/>
      <c r="DC968" s="74"/>
      <c r="DD968" s="74"/>
      <c r="DE968" s="74"/>
      <c r="DF968" s="74"/>
      <c r="DG968" s="74"/>
      <c r="DH968" s="74"/>
      <c r="DI968" s="74"/>
      <c r="DJ968" s="74"/>
      <c r="DK968" s="74"/>
      <c r="DL968" s="74"/>
      <c r="DM968" s="74"/>
      <c r="DN968" s="74"/>
      <c r="DO968" s="74"/>
      <c r="DP968" s="74"/>
      <c r="DQ968" s="74"/>
      <c r="DR968" s="74"/>
      <c r="DS968" s="74"/>
      <c r="DT968" s="74"/>
      <c r="DU968" s="74"/>
      <c r="DV968" s="74"/>
      <c r="DW968" s="74"/>
      <c r="DX968" s="74"/>
      <c r="DY968" s="74"/>
      <c r="DZ968" s="8">
        <f t="shared" si="249"/>
        <v>0</v>
      </c>
      <c r="EA968" s="3">
        <f t="shared" si="250"/>
        <v>0</v>
      </c>
      <c r="EB968" s="2">
        <f t="shared" si="251"/>
        <v>0</v>
      </c>
      <c r="EC968" s="112">
        <f t="shared" si="246"/>
        <v>0</v>
      </c>
      <c r="ED968" s="29">
        <f t="shared" si="252"/>
        <v>0</v>
      </c>
      <c r="EE968" s="2">
        <f t="shared" si="253"/>
        <v>0</v>
      </c>
      <c r="EF968" s="46">
        <f t="shared" si="254"/>
        <v>0</v>
      </c>
      <c r="EG968" s="46">
        <f t="shared" si="255"/>
        <v>0</v>
      </c>
      <c r="EH968" s="29">
        <f t="shared" si="256"/>
        <v>0</v>
      </c>
      <c r="EI968" s="29">
        <f>IF(COUNT(I968:AD968)&lt;5,DZ968,SUMPRODUCT(LARGE(I968:AD968,{1,2,3,4,5}))/5)</f>
        <v>0</v>
      </c>
      <c r="EJ968" s="29">
        <f>IF(COUNT(I968:BE968)&lt;5,DZ968,SUMPRODUCT(LARGE(I968:BE968,{1,2,3,4,5}))/5)</f>
        <v>0</v>
      </c>
      <c r="EK968" s="29">
        <f t="shared" si="259"/>
        <v>0</v>
      </c>
      <c r="EL968" s="29">
        <f t="shared" si="257"/>
        <v>0</v>
      </c>
      <c r="EM968" s="116">
        <f t="shared" si="258"/>
        <v>0</v>
      </c>
      <c r="EQ968"/>
    </row>
    <row r="969" spans="1:147" x14ac:dyDescent="0.25">
      <c r="A969" s="59"/>
      <c r="B969" s="32"/>
      <c r="C969" s="5"/>
      <c r="D969" s="6"/>
      <c r="E969" s="6"/>
      <c r="F969" s="6"/>
      <c r="G969" s="5"/>
      <c r="H969" s="99"/>
      <c r="I969" s="36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227"/>
      <c r="Z969" s="228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4"/>
      <c r="AP969" s="7"/>
      <c r="AQ969" s="74"/>
      <c r="AR969" s="70"/>
      <c r="AS969" s="70"/>
      <c r="AT969" s="70"/>
      <c r="AU969" s="7"/>
      <c r="AV969" s="70"/>
      <c r="AW969" s="7"/>
      <c r="AX969" s="183"/>
      <c r="AY969" s="10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101"/>
      <c r="CL969" s="74"/>
      <c r="CM969" s="74"/>
      <c r="CN969" s="74"/>
      <c r="CO969" s="70"/>
      <c r="CP969" s="74"/>
      <c r="CQ969" s="7"/>
      <c r="CR969" s="74"/>
      <c r="CS969" s="74"/>
      <c r="CT969" s="101"/>
      <c r="CU969" s="74"/>
      <c r="CV969" s="74"/>
      <c r="CW969" s="7"/>
      <c r="CX969" s="7"/>
      <c r="CY969" s="7"/>
      <c r="CZ969" s="7"/>
      <c r="DA969" s="7"/>
      <c r="DB969" s="7"/>
      <c r="DC969" s="7"/>
      <c r="DD969" s="7"/>
      <c r="DE969" s="74"/>
      <c r="DF969" s="74"/>
      <c r="DG969" s="74"/>
      <c r="DH969" s="74"/>
      <c r="DI969" s="74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8">
        <f t="shared" si="249"/>
        <v>0</v>
      </c>
      <c r="EA969" s="3">
        <f t="shared" si="250"/>
        <v>0</v>
      </c>
      <c r="EB969" s="2">
        <f t="shared" si="251"/>
        <v>0</v>
      </c>
      <c r="EC969" s="112">
        <f t="shared" si="246"/>
        <v>0</v>
      </c>
      <c r="ED969" s="29">
        <f t="shared" si="252"/>
        <v>0</v>
      </c>
      <c r="EE969" s="2">
        <f t="shared" si="253"/>
        <v>0</v>
      </c>
      <c r="EF969" s="46">
        <f t="shared" si="254"/>
        <v>0</v>
      </c>
      <c r="EG969" s="46">
        <f t="shared" si="255"/>
        <v>0</v>
      </c>
      <c r="EH969" s="2">
        <f t="shared" si="256"/>
        <v>0</v>
      </c>
      <c r="EI969" s="29">
        <f>IF(COUNT(I969:AD969)&lt;5,DZ969,SUMPRODUCT(LARGE(I969:AD969,{1,2,3,4,5}))/5)</f>
        <v>0</v>
      </c>
      <c r="EJ969" s="29">
        <f>IF(COUNT(I969:BE969)&lt;5,DZ969,SUMPRODUCT(LARGE(I969:BE969,{1,2,3,4,5}))/5)</f>
        <v>0</v>
      </c>
      <c r="EK969" s="29">
        <f t="shared" si="259"/>
        <v>0</v>
      </c>
      <c r="EL969" s="29">
        <f t="shared" si="257"/>
        <v>0</v>
      </c>
      <c r="EM969" s="116">
        <f t="shared" si="258"/>
        <v>0</v>
      </c>
      <c r="EQ969"/>
    </row>
    <row r="970" spans="1:147" x14ac:dyDescent="0.25">
      <c r="A970" s="59"/>
      <c r="B970" s="32"/>
      <c r="C970" s="5"/>
      <c r="D970" s="6"/>
      <c r="E970" s="6"/>
      <c r="F970" s="6"/>
      <c r="G970" s="5"/>
      <c r="H970" s="37"/>
      <c r="I970" s="36"/>
      <c r="J970" s="7"/>
      <c r="K970" s="7"/>
      <c r="L970" s="7"/>
      <c r="M970" s="74"/>
      <c r="N970" s="74"/>
      <c r="O970" s="7"/>
      <c r="P970" s="74"/>
      <c r="Q970" s="7"/>
      <c r="R970" s="74"/>
      <c r="S970" s="74"/>
      <c r="T970" s="7"/>
      <c r="U970" s="7"/>
      <c r="V970" s="74"/>
      <c r="W970" s="7"/>
      <c r="X970" s="74"/>
      <c r="Y970" s="227"/>
      <c r="Z970" s="228"/>
      <c r="AA970" s="74"/>
      <c r="AB970" s="74"/>
      <c r="AC970" s="74"/>
      <c r="AD970" s="74"/>
      <c r="AE970" s="7"/>
      <c r="AF970" s="74"/>
      <c r="AG970" s="74"/>
      <c r="AH970" s="7"/>
      <c r="AI970" s="7"/>
      <c r="AJ970" s="7"/>
      <c r="AK970" s="7"/>
      <c r="AL970" s="7"/>
      <c r="AM970" s="7"/>
      <c r="AN970" s="7"/>
      <c r="AO970" s="74"/>
      <c r="AP970" s="7"/>
      <c r="AQ970" s="74"/>
      <c r="AR970" s="101"/>
      <c r="AS970" s="70"/>
      <c r="AT970" s="101"/>
      <c r="AU970" s="7"/>
      <c r="AV970" s="101"/>
      <c r="AW970" s="7"/>
      <c r="AX970" s="8"/>
      <c r="AY970" s="36"/>
      <c r="AZ970" s="74"/>
      <c r="BA970" s="74"/>
      <c r="BB970" s="74"/>
      <c r="BC970" s="74"/>
      <c r="BD970" s="74"/>
      <c r="BE970" s="74"/>
      <c r="BF970" s="74"/>
      <c r="BG970" s="74"/>
      <c r="BH970" s="74"/>
      <c r="BI970" s="74"/>
      <c r="BJ970" s="74"/>
      <c r="BK970" s="7"/>
      <c r="BL970" s="74"/>
      <c r="BM970" s="7"/>
      <c r="BN970" s="74"/>
      <c r="BO970" s="74"/>
      <c r="BP970" s="74"/>
      <c r="BQ970" s="74"/>
      <c r="BR970" s="74"/>
      <c r="BS970" s="74"/>
      <c r="BT970" s="74"/>
      <c r="BU970" s="74"/>
      <c r="BV970" s="74"/>
      <c r="BW970" s="74"/>
      <c r="BX970" s="74"/>
      <c r="BY970" s="74"/>
      <c r="BZ970" s="74"/>
      <c r="CA970" s="74"/>
      <c r="CB970" s="74"/>
      <c r="CC970" s="74"/>
      <c r="CD970" s="74"/>
      <c r="CE970" s="7"/>
      <c r="CF970" s="74"/>
      <c r="CG970" s="74"/>
      <c r="CH970" s="7"/>
      <c r="CI970" s="74"/>
      <c r="CJ970" s="74"/>
      <c r="CK970" s="101"/>
      <c r="CL970" s="74"/>
      <c r="CM970" s="74"/>
      <c r="CN970" s="74"/>
      <c r="CO970" s="101"/>
      <c r="CP970" s="74"/>
      <c r="CQ970" s="74"/>
      <c r="CR970" s="74"/>
      <c r="CS970" s="74"/>
      <c r="CT970" s="74"/>
      <c r="CU970" s="74"/>
      <c r="CV970" s="74"/>
      <c r="CW970" s="74"/>
      <c r="CX970" s="74"/>
      <c r="CY970" s="74"/>
      <c r="CZ970" s="74"/>
      <c r="DA970" s="74"/>
      <c r="DB970" s="74"/>
      <c r="DC970" s="74"/>
      <c r="DD970" s="74"/>
      <c r="DE970" s="74"/>
      <c r="DF970" s="74"/>
      <c r="DG970" s="74"/>
      <c r="DH970" s="74"/>
      <c r="DI970" s="74"/>
      <c r="DJ970" s="7"/>
      <c r="DK970" s="74"/>
      <c r="DL970" s="7"/>
      <c r="DM970" s="74"/>
      <c r="DN970" s="74"/>
      <c r="DO970" s="74"/>
      <c r="DP970" s="74"/>
      <c r="DQ970" s="74"/>
      <c r="DR970" s="74"/>
      <c r="DS970" s="74"/>
      <c r="DT970" s="74"/>
      <c r="DU970" s="74"/>
      <c r="DV970" s="74"/>
      <c r="DW970" s="74"/>
      <c r="DX970" s="74"/>
      <c r="DY970" s="74"/>
      <c r="DZ970" s="8">
        <f t="shared" si="249"/>
        <v>0</v>
      </c>
      <c r="EA970" s="3">
        <f t="shared" si="250"/>
        <v>0</v>
      </c>
      <c r="EB970" s="2">
        <f t="shared" si="251"/>
        <v>0</v>
      </c>
      <c r="EC970" s="112">
        <f t="shared" si="246"/>
        <v>0</v>
      </c>
      <c r="ED970" s="29">
        <f t="shared" si="252"/>
        <v>0</v>
      </c>
      <c r="EE970" s="2">
        <f t="shared" si="253"/>
        <v>0</v>
      </c>
      <c r="EF970" s="46">
        <f t="shared" si="254"/>
        <v>0</v>
      </c>
      <c r="EG970" s="46">
        <f t="shared" si="255"/>
        <v>0</v>
      </c>
      <c r="EH970" s="29">
        <f t="shared" si="256"/>
        <v>0</v>
      </c>
      <c r="EI970" s="29">
        <f>IF(COUNT(I970:AD970)&lt;5,DZ970,SUMPRODUCT(LARGE(I970:AD970,{1,2,3,4,5}))/5)</f>
        <v>0</v>
      </c>
      <c r="EJ970" s="29">
        <f>IF(COUNT(I970:BE970)&lt;5,DZ970,SUMPRODUCT(LARGE(I970:BE970,{1,2,3,4,5}))/5)</f>
        <v>0</v>
      </c>
      <c r="EK970" s="29">
        <f t="shared" si="259"/>
        <v>0</v>
      </c>
      <c r="EL970" s="29">
        <f t="shared" si="257"/>
        <v>0</v>
      </c>
      <c r="EM970" s="116">
        <f t="shared" si="258"/>
        <v>0</v>
      </c>
      <c r="EQ970"/>
    </row>
    <row r="971" spans="1:147" x14ac:dyDescent="0.25">
      <c r="A971" s="59"/>
      <c r="B971" s="32"/>
      <c r="C971" s="5"/>
      <c r="D971" s="6"/>
      <c r="E971" s="6"/>
      <c r="F971" s="6"/>
      <c r="G971" s="5"/>
      <c r="H971" s="99"/>
      <c r="I971" s="36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227"/>
      <c r="Z971" s="228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4"/>
      <c r="AP971" s="7"/>
      <c r="AQ971" s="74"/>
      <c r="AR971" s="70"/>
      <c r="AS971" s="70"/>
      <c r="AT971" s="70"/>
      <c r="AU971" s="7"/>
      <c r="AV971" s="70"/>
      <c r="AW971" s="7"/>
      <c r="AX971" s="183"/>
      <c r="AY971" s="10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101"/>
      <c r="CL971" s="74"/>
      <c r="CM971" s="74"/>
      <c r="CN971" s="74"/>
      <c r="CO971" s="70"/>
      <c r="CP971" s="74"/>
      <c r="CQ971" s="7"/>
      <c r="CR971" s="74"/>
      <c r="CS971" s="74"/>
      <c r="CT971" s="74"/>
      <c r="CU971" s="74"/>
      <c r="CV971" s="74"/>
      <c r="CW971" s="7"/>
      <c r="CX971" s="7"/>
      <c r="CY971" s="7"/>
      <c r="CZ971" s="7"/>
      <c r="DA971" s="7"/>
      <c r="DB971" s="7"/>
      <c r="DC971" s="7"/>
      <c r="DD971" s="7"/>
      <c r="DE971" s="74"/>
      <c r="DF971" s="74"/>
      <c r="DG971" s="74"/>
      <c r="DH971" s="74"/>
      <c r="DI971" s="74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8">
        <f t="shared" si="249"/>
        <v>0</v>
      </c>
      <c r="EA971" s="3">
        <f t="shared" si="250"/>
        <v>0</v>
      </c>
      <c r="EB971" s="2">
        <f t="shared" si="251"/>
        <v>0</v>
      </c>
      <c r="EC971" s="112">
        <f t="shared" si="246"/>
        <v>0</v>
      </c>
      <c r="ED971" s="29">
        <f t="shared" si="252"/>
        <v>0</v>
      </c>
      <c r="EE971" s="2">
        <f t="shared" si="253"/>
        <v>0</v>
      </c>
      <c r="EF971" s="46">
        <f t="shared" si="254"/>
        <v>0</v>
      </c>
      <c r="EG971" s="46">
        <f t="shared" si="255"/>
        <v>0</v>
      </c>
      <c r="EH971" s="2">
        <f t="shared" si="256"/>
        <v>0</v>
      </c>
      <c r="EI971" s="29">
        <f>IF(COUNT(I971:AD971)&lt;5,DZ971,SUMPRODUCT(LARGE(I971:AD971,{1,2,3,4,5}))/5)</f>
        <v>0</v>
      </c>
      <c r="EJ971" s="29">
        <f>IF(COUNT(I971:BE971)&lt;5,DZ971,SUMPRODUCT(LARGE(I971:BE971,{1,2,3,4,5}))/5)</f>
        <v>0</v>
      </c>
      <c r="EK971" s="29">
        <f t="shared" si="259"/>
        <v>0</v>
      </c>
      <c r="EL971" s="29">
        <f t="shared" si="257"/>
        <v>0</v>
      </c>
      <c r="EM971" s="116">
        <f t="shared" si="258"/>
        <v>0</v>
      </c>
      <c r="EQ971"/>
    </row>
    <row r="972" spans="1:147" x14ac:dyDescent="0.25">
      <c r="A972" s="59"/>
      <c r="B972" s="32"/>
      <c r="C972" s="5"/>
      <c r="D972" s="6"/>
      <c r="E972" s="6"/>
      <c r="F972" s="6"/>
      <c r="G972" s="5"/>
      <c r="H972" s="37"/>
      <c r="I972" s="36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227"/>
      <c r="Z972" s="228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4"/>
      <c r="AP972" s="7"/>
      <c r="AQ972" s="74"/>
      <c r="AR972" s="70"/>
      <c r="AS972" s="70"/>
      <c r="AT972" s="70"/>
      <c r="AU972" s="7"/>
      <c r="AV972" s="70"/>
      <c r="AW972" s="7"/>
      <c r="AX972" s="8"/>
      <c r="AY972" s="36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101"/>
      <c r="CL972" s="74"/>
      <c r="CM972" s="74"/>
      <c r="CN972" s="74"/>
      <c r="CO972" s="70"/>
      <c r="CP972" s="74"/>
      <c r="CQ972" s="7"/>
      <c r="CR972" s="74"/>
      <c r="CS972" s="74"/>
      <c r="CT972" s="74"/>
      <c r="CU972" s="74"/>
      <c r="CV972" s="74"/>
      <c r="CW972" s="7"/>
      <c r="CX972" s="7"/>
      <c r="CY972" s="7"/>
      <c r="CZ972" s="7"/>
      <c r="DA972" s="7"/>
      <c r="DB972" s="7"/>
      <c r="DC972" s="7"/>
      <c r="DD972" s="7"/>
      <c r="DE972" s="74"/>
      <c r="DF972" s="74"/>
      <c r="DG972" s="74"/>
      <c r="DH972" s="74"/>
      <c r="DI972" s="74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8">
        <f t="shared" si="249"/>
        <v>0</v>
      </c>
      <c r="EA972" s="3">
        <f t="shared" si="250"/>
        <v>0</v>
      </c>
      <c r="EB972" s="2">
        <f t="shared" si="251"/>
        <v>0</v>
      </c>
      <c r="EC972" s="112">
        <f t="shared" si="246"/>
        <v>0</v>
      </c>
      <c r="ED972" s="29">
        <f t="shared" si="252"/>
        <v>0</v>
      </c>
      <c r="EE972" s="2">
        <f t="shared" si="253"/>
        <v>0</v>
      </c>
      <c r="EF972" s="46">
        <f t="shared" si="254"/>
        <v>0</v>
      </c>
      <c r="EG972" s="46">
        <f t="shared" si="255"/>
        <v>0</v>
      </c>
      <c r="EH972" s="2">
        <f t="shared" si="256"/>
        <v>0</v>
      </c>
      <c r="EI972" s="29">
        <f>IF(COUNT(I972:AD972)&lt;5,DZ972,SUMPRODUCT(LARGE(I972:AD972,{1,2,3,4,5}))/5)</f>
        <v>0</v>
      </c>
      <c r="EJ972" s="29">
        <f>IF(COUNT(I972:BE972)&lt;5,DZ972,SUMPRODUCT(LARGE(I972:BE972,{1,2,3,4,5}))/5)</f>
        <v>0</v>
      </c>
      <c r="EK972" s="29">
        <f t="shared" si="259"/>
        <v>0</v>
      </c>
      <c r="EL972" s="29">
        <f t="shared" si="257"/>
        <v>0</v>
      </c>
      <c r="EM972" s="116">
        <f t="shared" si="258"/>
        <v>0</v>
      </c>
      <c r="EQ972"/>
    </row>
    <row r="973" spans="1:147" x14ac:dyDescent="0.25">
      <c r="A973" s="59"/>
      <c r="B973" s="32"/>
      <c r="C973" s="5"/>
      <c r="D973" s="6"/>
      <c r="E973" s="6"/>
      <c r="F973" s="6"/>
      <c r="G973" s="5"/>
      <c r="H973" s="99"/>
      <c r="I973" s="107"/>
      <c r="J973" s="7"/>
      <c r="K973" s="74"/>
      <c r="L973" s="7"/>
      <c r="M973" s="74"/>
      <c r="N973" s="74"/>
      <c r="O973" s="7"/>
      <c r="P973" s="74"/>
      <c r="Q973" s="7"/>
      <c r="R973" s="74"/>
      <c r="S973" s="74"/>
      <c r="T973" s="7"/>
      <c r="U973" s="7"/>
      <c r="V973" s="74"/>
      <c r="W973" s="7"/>
      <c r="X973" s="74"/>
      <c r="Y973" s="227"/>
      <c r="Z973" s="228"/>
      <c r="AA973" s="74"/>
      <c r="AB973" s="74"/>
      <c r="AC973" s="74"/>
      <c r="AD973" s="74"/>
      <c r="AE973" s="7"/>
      <c r="AF973" s="74"/>
      <c r="AG973" s="74"/>
      <c r="AH973" s="7"/>
      <c r="AI973" s="7"/>
      <c r="AJ973" s="7"/>
      <c r="AK973" s="7"/>
      <c r="AL973" s="7"/>
      <c r="AM973" s="7"/>
      <c r="AN973" s="7"/>
      <c r="AO973" s="74"/>
      <c r="AP973" s="7"/>
      <c r="AQ973" s="74"/>
      <c r="AR973" s="101"/>
      <c r="AS973" s="70"/>
      <c r="AT973" s="101"/>
      <c r="AU973" s="7"/>
      <c r="AV973" s="101"/>
      <c r="AW973" s="7"/>
      <c r="AX973" s="183"/>
      <c r="AY973" s="107"/>
      <c r="AZ973" s="74"/>
      <c r="BA973" s="74"/>
      <c r="BB973" s="74"/>
      <c r="BC973" s="74"/>
      <c r="BD973" s="74"/>
      <c r="BE973" s="74"/>
      <c r="BF973" s="74"/>
      <c r="BG973" s="74"/>
      <c r="BH973" s="74"/>
      <c r="BI973" s="74"/>
      <c r="BJ973" s="74"/>
      <c r="BK973" s="7"/>
      <c r="BL973" s="74"/>
      <c r="BM973" s="7"/>
      <c r="BN973" s="74"/>
      <c r="BO973" s="74"/>
      <c r="BP973" s="74"/>
      <c r="BQ973" s="74"/>
      <c r="BR973" s="74"/>
      <c r="BS973" s="74"/>
      <c r="BT973" s="74"/>
      <c r="BU973" s="74"/>
      <c r="BV973" s="74"/>
      <c r="BW973" s="7"/>
      <c r="BX973" s="74"/>
      <c r="BY973" s="74"/>
      <c r="BZ973" s="74"/>
      <c r="CA973" s="74"/>
      <c r="CB973" s="74"/>
      <c r="CC973" s="74"/>
      <c r="CD973" s="74"/>
      <c r="CE973" s="7"/>
      <c r="CF973" s="74"/>
      <c r="CG973" s="7"/>
      <c r="CH973" s="7"/>
      <c r="CI973" s="74"/>
      <c r="CJ973" s="74"/>
      <c r="CK973" s="101"/>
      <c r="CL973" s="74"/>
      <c r="CM973" s="74"/>
      <c r="CN973" s="74"/>
      <c r="CO973" s="101"/>
      <c r="CP973" s="74"/>
      <c r="CQ973" s="74"/>
      <c r="CR973" s="74"/>
      <c r="CS973" s="74"/>
      <c r="CT973" s="74"/>
      <c r="CU973" s="74"/>
      <c r="CV973" s="74"/>
      <c r="CW973" s="74"/>
      <c r="CX973" s="74"/>
      <c r="CY973" s="74"/>
      <c r="CZ973" s="74"/>
      <c r="DA973" s="74"/>
      <c r="DB973" s="74"/>
      <c r="DC973" s="74"/>
      <c r="DD973" s="74"/>
      <c r="DE973" s="74"/>
      <c r="DF973" s="74"/>
      <c r="DG973" s="74"/>
      <c r="DH973" s="74"/>
      <c r="DI973" s="74"/>
      <c r="DJ973" s="74"/>
      <c r="DK973" s="74"/>
      <c r="DL973" s="74"/>
      <c r="DM973" s="74"/>
      <c r="DN973" s="74"/>
      <c r="DO973" s="74"/>
      <c r="DP973" s="74"/>
      <c r="DQ973" s="74"/>
      <c r="DR973" s="74"/>
      <c r="DS973" s="74"/>
      <c r="DT973" s="74"/>
      <c r="DU973" s="74"/>
      <c r="DV973" s="74"/>
      <c r="DW973" s="74"/>
      <c r="DX973" s="74"/>
      <c r="DY973" s="74"/>
      <c r="DZ973" s="8">
        <f t="shared" si="249"/>
        <v>0</v>
      </c>
      <c r="EA973" s="3">
        <f t="shared" si="250"/>
        <v>0</v>
      </c>
      <c r="EB973" s="2">
        <f t="shared" si="251"/>
        <v>0</v>
      </c>
      <c r="EC973" s="112">
        <f t="shared" si="246"/>
        <v>0</v>
      </c>
      <c r="ED973" s="29">
        <f t="shared" si="252"/>
        <v>0</v>
      </c>
      <c r="EE973" s="2">
        <f t="shared" si="253"/>
        <v>0</v>
      </c>
      <c r="EF973" s="46">
        <f t="shared" si="254"/>
        <v>0</v>
      </c>
      <c r="EG973" s="46">
        <f t="shared" si="255"/>
        <v>0</v>
      </c>
      <c r="EH973" s="29">
        <f t="shared" si="256"/>
        <v>0</v>
      </c>
      <c r="EI973" s="29">
        <f>IF(COUNT(I973:AD973)&lt;5,DZ973,SUMPRODUCT(LARGE(I973:AD973,{1,2,3,4,5}))/5)</f>
        <v>0</v>
      </c>
      <c r="EJ973" s="29">
        <f>IF(COUNT(I973:BE973)&lt;5,DZ973,SUMPRODUCT(LARGE(I973:BE973,{1,2,3,4,5}))/5)</f>
        <v>0</v>
      </c>
      <c r="EK973" s="29">
        <f t="shared" si="259"/>
        <v>0</v>
      </c>
      <c r="EL973" s="29">
        <f t="shared" si="257"/>
        <v>0</v>
      </c>
      <c r="EM973" s="116">
        <f t="shared" si="258"/>
        <v>0</v>
      </c>
      <c r="EQ973"/>
    </row>
    <row r="974" spans="1:147" x14ac:dyDescent="0.25">
      <c r="A974" s="59"/>
      <c r="B974" s="32"/>
      <c r="C974" s="5"/>
      <c r="D974" s="6"/>
      <c r="E974" s="6"/>
      <c r="F974" s="6"/>
      <c r="G974" s="5"/>
      <c r="H974" s="37"/>
      <c r="I974" s="36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227"/>
      <c r="Z974" s="228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4"/>
      <c r="AP974" s="7"/>
      <c r="AQ974" s="74"/>
      <c r="AR974" s="70"/>
      <c r="AS974" s="70"/>
      <c r="AT974" s="70"/>
      <c r="AU974" s="7"/>
      <c r="AV974" s="70"/>
      <c r="AW974" s="7"/>
      <c r="AX974" s="8"/>
      <c r="AY974" s="36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4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101"/>
      <c r="CL974" s="74"/>
      <c r="CM974" s="74"/>
      <c r="CN974" s="74"/>
      <c r="CO974" s="70"/>
      <c r="CP974" s="74"/>
      <c r="CQ974" s="7"/>
      <c r="CR974" s="74"/>
      <c r="CS974" s="74"/>
      <c r="CT974" s="74"/>
      <c r="CU974" s="74"/>
      <c r="CV974" s="7"/>
      <c r="CW974" s="7"/>
      <c r="CX974" s="7"/>
      <c r="CY974" s="7"/>
      <c r="CZ974" s="7"/>
      <c r="DA974" s="7"/>
      <c r="DB974" s="7"/>
      <c r="DC974" s="7"/>
      <c r="DD974" s="7"/>
      <c r="DE974" s="74"/>
      <c r="DF974" s="74"/>
      <c r="DG974" s="74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8">
        <f t="shared" si="249"/>
        <v>0</v>
      </c>
      <c r="EA974" s="3">
        <f t="shared" si="250"/>
        <v>0</v>
      </c>
      <c r="EB974" s="2">
        <f t="shared" si="251"/>
        <v>0</v>
      </c>
      <c r="EC974" s="112">
        <f t="shared" ref="EC974:EC1037" si="260">H974</f>
        <v>0</v>
      </c>
      <c r="ED974" s="29">
        <f t="shared" si="252"/>
        <v>0</v>
      </c>
      <c r="EE974" s="2">
        <f t="shared" si="253"/>
        <v>0</v>
      </c>
      <c r="EF974" s="46">
        <f t="shared" si="254"/>
        <v>0</v>
      </c>
      <c r="EG974" s="46">
        <f t="shared" si="255"/>
        <v>0</v>
      </c>
      <c r="EH974" s="2">
        <f t="shared" si="256"/>
        <v>0</v>
      </c>
      <c r="EI974" s="29">
        <f>IF(COUNT(I974:AD974)&lt;5,DZ974,SUMPRODUCT(LARGE(I974:AD974,{1,2,3,4,5}))/5)</f>
        <v>0</v>
      </c>
      <c r="EJ974" s="29">
        <f>IF(COUNT(I974:BE974)&lt;5,DZ974,SUMPRODUCT(LARGE(I974:BE974,{1,2,3,4,5}))/5)</f>
        <v>0</v>
      </c>
      <c r="EK974" s="29">
        <f t="shared" si="259"/>
        <v>0</v>
      </c>
      <c r="EL974" s="29">
        <f>(EK974*100)/101.59</f>
        <v>0</v>
      </c>
      <c r="EM974" s="116">
        <f t="shared" si="258"/>
        <v>0</v>
      </c>
      <c r="EQ974"/>
    </row>
    <row r="975" spans="1:147" x14ac:dyDescent="0.25">
      <c r="A975" s="59"/>
      <c r="B975" s="32"/>
      <c r="C975" s="5"/>
      <c r="D975" s="6"/>
      <c r="E975" s="6"/>
      <c r="F975" s="6"/>
      <c r="G975" s="5"/>
      <c r="H975" s="37"/>
      <c r="I975" s="36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227"/>
      <c r="Z975" s="228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0"/>
      <c r="AS975" s="70"/>
      <c r="AT975" s="70"/>
      <c r="AU975" s="7"/>
      <c r="AV975" s="70"/>
      <c r="AW975" s="7"/>
      <c r="AX975" s="8"/>
      <c r="AY975" s="36"/>
      <c r="AZ975" s="7"/>
      <c r="BA975" s="7"/>
      <c r="BB975" s="7"/>
      <c r="BC975" s="74"/>
      <c r="BD975" s="7"/>
      <c r="BE975" s="74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101"/>
      <c r="CL975" s="74"/>
      <c r="CM975" s="74"/>
      <c r="CN975" s="74"/>
      <c r="CO975" s="70"/>
      <c r="CP975" s="74"/>
      <c r="CQ975" s="7"/>
      <c r="CR975" s="74"/>
      <c r="CS975" s="74"/>
      <c r="CT975" s="74"/>
      <c r="CU975" s="74"/>
      <c r="CV975" s="74"/>
      <c r="CW975" s="7"/>
      <c r="CX975" s="7"/>
      <c r="CY975" s="7"/>
      <c r="CZ975" s="7"/>
      <c r="DA975" s="7"/>
      <c r="DB975" s="7"/>
      <c r="DC975" s="7"/>
      <c r="DD975" s="7"/>
      <c r="DE975" s="74"/>
      <c r="DF975" s="74"/>
      <c r="DG975" s="74"/>
      <c r="DH975" s="74"/>
      <c r="DI975" s="74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8">
        <f t="shared" si="249"/>
        <v>0</v>
      </c>
      <c r="EA975" s="3">
        <f t="shared" si="250"/>
        <v>0</v>
      </c>
      <c r="EB975" s="2">
        <f t="shared" si="251"/>
        <v>0</v>
      </c>
      <c r="EC975" s="112">
        <f t="shared" si="260"/>
        <v>0</v>
      </c>
      <c r="ED975" s="29">
        <f t="shared" si="252"/>
        <v>0</v>
      </c>
      <c r="EE975" s="2">
        <f t="shared" si="253"/>
        <v>0</v>
      </c>
      <c r="EF975" s="46">
        <f t="shared" si="254"/>
        <v>0</v>
      </c>
      <c r="EG975" s="46">
        <f t="shared" si="255"/>
        <v>0</v>
      </c>
      <c r="EH975" s="2">
        <f t="shared" si="256"/>
        <v>0</v>
      </c>
      <c r="EI975" s="29">
        <f>IF(COUNT(I975:AD975)&lt;5,DZ975,SUMPRODUCT(LARGE(I975:AD975,{1,2,3,4,5}))/5)</f>
        <v>0</v>
      </c>
      <c r="EJ975" s="29">
        <f>IF(COUNT(I975:BE975)&lt;5,DZ975,SUMPRODUCT(LARGE(I975:BE975,{1,2,3,4,5}))/5)</f>
        <v>0</v>
      </c>
      <c r="EK975" s="29">
        <f t="shared" si="259"/>
        <v>0</v>
      </c>
      <c r="EL975" s="29">
        <f t="shared" ref="EL975:EL981" si="261">(EK975*100)/101.28</f>
        <v>0</v>
      </c>
      <c r="EM975" s="116">
        <f t="shared" si="258"/>
        <v>0</v>
      </c>
      <c r="EQ975"/>
    </row>
    <row r="976" spans="1:147" x14ac:dyDescent="0.25">
      <c r="A976" s="59"/>
      <c r="B976" s="32"/>
      <c r="C976" s="5"/>
      <c r="D976" s="6"/>
      <c r="E976" s="6"/>
      <c r="F976" s="6"/>
      <c r="G976" s="5"/>
      <c r="H976" s="37"/>
      <c r="I976" s="36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227"/>
      <c r="Z976" s="228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4"/>
      <c r="AP976" s="7"/>
      <c r="AQ976" s="74"/>
      <c r="AR976" s="70"/>
      <c r="AS976" s="70"/>
      <c r="AT976" s="70"/>
      <c r="AU976" s="7"/>
      <c r="AV976" s="70"/>
      <c r="AW976" s="7"/>
      <c r="AX976" s="183"/>
      <c r="AY976" s="10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101"/>
      <c r="CL976" s="74"/>
      <c r="CM976" s="74"/>
      <c r="CN976" s="74"/>
      <c r="CO976" s="70"/>
      <c r="CP976" s="74"/>
      <c r="CQ976" s="7"/>
      <c r="CR976" s="74"/>
      <c r="CS976" s="74"/>
      <c r="CT976" s="74"/>
      <c r="CU976" s="74"/>
      <c r="CV976" s="74"/>
      <c r="CW976" s="7"/>
      <c r="CX976" s="7"/>
      <c r="CY976" s="7"/>
      <c r="CZ976" s="7"/>
      <c r="DA976" s="7"/>
      <c r="DB976" s="7"/>
      <c r="DC976" s="7"/>
      <c r="DD976" s="7"/>
      <c r="DE976" s="74"/>
      <c r="DF976" s="74"/>
      <c r="DG976" s="74"/>
      <c r="DH976" s="74"/>
      <c r="DI976" s="74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8">
        <f t="shared" si="249"/>
        <v>0</v>
      </c>
      <c r="EA976" s="3">
        <f t="shared" si="250"/>
        <v>0</v>
      </c>
      <c r="EB976" s="2">
        <f t="shared" si="251"/>
        <v>0</v>
      </c>
      <c r="EC976" s="112">
        <f t="shared" si="260"/>
        <v>0</v>
      </c>
      <c r="ED976" s="29">
        <f t="shared" si="252"/>
        <v>0</v>
      </c>
      <c r="EE976" s="2">
        <f t="shared" si="253"/>
        <v>0</v>
      </c>
      <c r="EF976" s="46">
        <f t="shared" si="254"/>
        <v>0</v>
      </c>
      <c r="EG976" s="46">
        <f t="shared" si="255"/>
        <v>0</v>
      </c>
      <c r="EH976" s="2">
        <f t="shared" si="256"/>
        <v>0</v>
      </c>
      <c r="EI976" s="29">
        <f>IF(COUNT(I976:AD976)&lt;5,DZ976,SUMPRODUCT(LARGE(I976:AD976,{1,2,3,4,5}))/5)</f>
        <v>0</v>
      </c>
      <c r="EJ976" s="29">
        <f>IF(COUNT(I976:BE976)&lt;5,DZ976,SUMPRODUCT(LARGE(I976:BE976,{1,2,3,4,5}))/5)</f>
        <v>0</v>
      </c>
      <c r="EK976" s="29">
        <f t="shared" si="259"/>
        <v>0</v>
      </c>
      <c r="EL976" s="29">
        <f t="shared" si="261"/>
        <v>0</v>
      </c>
      <c r="EM976" s="116">
        <f t="shared" si="258"/>
        <v>0</v>
      </c>
      <c r="EQ976"/>
    </row>
    <row r="977" spans="1:147" x14ac:dyDescent="0.25">
      <c r="A977" s="59"/>
      <c r="B977" s="32"/>
      <c r="C977" s="5"/>
      <c r="D977" s="6"/>
      <c r="E977" s="6"/>
      <c r="F977" s="6"/>
      <c r="G977" s="5"/>
      <c r="H977" s="37"/>
      <c r="I977" s="36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227"/>
      <c r="Z977" s="228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4"/>
      <c r="AP977" s="7"/>
      <c r="AQ977" s="74"/>
      <c r="AR977" s="70"/>
      <c r="AS977" s="70"/>
      <c r="AT977" s="70"/>
      <c r="AU977" s="7"/>
      <c r="AV977" s="70"/>
      <c r="AW977" s="7"/>
      <c r="AX977" s="8"/>
      <c r="AY977" s="36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101"/>
      <c r="CL977" s="74"/>
      <c r="CM977" s="74"/>
      <c r="CN977" s="74"/>
      <c r="CO977" s="70"/>
      <c r="CP977" s="74"/>
      <c r="CQ977" s="7"/>
      <c r="CR977" s="74"/>
      <c r="CS977" s="74"/>
      <c r="CT977" s="74"/>
      <c r="CU977" s="74"/>
      <c r="CV977" s="74"/>
      <c r="CW977" s="7"/>
      <c r="CX977" s="7"/>
      <c r="CY977" s="7"/>
      <c r="CZ977" s="7"/>
      <c r="DA977" s="7"/>
      <c r="DB977" s="7"/>
      <c r="DC977" s="7"/>
      <c r="DD977" s="7"/>
      <c r="DE977" s="74"/>
      <c r="DF977" s="74"/>
      <c r="DG977" s="74"/>
      <c r="DH977" s="74"/>
      <c r="DI977" s="74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8">
        <f t="shared" si="249"/>
        <v>0</v>
      </c>
      <c r="EA977" s="3">
        <f t="shared" si="250"/>
        <v>0</v>
      </c>
      <c r="EB977" s="2">
        <f t="shared" si="251"/>
        <v>0</v>
      </c>
      <c r="EC977" s="112">
        <f t="shared" si="260"/>
        <v>0</v>
      </c>
      <c r="ED977" s="29">
        <f t="shared" si="252"/>
        <v>0</v>
      </c>
      <c r="EE977" s="2">
        <f t="shared" si="253"/>
        <v>0</v>
      </c>
      <c r="EF977" s="46">
        <f t="shared" si="254"/>
        <v>0</v>
      </c>
      <c r="EG977" s="46">
        <f t="shared" si="255"/>
        <v>0</v>
      </c>
      <c r="EH977" s="2">
        <f t="shared" si="256"/>
        <v>0</v>
      </c>
      <c r="EI977" s="29">
        <f>IF(COUNT(I977:AD977)&lt;5,DZ977,SUMPRODUCT(LARGE(I977:AD977,{1,2,3,4,5}))/5)</f>
        <v>0</v>
      </c>
      <c r="EJ977" s="29">
        <f>IF(COUNT(I977:BE977)&lt;5,DZ977,SUMPRODUCT(LARGE(I977:BE977,{1,2,3,4,5}))/5)</f>
        <v>0</v>
      </c>
      <c r="EK977" s="29">
        <f t="shared" si="259"/>
        <v>0</v>
      </c>
      <c r="EL977" s="29">
        <f t="shared" si="261"/>
        <v>0</v>
      </c>
      <c r="EM977" s="116">
        <f t="shared" si="258"/>
        <v>0</v>
      </c>
      <c r="EQ977"/>
    </row>
    <row r="978" spans="1:147" x14ac:dyDescent="0.25">
      <c r="A978" s="59"/>
      <c r="B978" s="32"/>
      <c r="C978" s="5"/>
      <c r="D978" s="6"/>
      <c r="E978" s="6"/>
      <c r="F978" s="6"/>
      <c r="G978" s="5"/>
      <c r="H978" s="99"/>
      <c r="I978" s="36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227"/>
      <c r="Z978" s="228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4"/>
      <c r="AP978" s="7"/>
      <c r="AQ978" s="74"/>
      <c r="AR978" s="70"/>
      <c r="AS978" s="70"/>
      <c r="AT978" s="70"/>
      <c r="AU978" s="7"/>
      <c r="AV978" s="70"/>
      <c r="AW978" s="7"/>
      <c r="AX978" s="8"/>
      <c r="AY978" s="36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4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101"/>
      <c r="CL978" s="74"/>
      <c r="CM978" s="74"/>
      <c r="CN978" s="74"/>
      <c r="CO978" s="70"/>
      <c r="CP978" s="74"/>
      <c r="CQ978" s="7"/>
      <c r="CR978" s="74"/>
      <c r="CS978" s="74"/>
      <c r="CT978" s="74"/>
      <c r="CU978" s="74"/>
      <c r="CV978" s="7"/>
      <c r="CW978" s="7"/>
      <c r="CX978" s="7"/>
      <c r="CY978" s="7"/>
      <c r="CZ978" s="7"/>
      <c r="DA978" s="7"/>
      <c r="DB978" s="7"/>
      <c r="DC978" s="7"/>
      <c r="DD978" s="7"/>
      <c r="DE978" s="74"/>
      <c r="DF978" s="74"/>
      <c r="DG978" s="74"/>
      <c r="DH978" s="7"/>
      <c r="DI978" s="74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8">
        <f t="shared" si="249"/>
        <v>0</v>
      </c>
      <c r="EA978" s="3">
        <f t="shared" si="250"/>
        <v>0</v>
      </c>
      <c r="EB978" s="2">
        <f t="shared" si="251"/>
        <v>0</v>
      </c>
      <c r="EC978" s="112">
        <f t="shared" si="260"/>
        <v>0</v>
      </c>
      <c r="ED978" s="29">
        <f t="shared" si="252"/>
        <v>0</v>
      </c>
      <c r="EE978" s="2">
        <f t="shared" si="253"/>
        <v>0</v>
      </c>
      <c r="EF978" s="46">
        <f t="shared" si="254"/>
        <v>0</v>
      </c>
      <c r="EG978" s="46">
        <f t="shared" si="255"/>
        <v>0</v>
      </c>
      <c r="EH978" s="2">
        <f t="shared" si="256"/>
        <v>0</v>
      </c>
      <c r="EI978" s="29">
        <f>IF(COUNT(I978:AD978)&lt;5,DZ978,SUMPRODUCT(LARGE(I978:AD978,{1,2,3,4,5}))/5)</f>
        <v>0</v>
      </c>
      <c r="EJ978" s="29">
        <f>IF(COUNT(I978:BE978)&lt;5,DZ978,SUMPRODUCT(LARGE(I978:BE978,{1,2,3,4,5}))/5)</f>
        <v>0</v>
      </c>
      <c r="EK978" s="29">
        <f t="shared" si="259"/>
        <v>0</v>
      </c>
      <c r="EL978" s="29">
        <f t="shared" si="261"/>
        <v>0</v>
      </c>
      <c r="EM978" s="116">
        <f t="shared" si="258"/>
        <v>0</v>
      </c>
      <c r="EQ978"/>
    </row>
    <row r="979" spans="1:147" x14ac:dyDescent="0.25">
      <c r="A979" s="59"/>
      <c r="B979" s="4"/>
      <c r="C979" s="5"/>
      <c r="D979" s="5"/>
      <c r="E979" s="6"/>
      <c r="F979" s="6"/>
      <c r="G979" s="5"/>
      <c r="H979" s="99"/>
      <c r="I979" s="36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227"/>
      <c r="Z979" s="228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4"/>
      <c r="AP979" s="7"/>
      <c r="AQ979" s="74"/>
      <c r="AR979" s="70"/>
      <c r="AS979" s="70"/>
      <c r="AT979" s="70"/>
      <c r="AU979" s="7"/>
      <c r="AV979" s="70"/>
      <c r="AW979" s="7"/>
      <c r="AX979" s="8"/>
      <c r="AY979" s="36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101"/>
      <c r="CL979" s="74"/>
      <c r="CM979" s="74"/>
      <c r="CN979" s="74"/>
      <c r="CO979" s="70"/>
      <c r="CP979" s="74"/>
      <c r="CQ979" s="7"/>
      <c r="CR979" s="74"/>
      <c r="CS979" s="74"/>
      <c r="CT979" s="74"/>
      <c r="CU979" s="74"/>
      <c r="CV979" s="74"/>
      <c r="CW979" s="7"/>
      <c r="CX979" s="7"/>
      <c r="CY979" s="7"/>
      <c r="CZ979" s="7"/>
      <c r="DA979" s="7"/>
      <c r="DB979" s="7"/>
      <c r="DC979" s="7"/>
      <c r="DD979" s="7"/>
      <c r="DE979" s="74"/>
      <c r="DF979" s="74"/>
      <c r="DG979" s="74"/>
      <c r="DH979" s="74"/>
      <c r="DI979" s="74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8">
        <f t="shared" si="249"/>
        <v>0</v>
      </c>
      <c r="EA979" s="3">
        <f t="shared" si="250"/>
        <v>0</v>
      </c>
      <c r="EB979" s="2">
        <f t="shared" si="251"/>
        <v>0</v>
      </c>
      <c r="EC979" s="112">
        <f t="shared" si="260"/>
        <v>0</v>
      </c>
      <c r="ED979" s="29">
        <f t="shared" si="252"/>
        <v>0</v>
      </c>
      <c r="EE979" s="2">
        <f t="shared" si="253"/>
        <v>0</v>
      </c>
      <c r="EF979" s="46">
        <f t="shared" si="254"/>
        <v>0</v>
      </c>
      <c r="EG979" s="46">
        <f t="shared" si="255"/>
        <v>0</v>
      </c>
      <c r="EH979" s="2">
        <f t="shared" si="256"/>
        <v>0</v>
      </c>
      <c r="EI979" s="29">
        <f>IF(COUNT(I979:AD979)&lt;5,DZ979,SUMPRODUCT(LARGE(I979:AD979,{1,2,3,4,5}))/5)</f>
        <v>0</v>
      </c>
      <c r="EJ979" s="29">
        <f>IF(COUNT(I979:BE979)&lt;5,DZ979,SUMPRODUCT(LARGE(I979:BE979,{1,2,3,4,5}))/5)</f>
        <v>0</v>
      </c>
      <c r="EK979" s="29">
        <f t="shared" si="259"/>
        <v>0</v>
      </c>
      <c r="EL979" s="29">
        <f t="shared" si="261"/>
        <v>0</v>
      </c>
      <c r="EM979" s="116">
        <f t="shared" si="258"/>
        <v>0</v>
      </c>
      <c r="EQ979"/>
    </row>
    <row r="980" spans="1:147" x14ac:dyDescent="0.25">
      <c r="A980" s="59"/>
      <c r="B980" s="32"/>
      <c r="C980" s="5"/>
      <c r="D980" s="6"/>
      <c r="E980" s="6"/>
      <c r="F980" s="6"/>
      <c r="G980" s="5"/>
      <c r="H980" s="37"/>
      <c r="I980" s="36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227"/>
      <c r="Z980" s="228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4"/>
      <c r="AP980" s="7"/>
      <c r="AQ980" s="74"/>
      <c r="AR980" s="70"/>
      <c r="AS980" s="70"/>
      <c r="AT980" s="70"/>
      <c r="AU980" s="7"/>
      <c r="AV980" s="70"/>
      <c r="AW980" s="7"/>
      <c r="AX980" s="8"/>
      <c r="AY980" s="36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4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101"/>
      <c r="CL980" s="74"/>
      <c r="CM980" s="74"/>
      <c r="CN980" s="74"/>
      <c r="CO980" s="70"/>
      <c r="CP980" s="74"/>
      <c r="CQ980" s="7"/>
      <c r="CR980" s="74"/>
      <c r="CS980" s="74"/>
      <c r="CT980" s="74"/>
      <c r="CU980" s="74"/>
      <c r="CV980" s="74"/>
      <c r="CW980" s="7"/>
      <c r="CX980" s="7"/>
      <c r="CY980" s="7"/>
      <c r="CZ980" s="7"/>
      <c r="DA980" s="7"/>
      <c r="DB980" s="7"/>
      <c r="DC980" s="7"/>
      <c r="DD980" s="7"/>
      <c r="DE980" s="74"/>
      <c r="DF980" s="74"/>
      <c r="DG980" s="74"/>
      <c r="DH980" s="74"/>
      <c r="DI980" s="74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8">
        <f t="shared" si="249"/>
        <v>0</v>
      </c>
      <c r="EA980" s="3">
        <f t="shared" si="250"/>
        <v>0</v>
      </c>
      <c r="EB980" s="2">
        <f t="shared" si="251"/>
        <v>0</v>
      </c>
      <c r="EC980" s="112">
        <f t="shared" si="260"/>
        <v>0</v>
      </c>
      <c r="ED980" s="29">
        <f t="shared" si="252"/>
        <v>0</v>
      </c>
      <c r="EE980" s="2">
        <f t="shared" si="253"/>
        <v>0</v>
      </c>
      <c r="EF980" s="46">
        <f t="shared" si="254"/>
        <v>0</v>
      </c>
      <c r="EG980" s="46">
        <f t="shared" si="255"/>
        <v>0</v>
      </c>
      <c r="EH980" s="2">
        <f t="shared" si="256"/>
        <v>0</v>
      </c>
      <c r="EI980" s="29">
        <f>IF(COUNT(I980:AD980)&lt;5,DZ980,SUMPRODUCT(LARGE(I980:AD980,{1,2,3,4,5}))/5)</f>
        <v>0</v>
      </c>
      <c r="EJ980" s="29">
        <f>IF(COUNT(I980:BE980)&lt;5,DZ980,SUMPRODUCT(LARGE(I980:BE980,{1,2,3,4,5}))/5)</f>
        <v>0</v>
      </c>
      <c r="EK980" s="29">
        <f t="shared" si="259"/>
        <v>0</v>
      </c>
      <c r="EL980" s="29">
        <f t="shared" si="261"/>
        <v>0</v>
      </c>
      <c r="EM980" s="116">
        <f t="shared" si="258"/>
        <v>0</v>
      </c>
      <c r="EQ980"/>
    </row>
    <row r="981" spans="1:147" x14ac:dyDescent="0.25">
      <c r="A981" s="59"/>
      <c r="B981" s="4"/>
      <c r="C981" s="5"/>
      <c r="D981" s="5"/>
      <c r="E981" s="6"/>
      <c r="F981" s="6"/>
      <c r="G981" s="5"/>
      <c r="H981" s="37"/>
      <c r="I981" s="36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227"/>
      <c r="Z981" s="228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4"/>
      <c r="AP981" s="7"/>
      <c r="AQ981" s="74"/>
      <c r="AR981" s="70"/>
      <c r="AS981" s="70"/>
      <c r="AT981" s="70"/>
      <c r="AU981" s="7"/>
      <c r="AV981" s="70"/>
      <c r="AW981" s="7"/>
      <c r="AX981" s="8"/>
      <c r="AY981" s="36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4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101"/>
      <c r="CL981" s="74"/>
      <c r="CM981" s="74"/>
      <c r="CN981" s="74"/>
      <c r="CO981" s="70"/>
      <c r="CP981" s="101"/>
      <c r="CQ981" s="7"/>
      <c r="CR981" s="74"/>
      <c r="CS981" s="74"/>
      <c r="CT981" s="74"/>
      <c r="CU981" s="74"/>
      <c r="CV981" s="74"/>
      <c r="CW981" s="7"/>
      <c r="CX981" s="7"/>
      <c r="CY981" s="7"/>
      <c r="CZ981" s="7"/>
      <c r="DA981" s="7"/>
      <c r="DB981" s="7"/>
      <c r="DC981" s="7"/>
      <c r="DD981" s="7"/>
      <c r="DE981" s="74"/>
      <c r="DF981" s="74"/>
      <c r="DG981" s="74"/>
      <c r="DH981" s="74"/>
      <c r="DI981" s="74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8">
        <f t="shared" si="249"/>
        <v>0</v>
      </c>
      <c r="EA981" s="3">
        <f t="shared" si="250"/>
        <v>0</v>
      </c>
      <c r="EB981" s="2">
        <f t="shared" si="251"/>
        <v>0</v>
      </c>
      <c r="EC981" s="112">
        <f t="shared" si="260"/>
        <v>0</v>
      </c>
      <c r="ED981" s="29">
        <f t="shared" si="252"/>
        <v>0</v>
      </c>
      <c r="EE981" s="2">
        <f t="shared" si="253"/>
        <v>0</v>
      </c>
      <c r="EF981" s="46">
        <f t="shared" si="254"/>
        <v>0</v>
      </c>
      <c r="EG981" s="46">
        <f t="shared" si="255"/>
        <v>0</v>
      </c>
      <c r="EH981" s="2">
        <f t="shared" si="256"/>
        <v>0</v>
      </c>
      <c r="EI981" s="29">
        <f>IF(COUNT(I981:AD981)&lt;5,DZ981,SUMPRODUCT(LARGE(I981:AD981,{1,2,3,4,5}))/5)</f>
        <v>0</v>
      </c>
      <c r="EJ981" s="29">
        <f>IF(COUNT(I981:BE981)&lt;5,DZ981,SUMPRODUCT(LARGE(I981:BE981,{1,2,3,4,5}))/5)</f>
        <v>0</v>
      </c>
      <c r="EK981" s="29">
        <f t="shared" si="259"/>
        <v>0</v>
      </c>
      <c r="EL981" s="29">
        <f t="shared" si="261"/>
        <v>0</v>
      </c>
      <c r="EM981" s="116">
        <f t="shared" si="258"/>
        <v>0</v>
      </c>
      <c r="EQ981"/>
    </row>
    <row r="982" spans="1:147" x14ac:dyDescent="0.25">
      <c r="A982" s="59"/>
      <c r="B982" s="32"/>
      <c r="C982" s="5"/>
      <c r="D982" s="6"/>
      <c r="E982" s="6"/>
      <c r="F982" s="6"/>
      <c r="G982" s="5"/>
      <c r="H982" s="37"/>
      <c r="I982" s="10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227"/>
      <c r="Z982" s="228"/>
      <c r="AA982" s="7"/>
      <c r="AB982" s="7"/>
      <c r="AC982" s="7"/>
      <c r="AD982" s="74"/>
      <c r="AE982" s="74"/>
      <c r="AF982" s="7"/>
      <c r="AG982" s="7"/>
      <c r="AH982" s="7"/>
      <c r="AI982" s="7"/>
      <c r="AJ982" s="7"/>
      <c r="AK982" s="7"/>
      <c r="AL982" s="7"/>
      <c r="AM982" s="7"/>
      <c r="AN982" s="7"/>
      <c r="AO982" s="74"/>
      <c r="AP982" s="7"/>
      <c r="AQ982" s="74"/>
      <c r="AR982" s="70"/>
      <c r="AS982" s="70"/>
      <c r="AT982" s="70"/>
      <c r="AU982" s="7"/>
      <c r="AV982" s="70"/>
      <c r="AW982" s="7"/>
      <c r="AX982" s="8"/>
      <c r="AY982" s="36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101"/>
      <c r="CL982" s="74"/>
      <c r="CM982" s="74"/>
      <c r="CN982" s="74"/>
      <c r="CO982" s="70"/>
      <c r="CP982" s="101"/>
      <c r="CQ982" s="7"/>
      <c r="CR982" s="74"/>
      <c r="CS982" s="74"/>
      <c r="CT982" s="74"/>
      <c r="CU982" s="74"/>
      <c r="CV982" s="74"/>
      <c r="CW982" s="7"/>
      <c r="CX982" s="7"/>
      <c r="CY982" s="7"/>
      <c r="CZ982" s="74"/>
      <c r="DA982" s="7"/>
      <c r="DB982" s="7"/>
      <c r="DC982" s="7"/>
      <c r="DD982" s="7"/>
      <c r="DE982" s="74"/>
      <c r="DF982" s="74"/>
      <c r="DG982" s="74"/>
      <c r="DH982" s="74"/>
      <c r="DI982" s="74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8">
        <f t="shared" si="249"/>
        <v>0</v>
      </c>
      <c r="EA982" s="22">
        <f t="shared" si="250"/>
        <v>0</v>
      </c>
      <c r="EB982" s="56">
        <f t="shared" si="251"/>
        <v>0</v>
      </c>
      <c r="EC982" s="112">
        <f t="shared" si="260"/>
        <v>0</v>
      </c>
      <c r="ED982" s="112">
        <f t="shared" si="252"/>
        <v>0</v>
      </c>
      <c r="EE982" s="56">
        <f t="shared" si="253"/>
        <v>0</v>
      </c>
      <c r="EF982" s="111">
        <f t="shared" si="254"/>
        <v>0</v>
      </c>
      <c r="EG982" s="111">
        <f t="shared" si="255"/>
        <v>0</v>
      </c>
      <c r="EH982" s="56">
        <f t="shared" si="256"/>
        <v>0</v>
      </c>
      <c r="EI982" s="112">
        <f>IF(COUNT(I982:AD982)&lt;5,DZ982,SUMPRODUCT(LARGE(I982:AD982,{1,2,3,4,5}))/5)</f>
        <v>0</v>
      </c>
      <c r="EJ982" s="112">
        <f>IF(COUNT(I982:BE982)&lt;5,DZ982,SUMPRODUCT(LARGE(I982:BE982,{1,2,3,4,5}))/5)</f>
        <v>0</v>
      </c>
      <c r="EK982" s="29">
        <f t="shared" si="259"/>
        <v>0</v>
      </c>
      <c r="EL982" s="112">
        <f>(EK982*100)/101.59</f>
        <v>0</v>
      </c>
      <c r="EM982" s="163">
        <f t="shared" si="258"/>
        <v>0</v>
      </c>
      <c r="EQ982"/>
    </row>
    <row r="983" spans="1:147" x14ac:dyDescent="0.25">
      <c r="A983" s="59"/>
      <c r="B983" s="32"/>
      <c r="C983" s="5"/>
      <c r="D983" s="6"/>
      <c r="E983" s="6"/>
      <c r="F983" s="6"/>
      <c r="G983" s="5"/>
      <c r="H983" s="99"/>
      <c r="I983" s="36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227"/>
      <c r="Z983" s="228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4"/>
      <c r="AP983" s="7"/>
      <c r="AQ983" s="74"/>
      <c r="AR983" s="70"/>
      <c r="AS983" s="70"/>
      <c r="AT983" s="70"/>
      <c r="AU983" s="7"/>
      <c r="AV983" s="70"/>
      <c r="AW983" s="7"/>
      <c r="AX983" s="8"/>
      <c r="AY983" s="36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4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101"/>
      <c r="CL983" s="74"/>
      <c r="CM983" s="74"/>
      <c r="CN983" s="74"/>
      <c r="CO983" s="70"/>
      <c r="CP983" s="101"/>
      <c r="CQ983" s="7"/>
      <c r="CR983" s="74"/>
      <c r="CS983" s="74"/>
      <c r="CT983" s="74"/>
      <c r="CU983" s="74"/>
      <c r="CV983" s="74"/>
      <c r="CW983" s="7"/>
      <c r="CX983" s="7"/>
      <c r="CY983" s="7"/>
      <c r="CZ983" s="7"/>
      <c r="DA983" s="7"/>
      <c r="DB983" s="7"/>
      <c r="DC983" s="7"/>
      <c r="DD983" s="7"/>
      <c r="DE983" s="74"/>
      <c r="DF983" s="74"/>
      <c r="DG983" s="74"/>
      <c r="DH983" s="74"/>
      <c r="DI983" s="74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8">
        <f t="shared" si="249"/>
        <v>0</v>
      </c>
      <c r="EA983" s="3">
        <f t="shared" si="250"/>
        <v>0</v>
      </c>
      <c r="EB983" s="2">
        <f t="shared" si="251"/>
        <v>0</v>
      </c>
      <c r="EC983" s="112">
        <f t="shared" si="260"/>
        <v>0</v>
      </c>
      <c r="ED983" s="29">
        <f t="shared" si="252"/>
        <v>0</v>
      </c>
      <c r="EE983" s="2">
        <f t="shared" si="253"/>
        <v>0</v>
      </c>
      <c r="EF983" s="46">
        <f t="shared" si="254"/>
        <v>0</v>
      </c>
      <c r="EG983" s="46">
        <f t="shared" si="255"/>
        <v>0</v>
      </c>
      <c r="EH983" s="2">
        <f t="shared" si="256"/>
        <v>0</v>
      </c>
      <c r="EI983" s="29">
        <f>IF(COUNT(I983:AD983)&lt;5,DZ983,SUMPRODUCT(LARGE(I983:AD983,{1,2,3,4,5}))/5)</f>
        <v>0</v>
      </c>
      <c r="EJ983" s="29">
        <f>IF(COUNT(I983:BE983)&lt;5,DZ983,SUMPRODUCT(LARGE(I983:BE983,{1,2,3,4,5}))/5)</f>
        <v>0</v>
      </c>
      <c r="EK983" s="29">
        <f t="shared" si="259"/>
        <v>0</v>
      </c>
      <c r="EL983" s="29">
        <f t="shared" ref="EL983:EL993" si="262">(EK983*100)/101.28</f>
        <v>0</v>
      </c>
      <c r="EM983" s="116">
        <f t="shared" si="258"/>
        <v>0</v>
      </c>
      <c r="EQ983"/>
    </row>
    <row r="984" spans="1:147" x14ac:dyDescent="0.25">
      <c r="A984" s="59"/>
      <c r="B984" s="32"/>
      <c r="C984" s="5"/>
      <c r="D984" s="6"/>
      <c r="E984" s="6"/>
      <c r="F984" s="6"/>
      <c r="G984" s="5"/>
      <c r="H984" s="37"/>
      <c r="I984" s="36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227"/>
      <c r="Z984" s="228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4"/>
      <c r="AP984" s="7"/>
      <c r="AQ984" s="74"/>
      <c r="AR984" s="70"/>
      <c r="AS984" s="70"/>
      <c r="AT984" s="70"/>
      <c r="AU984" s="7"/>
      <c r="AV984" s="70"/>
      <c r="AW984" s="7"/>
      <c r="AX984" s="8"/>
      <c r="AY984" s="36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4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101"/>
      <c r="CL984" s="74"/>
      <c r="CM984" s="74"/>
      <c r="CN984" s="74"/>
      <c r="CO984" s="70"/>
      <c r="CP984" s="101"/>
      <c r="CQ984" s="7"/>
      <c r="CR984" s="74"/>
      <c r="CS984" s="74"/>
      <c r="CT984" s="74"/>
      <c r="CU984" s="74"/>
      <c r="CV984" s="74"/>
      <c r="CW984" s="7"/>
      <c r="CX984" s="7"/>
      <c r="CY984" s="7"/>
      <c r="CZ984" s="7"/>
      <c r="DA984" s="7"/>
      <c r="DB984" s="7"/>
      <c r="DC984" s="7"/>
      <c r="DD984" s="7"/>
      <c r="DE984" s="74"/>
      <c r="DF984" s="74"/>
      <c r="DG984" s="74"/>
      <c r="DH984" s="74"/>
      <c r="DI984" s="74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8">
        <f t="shared" si="249"/>
        <v>0</v>
      </c>
      <c r="EA984" s="3">
        <f t="shared" si="250"/>
        <v>0</v>
      </c>
      <c r="EB984" s="2">
        <f t="shared" si="251"/>
        <v>0</v>
      </c>
      <c r="EC984" s="112">
        <f t="shared" si="260"/>
        <v>0</v>
      </c>
      <c r="ED984" s="29">
        <f t="shared" si="252"/>
        <v>0</v>
      </c>
      <c r="EE984" s="2">
        <f t="shared" si="253"/>
        <v>0</v>
      </c>
      <c r="EF984" s="46">
        <f t="shared" si="254"/>
        <v>0</v>
      </c>
      <c r="EG984" s="46">
        <f t="shared" si="255"/>
        <v>0</v>
      </c>
      <c r="EH984" s="2">
        <f t="shared" si="256"/>
        <v>0</v>
      </c>
      <c r="EI984" s="29">
        <f>IF(COUNT(I984:AD984)&lt;5,DZ984,SUMPRODUCT(LARGE(I984:AD984,{1,2,3,4,5}))/5)</f>
        <v>0</v>
      </c>
      <c r="EJ984" s="29">
        <f>IF(COUNT(I984:BE984)&lt;5,DZ984,SUMPRODUCT(LARGE(I984:BE984,{1,2,3,4,5}))/5)</f>
        <v>0</v>
      </c>
      <c r="EK984" s="29">
        <f t="shared" si="259"/>
        <v>0</v>
      </c>
      <c r="EL984" s="29">
        <f t="shared" si="262"/>
        <v>0</v>
      </c>
      <c r="EM984" s="116">
        <f t="shared" si="258"/>
        <v>0</v>
      </c>
      <c r="EQ984"/>
    </row>
    <row r="985" spans="1:147" x14ac:dyDescent="0.25">
      <c r="A985" s="59"/>
      <c r="B985" s="32"/>
      <c r="C985" s="5"/>
      <c r="D985" s="6"/>
      <c r="E985" s="6"/>
      <c r="F985" s="6"/>
      <c r="G985" s="5"/>
      <c r="H985" s="37"/>
      <c r="I985" s="36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227"/>
      <c r="Z985" s="228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4"/>
      <c r="AP985" s="7"/>
      <c r="AQ985" s="74"/>
      <c r="AR985" s="70"/>
      <c r="AS985" s="70"/>
      <c r="AT985" s="70"/>
      <c r="AU985" s="7"/>
      <c r="AV985" s="70"/>
      <c r="AW985" s="7"/>
      <c r="AX985" s="8"/>
      <c r="AY985" s="36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4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101"/>
      <c r="CL985" s="74"/>
      <c r="CM985" s="74"/>
      <c r="CN985" s="74"/>
      <c r="CO985" s="70"/>
      <c r="CP985" s="101"/>
      <c r="CQ985" s="7"/>
      <c r="CR985" s="74"/>
      <c r="CS985" s="74"/>
      <c r="CT985" s="74"/>
      <c r="CU985" s="74"/>
      <c r="CV985" s="74"/>
      <c r="CW985" s="7"/>
      <c r="CX985" s="7"/>
      <c r="CY985" s="7"/>
      <c r="CZ985" s="7"/>
      <c r="DA985" s="7"/>
      <c r="DB985" s="7"/>
      <c r="DC985" s="7"/>
      <c r="DD985" s="7"/>
      <c r="DE985" s="74"/>
      <c r="DF985" s="74"/>
      <c r="DG985" s="74"/>
      <c r="DH985" s="74"/>
      <c r="DI985" s="74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8">
        <f t="shared" si="249"/>
        <v>0</v>
      </c>
      <c r="EA985" s="3">
        <f t="shared" si="250"/>
        <v>0</v>
      </c>
      <c r="EB985" s="2">
        <f t="shared" si="251"/>
        <v>0</v>
      </c>
      <c r="EC985" s="112">
        <f t="shared" si="260"/>
        <v>0</v>
      </c>
      <c r="ED985" s="29">
        <f t="shared" si="252"/>
        <v>0</v>
      </c>
      <c r="EE985" s="2">
        <f t="shared" si="253"/>
        <v>0</v>
      </c>
      <c r="EF985" s="46">
        <f t="shared" si="254"/>
        <v>0</v>
      </c>
      <c r="EG985" s="46">
        <f t="shared" si="255"/>
        <v>0</v>
      </c>
      <c r="EH985" s="2">
        <f t="shared" si="256"/>
        <v>0</v>
      </c>
      <c r="EI985" s="29">
        <f>IF(COUNT(I985:AD985)&lt;5,DZ985,SUMPRODUCT(LARGE(I985:AD985,{1,2,3,4,5}))/5)</f>
        <v>0</v>
      </c>
      <c r="EJ985" s="29">
        <f>IF(COUNT(I985:BE985)&lt;5,DZ985,SUMPRODUCT(LARGE(I985:BE985,{1,2,3,4,5}))/5)</f>
        <v>0</v>
      </c>
      <c r="EK985" s="29">
        <f t="shared" si="259"/>
        <v>0</v>
      </c>
      <c r="EL985" s="29">
        <f t="shared" si="262"/>
        <v>0</v>
      </c>
      <c r="EM985" s="116">
        <f t="shared" si="258"/>
        <v>0</v>
      </c>
      <c r="EQ985"/>
    </row>
    <row r="986" spans="1:147" x14ac:dyDescent="0.25">
      <c r="A986" s="59"/>
      <c r="B986" s="32"/>
      <c r="C986" s="5"/>
      <c r="D986" s="6"/>
      <c r="E986" s="6"/>
      <c r="F986" s="6"/>
      <c r="G986" s="5"/>
      <c r="H986" s="99"/>
      <c r="I986" s="36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227"/>
      <c r="Z986" s="228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4"/>
      <c r="AP986" s="7"/>
      <c r="AQ986" s="74"/>
      <c r="AR986" s="70"/>
      <c r="AS986" s="70"/>
      <c r="AT986" s="70"/>
      <c r="AU986" s="7"/>
      <c r="AV986" s="70"/>
      <c r="AW986" s="7"/>
      <c r="AX986" s="8"/>
      <c r="AY986" s="36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4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101"/>
      <c r="CL986" s="74"/>
      <c r="CM986" s="74"/>
      <c r="CN986" s="74"/>
      <c r="CO986" s="70"/>
      <c r="CP986" s="101"/>
      <c r="CQ986" s="7"/>
      <c r="CR986" s="74"/>
      <c r="CS986" s="74"/>
      <c r="CT986" s="74"/>
      <c r="CU986" s="74"/>
      <c r="CV986" s="74"/>
      <c r="CW986" s="7"/>
      <c r="CX986" s="7"/>
      <c r="CY986" s="7"/>
      <c r="CZ986" s="7"/>
      <c r="DA986" s="7"/>
      <c r="DB986" s="7"/>
      <c r="DC986" s="7"/>
      <c r="DD986" s="7"/>
      <c r="DE986" s="74"/>
      <c r="DF986" s="74"/>
      <c r="DG986" s="74"/>
      <c r="DH986" s="74"/>
      <c r="DI986" s="74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8">
        <f t="shared" si="249"/>
        <v>0</v>
      </c>
      <c r="EA986" s="3">
        <f t="shared" si="250"/>
        <v>0</v>
      </c>
      <c r="EB986" s="2">
        <f t="shared" si="251"/>
        <v>0</v>
      </c>
      <c r="EC986" s="112">
        <f t="shared" si="260"/>
        <v>0</v>
      </c>
      <c r="ED986" s="29">
        <f t="shared" si="252"/>
        <v>0</v>
      </c>
      <c r="EE986" s="2">
        <f t="shared" si="253"/>
        <v>0</v>
      </c>
      <c r="EF986" s="46">
        <f t="shared" si="254"/>
        <v>0</v>
      </c>
      <c r="EG986" s="46">
        <f t="shared" si="255"/>
        <v>0</v>
      </c>
      <c r="EH986" s="2">
        <f t="shared" si="256"/>
        <v>0</v>
      </c>
      <c r="EI986" s="29">
        <f>IF(COUNT(I986:AD986)&lt;5,DZ986,SUMPRODUCT(LARGE(I986:AD986,{1,2,3,4,5}))/5)</f>
        <v>0</v>
      </c>
      <c r="EJ986" s="29">
        <f>IF(COUNT(I986:BE986)&lt;5,DZ986,SUMPRODUCT(LARGE(I986:BE986,{1,2,3,4,5}))/5)</f>
        <v>0</v>
      </c>
      <c r="EK986" s="29">
        <f t="shared" si="259"/>
        <v>0</v>
      </c>
      <c r="EL986" s="29">
        <f t="shared" si="262"/>
        <v>0</v>
      </c>
      <c r="EM986" s="116">
        <f t="shared" si="258"/>
        <v>0</v>
      </c>
      <c r="EQ986"/>
    </row>
    <row r="987" spans="1:147" x14ac:dyDescent="0.25">
      <c r="A987" s="59"/>
      <c r="B987" s="54"/>
      <c r="C987" s="55"/>
      <c r="D987" s="55"/>
      <c r="E987" s="6"/>
      <c r="F987" s="6"/>
      <c r="G987" s="5"/>
      <c r="H987" s="99"/>
      <c r="I987" s="107"/>
      <c r="J987" s="7"/>
      <c r="K987" s="74"/>
      <c r="L987" s="7"/>
      <c r="M987" s="74"/>
      <c r="N987" s="74"/>
      <c r="O987" s="7"/>
      <c r="P987" s="74"/>
      <c r="Q987" s="7"/>
      <c r="R987" s="74"/>
      <c r="S987" s="74"/>
      <c r="T987" s="7"/>
      <c r="U987" s="7"/>
      <c r="V987" s="74"/>
      <c r="W987" s="7"/>
      <c r="X987" s="74"/>
      <c r="Y987" s="227"/>
      <c r="Z987" s="228"/>
      <c r="AA987" s="74"/>
      <c r="AB987" s="74"/>
      <c r="AC987" s="74"/>
      <c r="AD987" s="74"/>
      <c r="AE987" s="7"/>
      <c r="AF987" s="74"/>
      <c r="AG987" s="74"/>
      <c r="AH987" s="7"/>
      <c r="AI987" s="7"/>
      <c r="AJ987" s="7"/>
      <c r="AK987" s="7"/>
      <c r="AL987" s="7"/>
      <c r="AM987" s="7"/>
      <c r="AN987" s="7"/>
      <c r="AO987" s="74"/>
      <c r="AP987" s="7"/>
      <c r="AQ987" s="74"/>
      <c r="AR987" s="101"/>
      <c r="AS987" s="70"/>
      <c r="AT987" s="101"/>
      <c r="AU987" s="7"/>
      <c r="AV987" s="101"/>
      <c r="AW987" s="7"/>
      <c r="AX987" s="8"/>
      <c r="AY987" s="36"/>
      <c r="AZ987" s="74"/>
      <c r="BA987" s="74"/>
      <c r="BB987" s="74"/>
      <c r="BC987" s="74"/>
      <c r="BD987" s="74"/>
      <c r="BE987" s="74"/>
      <c r="BF987" s="74"/>
      <c r="BG987" s="74"/>
      <c r="BH987" s="74"/>
      <c r="BI987" s="74"/>
      <c r="BJ987" s="74"/>
      <c r="BK987" s="7"/>
      <c r="BL987" s="74"/>
      <c r="BM987" s="7"/>
      <c r="BN987" s="74"/>
      <c r="BO987" s="74"/>
      <c r="BP987" s="74"/>
      <c r="BQ987" s="74"/>
      <c r="BR987" s="74"/>
      <c r="BS987" s="74"/>
      <c r="BT987" s="74"/>
      <c r="BU987" s="74"/>
      <c r="BV987" s="74"/>
      <c r="BW987" s="74"/>
      <c r="BX987" s="74"/>
      <c r="BY987" s="74"/>
      <c r="BZ987" s="74"/>
      <c r="CA987" s="74"/>
      <c r="CB987" s="74"/>
      <c r="CC987" s="74"/>
      <c r="CD987" s="74"/>
      <c r="CE987" s="7"/>
      <c r="CF987" s="74"/>
      <c r="CG987" s="74"/>
      <c r="CH987" s="7"/>
      <c r="CI987" s="74"/>
      <c r="CJ987" s="74"/>
      <c r="CK987" s="101"/>
      <c r="CL987" s="74"/>
      <c r="CM987" s="74"/>
      <c r="CN987" s="74"/>
      <c r="CO987" s="101"/>
      <c r="CP987" s="101"/>
      <c r="CQ987" s="74"/>
      <c r="CR987" s="74"/>
      <c r="CS987" s="74"/>
      <c r="CT987" s="74"/>
      <c r="CU987" s="74"/>
      <c r="CV987" s="74"/>
      <c r="CW987" s="7"/>
      <c r="CX987" s="74"/>
      <c r="CY987" s="74"/>
      <c r="CZ987" s="74"/>
      <c r="DA987" s="74"/>
      <c r="DB987" s="74"/>
      <c r="DC987" s="74"/>
      <c r="DD987" s="74"/>
      <c r="DE987" s="74"/>
      <c r="DF987" s="74"/>
      <c r="DG987" s="74"/>
      <c r="DH987" s="74"/>
      <c r="DI987" s="74"/>
      <c r="DJ987" s="74"/>
      <c r="DK987" s="74"/>
      <c r="DL987" s="74"/>
      <c r="DM987" s="74"/>
      <c r="DN987" s="74"/>
      <c r="DO987" s="74"/>
      <c r="DP987" s="74"/>
      <c r="DQ987" s="74"/>
      <c r="DR987" s="74"/>
      <c r="DS987" s="74"/>
      <c r="DT987" s="74"/>
      <c r="DU987" s="74"/>
      <c r="DV987" s="74"/>
      <c r="DW987" s="74"/>
      <c r="DX987" s="74"/>
      <c r="DY987" s="74"/>
      <c r="DZ987" s="8">
        <f t="shared" si="249"/>
        <v>0</v>
      </c>
      <c r="EA987" s="3">
        <f t="shared" si="250"/>
        <v>0</v>
      </c>
      <c r="EB987" s="2">
        <f t="shared" si="251"/>
        <v>0</v>
      </c>
      <c r="EC987" s="112">
        <f t="shared" si="260"/>
        <v>0</v>
      </c>
      <c r="ED987" s="29">
        <f t="shared" si="252"/>
        <v>0</v>
      </c>
      <c r="EE987" s="2">
        <f t="shared" si="253"/>
        <v>0</v>
      </c>
      <c r="EF987" s="46">
        <f t="shared" si="254"/>
        <v>0</v>
      </c>
      <c r="EG987" s="46">
        <f t="shared" si="255"/>
        <v>0</v>
      </c>
      <c r="EH987" s="29">
        <f t="shared" si="256"/>
        <v>0</v>
      </c>
      <c r="EI987" s="29">
        <f>IF(COUNT(I987:AD987)&lt;5,DZ987,SUMPRODUCT(LARGE(I987:AD987,{1,2,3,4,5}))/5)</f>
        <v>0</v>
      </c>
      <c r="EJ987" s="29">
        <f>IF(COUNT(I987:BE987)&lt;5,DZ987,SUMPRODUCT(LARGE(I987:BE987,{1,2,3,4,5}))/5)</f>
        <v>0</v>
      </c>
      <c r="EK987" s="29">
        <f t="shared" si="259"/>
        <v>0</v>
      </c>
      <c r="EL987" s="29">
        <f t="shared" si="262"/>
        <v>0</v>
      </c>
      <c r="EM987" s="116">
        <f t="shared" si="258"/>
        <v>0</v>
      </c>
      <c r="EQ987"/>
    </row>
    <row r="988" spans="1:147" x14ac:dyDescent="0.25">
      <c r="A988" s="59"/>
      <c r="B988" s="32"/>
      <c r="C988" s="5"/>
      <c r="D988" s="6"/>
      <c r="E988" s="6"/>
      <c r="F988" s="6"/>
      <c r="G988" s="5"/>
      <c r="H988" s="37"/>
      <c r="I988" s="36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227"/>
      <c r="Z988" s="228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4"/>
      <c r="AP988" s="7"/>
      <c r="AQ988" s="74"/>
      <c r="AR988" s="70"/>
      <c r="AS988" s="70"/>
      <c r="AT988" s="70"/>
      <c r="AU988" s="7"/>
      <c r="AV988" s="70"/>
      <c r="AW988" s="7"/>
      <c r="AX988" s="8"/>
      <c r="AY988" s="36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4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101"/>
      <c r="CL988" s="74"/>
      <c r="CM988" s="74"/>
      <c r="CN988" s="74"/>
      <c r="CO988" s="70"/>
      <c r="CP988" s="101"/>
      <c r="CQ988" s="7"/>
      <c r="CR988" s="74"/>
      <c r="CS988" s="74"/>
      <c r="CT988" s="74"/>
      <c r="CU988" s="74"/>
      <c r="CV988" s="74"/>
      <c r="CW988" s="7"/>
      <c r="CX988" s="7"/>
      <c r="CY988" s="7"/>
      <c r="CZ988" s="7"/>
      <c r="DA988" s="7"/>
      <c r="DB988" s="7"/>
      <c r="DC988" s="7"/>
      <c r="DD988" s="7"/>
      <c r="DE988" s="74"/>
      <c r="DF988" s="74"/>
      <c r="DG988" s="74"/>
      <c r="DH988" s="74"/>
      <c r="DI988" s="74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8">
        <f t="shared" si="249"/>
        <v>0</v>
      </c>
      <c r="EA988" s="3">
        <f t="shared" si="250"/>
        <v>0</v>
      </c>
      <c r="EB988" s="2">
        <f t="shared" si="251"/>
        <v>0</v>
      </c>
      <c r="EC988" s="112">
        <f t="shared" si="260"/>
        <v>0</v>
      </c>
      <c r="ED988" s="29">
        <f t="shared" si="252"/>
        <v>0</v>
      </c>
      <c r="EE988" s="2">
        <f t="shared" si="253"/>
        <v>0</v>
      </c>
      <c r="EF988" s="46">
        <f t="shared" si="254"/>
        <v>0</v>
      </c>
      <c r="EG988" s="46">
        <f t="shared" si="255"/>
        <v>0</v>
      </c>
      <c r="EH988" s="2">
        <f t="shared" si="256"/>
        <v>0</v>
      </c>
      <c r="EI988" s="29">
        <f>IF(COUNT(I988:AD988)&lt;5,DZ988,SUMPRODUCT(LARGE(I988:AD988,{1,2,3,4,5}))/5)</f>
        <v>0</v>
      </c>
      <c r="EJ988" s="29">
        <f>IF(COUNT(I988:BE988)&lt;5,DZ988,SUMPRODUCT(LARGE(I988:BE988,{1,2,3,4,5}))/5)</f>
        <v>0</v>
      </c>
      <c r="EK988" s="29">
        <f t="shared" si="259"/>
        <v>0</v>
      </c>
      <c r="EL988" s="29">
        <f t="shared" si="262"/>
        <v>0</v>
      </c>
      <c r="EM988" s="116">
        <f t="shared" si="258"/>
        <v>0</v>
      </c>
      <c r="EQ988"/>
    </row>
    <row r="989" spans="1:147" x14ac:dyDescent="0.25">
      <c r="A989" s="59"/>
      <c r="B989" s="32"/>
      <c r="C989" s="5"/>
      <c r="D989" s="6"/>
      <c r="E989" s="6"/>
      <c r="F989" s="6"/>
      <c r="G989" s="5"/>
      <c r="H989" s="37"/>
      <c r="I989" s="36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227"/>
      <c r="Z989" s="228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4"/>
      <c r="AP989" s="7"/>
      <c r="AQ989" s="74"/>
      <c r="AR989" s="70"/>
      <c r="AS989" s="70"/>
      <c r="AT989" s="70"/>
      <c r="AU989" s="7"/>
      <c r="AV989" s="70"/>
      <c r="AW989" s="7"/>
      <c r="AX989" s="8"/>
      <c r="AY989" s="36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4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101"/>
      <c r="CL989" s="74"/>
      <c r="CM989" s="74"/>
      <c r="CN989" s="74"/>
      <c r="CO989" s="70"/>
      <c r="CP989" s="101"/>
      <c r="CQ989" s="7"/>
      <c r="CR989" s="74"/>
      <c r="CS989" s="74"/>
      <c r="CT989" s="74"/>
      <c r="CU989" s="74"/>
      <c r="CV989" s="74"/>
      <c r="CW989" s="7"/>
      <c r="CX989" s="7"/>
      <c r="CY989" s="7"/>
      <c r="CZ989" s="7"/>
      <c r="DA989" s="7"/>
      <c r="DB989" s="7"/>
      <c r="DC989" s="7"/>
      <c r="DD989" s="7"/>
      <c r="DE989" s="74"/>
      <c r="DF989" s="74"/>
      <c r="DG989" s="74"/>
      <c r="DH989" s="74"/>
      <c r="DI989" s="74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8">
        <f t="shared" si="249"/>
        <v>0</v>
      </c>
      <c r="EA989" s="3">
        <f t="shared" si="250"/>
        <v>0</v>
      </c>
      <c r="EB989" s="2">
        <f t="shared" si="251"/>
        <v>0</v>
      </c>
      <c r="EC989" s="112">
        <f t="shared" si="260"/>
        <v>0</v>
      </c>
      <c r="ED989" s="29">
        <f t="shared" si="252"/>
        <v>0</v>
      </c>
      <c r="EE989" s="2">
        <f t="shared" si="253"/>
        <v>0</v>
      </c>
      <c r="EF989" s="46">
        <f t="shared" si="254"/>
        <v>0</v>
      </c>
      <c r="EG989" s="46">
        <f t="shared" si="255"/>
        <v>0</v>
      </c>
      <c r="EH989" s="2">
        <f t="shared" si="256"/>
        <v>0</v>
      </c>
      <c r="EI989" s="29">
        <f>IF(COUNT(I989:AD989)&lt;5,DZ989,SUMPRODUCT(LARGE(I989:AD989,{1,2,3,4,5}))/5)</f>
        <v>0</v>
      </c>
      <c r="EJ989" s="29">
        <f>IF(COUNT(I989:BE989)&lt;5,DZ989,SUMPRODUCT(LARGE(I989:BE989,{1,2,3,4,5}))/5)</f>
        <v>0</v>
      </c>
      <c r="EK989" s="29">
        <f t="shared" si="259"/>
        <v>0</v>
      </c>
      <c r="EL989" s="29">
        <f t="shared" si="262"/>
        <v>0</v>
      </c>
      <c r="EM989" s="116">
        <f t="shared" si="258"/>
        <v>0</v>
      </c>
      <c r="EQ989"/>
    </row>
    <row r="990" spans="1:147" x14ac:dyDescent="0.25">
      <c r="A990" s="59"/>
      <c r="B990" s="33"/>
      <c r="C990" s="5"/>
      <c r="D990" s="6"/>
      <c r="E990" s="6"/>
      <c r="F990" s="6"/>
      <c r="G990" s="5"/>
      <c r="H990" s="99"/>
      <c r="I990" s="36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227"/>
      <c r="Z990" s="228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4"/>
      <c r="AP990" s="7"/>
      <c r="AQ990" s="74"/>
      <c r="AR990" s="70"/>
      <c r="AS990" s="70"/>
      <c r="AT990" s="70"/>
      <c r="AU990" s="7"/>
      <c r="AV990" s="70"/>
      <c r="AW990" s="7"/>
      <c r="AX990" s="183"/>
      <c r="AY990" s="10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4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101"/>
      <c r="CL990" s="74"/>
      <c r="CM990" s="74"/>
      <c r="CN990" s="74"/>
      <c r="CO990" s="70"/>
      <c r="CP990" s="101"/>
      <c r="CQ990" s="7"/>
      <c r="CR990" s="74"/>
      <c r="CS990" s="74"/>
      <c r="CT990" s="74"/>
      <c r="CU990" s="74"/>
      <c r="CV990" s="74"/>
      <c r="CW990" s="7"/>
      <c r="CX990" s="7"/>
      <c r="CY990" s="7"/>
      <c r="CZ990" s="7"/>
      <c r="DA990" s="7"/>
      <c r="DB990" s="7"/>
      <c r="DC990" s="7"/>
      <c r="DD990" s="7"/>
      <c r="DE990" s="74"/>
      <c r="DF990" s="74"/>
      <c r="DG990" s="74"/>
      <c r="DH990" s="74"/>
      <c r="DI990" s="74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8">
        <f t="shared" si="249"/>
        <v>0</v>
      </c>
      <c r="EA990" s="3">
        <f t="shared" si="250"/>
        <v>0</v>
      </c>
      <c r="EB990" s="2">
        <f t="shared" si="251"/>
        <v>0</v>
      </c>
      <c r="EC990" s="112">
        <f t="shared" si="260"/>
        <v>0</v>
      </c>
      <c r="ED990" s="29">
        <f t="shared" si="252"/>
        <v>0</v>
      </c>
      <c r="EE990" s="2">
        <f t="shared" si="253"/>
        <v>0</v>
      </c>
      <c r="EF990" s="46">
        <f t="shared" si="254"/>
        <v>0</v>
      </c>
      <c r="EG990" s="46">
        <f t="shared" si="255"/>
        <v>0</v>
      </c>
      <c r="EH990" s="2">
        <f t="shared" si="256"/>
        <v>0</v>
      </c>
      <c r="EI990" s="29">
        <f>IF(COUNT(I990:AD990)&lt;5,DZ990,SUMPRODUCT(LARGE(I990:AD990,{1,2,3,4,5}))/5)</f>
        <v>0</v>
      </c>
      <c r="EJ990" s="29">
        <f>IF(COUNT(I990:BE990)&lt;5,DZ990,SUMPRODUCT(LARGE(I990:BE990,{1,2,3,4,5}))/5)</f>
        <v>0</v>
      </c>
      <c r="EK990" s="29">
        <f t="shared" si="259"/>
        <v>0</v>
      </c>
      <c r="EL990" s="29">
        <f t="shared" si="262"/>
        <v>0</v>
      </c>
      <c r="EM990" s="116">
        <f t="shared" si="258"/>
        <v>0</v>
      </c>
      <c r="EQ990"/>
    </row>
    <row r="991" spans="1:147" x14ac:dyDescent="0.25">
      <c r="A991" s="59"/>
      <c r="B991" s="32"/>
      <c r="C991" s="5"/>
      <c r="D991" s="6"/>
      <c r="E991" s="6"/>
      <c r="F991" s="6"/>
      <c r="G991" s="5"/>
      <c r="H991" s="37"/>
      <c r="I991" s="36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227"/>
      <c r="Z991" s="228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4"/>
      <c r="AP991" s="7"/>
      <c r="AQ991" s="74"/>
      <c r="AR991" s="70"/>
      <c r="AS991" s="70"/>
      <c r="AT991" s="70"/>
      <c r="AU991" s="7"/>
      <c r="AV991" s="70"/>
      <c r="AW991" s="7"/>
      <c r="AX991" s="8"/>
      <c r="AY991" s="36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4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101"/>
      <c r="CL991" s="74"/>
      <c r="CM991" s="74"/>
      <c r="CN991" s="74"/>
      <c r="CO991" s="70"/>
      <c r="CP991" s="101"/>
      <c r="CQ991" s="7"/>
      <c r="CR991" s="74"/>
      <c r="CS991" s="74"/>
      <c r="CT991" s="74"/>
      <c r="CU991" s="74"/>
      <c r="CV991" s="74"/>
      <c r="CW991" s="7"/>
      <c r="CX991" s="7"/>
      <c r="CY991" s="7"/>
      <c r="CZ991" s="7"/>
      <c r="DA991" s="7"/>
      <c r="DB991" s="7"/>
      <c r="DC991" s="7"/>
      <c r="DD991" s="7"/>
      <c r="DE991" s="74"/>
      <c r="DF991" s="74"/>
      <c r="DG991" s="74"/>
      <c r="DH991" s="74"/>
      <c r="DI991" s="74"/>
      <c r="DJ991" s="7"/>
      <c r="DK991" s="74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8">
        <f t="shared" si="249"/>
        <v>0</v>
      </c>
      <c r="EA991" s="3">
        <f t="shared" si="250"/>
        <v>0</v>
      </c>
      <c r="EB991" s="2">
        <f t="shared" si="251"/>
        <v>0</v>
      </c>
      <c r="EC991" s="112">
        <f t="shared" si="260"/>
        <v>0</v>
      </c>
      <c r="ED991" s="29">
        <f t="shared" si="252"/>
        <v>0</v>
      </c>
      <c r="EE991" s="2">
        <f t="shared" si="253"/>
        <v>0</v>
      </c>
      <c r="EF991" s="46">
        <f t="shared" si="254"/>
        <v>0</v>
      </c>
      <c r="EG991" s="46">
        <f t="shared" si="255"/>
        <v>0</v>
      </c>
      <c r="EH991" s="2">
        <f t="shared" si="256"/>
        <v>0</v>
      </c>
      <c r="EI991" s="29">
        <f>IF(COUNT(I991:AD991)&lt;5,DZ991,SUMPRODUCT(LARGE(I991:AD991,{1,2,3,4,5}))/5)</f>
        <v>0</v>
      </c>
      <c r="EJ991" s="29">
        <f>IF(COUNT(I991:BE991)&lt;5,DZ991,SUMPRODUCT(LARGE(I991:BE991,{1,2,3,4,5}))/5)</f>
        <v>0</v>
      </c>
      <c r="EK991" s="29">
        <f t="shared" si="259"/>
        <v>0</v>
      </c>
      <c r="EL991" s="29">
        <f t="shared" si="262"/>
        <v>0</v>
      </c>
      <c r="EM991" s="116">
        <f t="shared" si="258"/>
        <v>0</v>
      </c>
      <c r="EQ991"/>
    </row>
    <row r="992" spans="1:147" x14ac:dyDescent="0.25">
      <c r="A992" s="59"/>
      <c r="B992" s="32"/>
      <c r="C992" s="5"/>
      <c r="D992" s="6"/>
      <c r="E992" s="6"/>
      <c r="F992" s="6"/>
      <c r="G992" s="5"/>
      <c r="H992" s="37"/>
      <c r="I992" s="36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227"/>
      <c r="Z992" s="228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4"/>
      <c r="AP992" s="7"/>
      <c r="AQ992" s="74"/>
      <c r="AR992" s="70"/>
      <c r="AS992" s="70"/>
      <c r="AT992" s="70"/>
      <c r="AU992" s="7"/>
      <c r="AV992" s="70"/>
      <c r="AW992" s="7"/>
      <c r="AX992" s="8"/>
      <c r="AY992" s="36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4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101"/>
      <c r="CL992" s="74"/>
      <c r="CM992" s="74"/>
      <c r="CN992" s="74"/>
      <c r="CO992" s="70"/>
      <c r="CP992" s="101"/>
      <c r="CQ992" s="7"/>
      <c r="CR992" s="74"/>
      <c r="CS992" s="74"/>
      <c r="CT992" s="74"/>
      <c r="CU992" s="74"/>
      <c r="CV992" s="7"/>
      <c r="CW992" s="7"/>
      <c r="CX992" s="7"/>
      <c r="CY992" s="7"/>
      <c r="CZ992" s="7"/>
      <c r="DA992" s="7"/>
      <c r="DB992" s="7"/>
      <c r="DC992" s="7"/>
      <c r="DD992" s="7"/>
      <c r="DE992" s="74"/>
      <c r="DF992" s="74"/>
      <c r="DG992" s="74"/>
      <c r="DH992" s="7"/>
      <c r="DI992" s="74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8">
        <f t="shared" si="249"/>
        <v>0</v>
      </c>
      <c r="EA992" s="3">
        <f t="shared" si="250"/>
        <v>0</v>
      </c>
      <c r="EB992" s="2">
        <f t="shared" si="251"/>
        <v>0</v>
      </c>
      <c r="EC992" s="112">
        <f t="shared" si="260"/>
        <v>0</v>
      </c>
      <c r="ED992" s="29">
        <f t="shared" si="252"/>
        <v>0</v>
      </c>
      <c r="EE992" s="2">
        <f t="shared" si="253"/>
        <v>0</v>
      </c>
      <c r="EF992" s="46">
        <f t="shared" si="254"/>
        <v>0</v>
      </c>
      <c r="EG992" s="46">
        <f t="shared" si="255"/>
        <v>0</v>
      </c>
      <c r="EH992" s="2">
        <f t="shared" si="256"/>
        <v>0</v>
      </c>
      <c r="EI992" s="29">
        <f>IF(COUNT(I992:AD992)&lt;5,DZ992,SUMPRODUCT(LARGE(I992:AD992,{1,2,3,4,5}))/5)</f>
        <v>0</v>
      </c>
      <c r="EJ992" s="29">
        <f>IF(COUNT(I992:BE992)&lt;5,DZ992,SUMPRODUCT(LARGE(I992:BE992,{1,2,3,4,5}))/5)</f>
        <v>0</v>
      </c>
      <c r="EK992" s="29">
        <f t="shared" si="259"/>
        <v>0</v>
      </c>
      <c r="EL992" s="29">
        <f t="shared" si="262"/>
        <v>0</v>
      </c>
      <c r="EM992" s="116">
        <f t="shared" si="258"/>
        <v>0</v>
      </c>
      <c r="EQ992"/>
    </row>
    <row r="993" spans="1:147" x14ac:dyDescent="0.25">
      <c r="A993" s="59"/>
      <c r="B993" s="32"/>
      <c r="C993" s="5"/>
      <c r="D993" s="6"/>
      <c r="E993" s="6"/>
      <c r="F993" s="6"/>
      <c r="G993" s="5"/>
      <c r="H993" s="37"/>
      <c r="I993" s="36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227"/>
      <c r="Z993" s="228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4"/>
      <c r="AP993" s="7"/>
      <c r="AQ993" s="74"/>
      <c r="AR993" s="70"/>
      <c r="AS993" s="70"/>
      <c r="AT993" s="70"/>
      <c r="AU993" s="7"/>
      <c r="AV993" s="70"/>
      <c r="AW993" s="7"/>
      <c r="AX993" s="8"/>
      <c r="AY993" s="36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4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101"/>
      <c r="CL993" s="74"/>
      <c r="CM993" s="74"/>
      <c r="CN993" s="74"/>
      <c r="CO993" s="70"/>
      <c r="CP993" s="101"/>
      <c r="CQ993" s="7"/>
      <c r="CR993" s="74"/>
      <c r="CS993" s="74"/>
      <c r="CT993" s="74"/>
      <c r="CU993" s="74"/>
      <c r="CV993" s="74"/>
      <c r="CW993" s="7"/>
      <c r="CX993" s="7"/>
      <c r="CY993" s="7"/>
      <c r="CZ993" s="7"/>
      <c r="DA993" s="7"/>
      <c r="DB993" s="7"/>
      <c r="DC993" s="7"/>
      <c r="DD993" s="7"/>
      <c r="DE993" s="74"/>
      <c r="DF993" s="74"/>
      <c r="DG993" s="74"/>
      <c r="DH993" s="74"/>
      <c r="DI993" s="74"/>
      <c r="DJ993" s="7"/>
      <c r="DK993" s="74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8">
        <f t="shared" si="249"/>
        <v>0</v>
      </c>
      <c r="EA993" s="3">
        <f t="shared" si="250"/>
        <v>0</v>
      </c>
      <c r="EB993" s="2">
        <f t="shared" si="251"/>
        <v>0</v>
      </c>
      <c r="EC993" s="112">
        <f t="shared" si="260"/>
        <v>0</v>
      </c>
      <c r="ED993" s="29">
        <f t="shared" si="252"/>
        <v>0</v>
      </c>
      <c r="EE993" s="2">
        <f t="shared" si="253"/>
        <v>0</v>
      </c>
      <c r="EF993" s="46">
        <f t="shared" si="254"/>
        <v>0</v>
      </c>
      <c r="EG993" s="46">
        <f t="shared" si="255"/>
        <v>0</v>
      </c>
      <c r="EH993" s="2">
        <f t="shared" si="256"/>
        <v>0</v>
      </c>
      <c r="EI993" s="29">
        <f>IF(COUNT(I993:AD993)&lt;5,DZ993,SUMPRODUCT(LARGE(I993:AD993,{1,2,3,4,5}))/5)</f>
        <v>0</v>
      </c>
      <c r="EJ993" s="29">
        <f>IF(COUNT(I993:BE993)&lt;5,DZ993,SUMPRODUCT(LARGE(I993:BE993,{1,2,3,4,5}))/5)</f>
        <v>0</v>
      </c>
      <c r="EK993" s="29">
        <f t="shared" si="259"/>
        <v>0</v>
      </c>
      <c r="EL993" s="29">
        <f t="shared" si="262"/>
        <v>0</v>
      </c>
      <c r="EM993" s="116">
        <f t="shared" si="258"/>
        <v>0</v>
      </c>
      <c r="EQ993"/>
    </row>
    <row r="994" spans="1:147" x14ac:dyDescent="0.25">
      <c r="A994" s="59"/>
      <c r="B994" s="32"/>
      <c r="C994" s="5"/>
      <c r="D994" s="6"/>
      <c r="E994" s="6"/>
      <c r="F994" s="6"/>
      <c r="G994" s="5"/>
      <c r="H994" s="37"/>
      <c r="I994" s="36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227"/>
      <c r="Z994" s="228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4"/>
      <c r="AP994" s="7"/>
      <c r="AQ994" s="74"/>
      <c r="AR994" s="70"/>
      <c r="AS994" s="70"/>
      <c r="AT994" s="70"/>
      <c r="AU994" s="7"/>
      <c r="AV994" s="70"/>
      <c r="AW994" s="7"/>
      <c r="AX994" s="8"/>
      <c r="AY994" s="36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4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101"/>
      <c r="CL994" s="74"/>
      <c r="CM994" s="74"/>
      <c r="CN994" s="74"/>
      <c r="CO994" s="70"/>
      <c r="CP994" s="101"/>
      <c r="CQ994" s="7"/>
      <c r="CR994" s="74"/>
      <c r="CS994" s="74"/>
      <c r="CT994" s="74"/>
      <c r="CU994" s="74"/>
      <c r="CV994" s="7"/>
      <c r="CW994" s="7"/>
      <c r="CX994" s="7"/>
      <c r="CY994" s="7"/>
      <c r="CZ994" s="7"/>
      <c r="DA994" s="7"/>
      <c r="DB994" s="7"/>
      <c r="DC994" s="7"/>
      <c r="DD994" s="7"/>
      <c r="DE994" s="74"/>
      <c r="DF994" s="74"/>
      <c r="DG994" s="74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8">
        <f t="shared" si="249"/>
        <v>0</v>
      </c>
      <c r="EA994" s="3">
        <f t="shared" si="250"/>
        <v>0</v>
      </c>
      <c r="EB994" s="2">
        <f t="shared" si="251"/>
        <v>0</v>
      </c>
      <c r="EC994" s="112">
        <f t="shared" si="260"/>
        <v>0</v>
      </c>
      <c r="ED994" s="29">
        <f t="shared" si="252"/>
        <v>0</v>
      </c>
      <c r="EE994" s="2">
        <f t="shared" si="253"/>
        <v>0</v>
      </c>
      <c r="EF994" s="46">
        <f t="shared" si="254"/>
        <v>0</v>
      </c>
      <c r="EG994" s="46">
        <f t="shared" si="255"/>
        <v>0</v>
      </c>
      <c r="EH994" s="2">
        <f t="shared" si="256"/>
        <v>0</v>
      </c>
      <c r="EI994" s="29">
        <f>IF(COUNT(I994:AD994)&lt;5,DZ994,SUMPRODUCT(LARGE(I994:AD994,{1,2,3,4,5}))/5)</f>
        <v>0</v>
      </c>
      <c r="EJ994" s="29">
        <f>IF(COUNT(I994:BE994)&lt;5,DZ994,SUMPRODUCT(LARGE(I994:BE994,{1,2,3,4,5}))/5)</f>
        <v>0</v>
      </c>
      <c r="EK994" s="29">
        <f t="shared" si="259"/>
        <v>0</v>
      </c>
      <c r="EL994" s="29">
        <f>(EK994*100)/101.59</f>
        <v>0</v>
      </c>
      <c r="EM994" s="116">
        <f t="shared" si="258"/>
        <v>0</v>
      </c>
      <c r="EQ994"/>
    </row>
    <row r="995" spans="1:147" x14ac:dyDescent="0.25">
      <c r="A995" s="59"/>
      <c r="B995" s="32"/>
      <c r="C995" s="5"/>
      <c r="D995" s="6"/>
      <c r="E995" s="6"/>
      <c r="F995" s="6"/>
      <c r="G995" s="5"/>
      <c r="H995" s="99"/>
      <c r="I995" s="36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227"/>
      <c r="Z995" s="228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4"/>
      <c r="AP995" s="7"/>
      <c r="AQ995" s="74"/>
      <c r="AR995" s="70"/>
      <c r="AS995" s="70"/>
      <c r="AT995" s="70"/>
      <c r="AU995" s="7"/>
      <c r="AV995" s="70"/>
      <c r="AW995" s="7"/>
      <c r="AX995" s="8"/>
      <c r="AY995" s="36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4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101"/>
      <c r="CL995" s="74"/>
      <c r="CM995" s="74"/>
      <c r="CN995" s="74"/>
      <c r="CO995" s="70"/>
      <c r="CP995" s="101"/>
      <c r="CQ995" s="7"/>
      <c r="CR995" s="74"/>
      <c r="CS995" s="74"/>
      <c r="CT995" s="74"/>
      <c r="CU995" s="74"/>
      <c r="CV995" s="7"/>
      <c r="CW995" s="7"/>
      <c r="CX995" s="7"/>
      <c r="CY995" s="7"/>
      <c r="CZ995" s="7"/>
      <c r="DA995" s="7"/>
      <c r="DB995" s="7"/>
      <c r="DC995" s="7"/>
      <c r="DD995" s="7"/>
      <c r="DE995" s="74"/>
      <c r="DF995" s="74"/>
      <c r="DG995" s="74"/>
      <c r="DH995" s="7"/>
      <c r="DI995" s="74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8">
        <f t="shared" si="249"/>
        <v>0</v>
      </c>
      <c r="EA995" s="3">
        <f t="shared" si="250"/>
        <v>0</v>
      </c>
      <c r="EB995" s="2">
        <f t="shared" si="251"/>
        <v>0</v>
      </c>
      <c r="EC995" s="112">
        <f t="shared" si="260"/>
        <v>0</v>
      </c>
      <c r="ED995" s="29">
        <f t="shared" si="252"/>
        <v>0</v>
      </c>
      <c r="EE995" s="2">
        <f t="shared" si="253"/>
        <v>0</v>
      </c>
      <c r="EF995" s="46">
        <f t="shared" si="254"/>
        <v>0</v>
      </c>
      <c r="EG995" s="46">
        <f t="shared" si="255"/>
        <v>0</v>
      </c>
      <c r="EH995" s="2">
        <f t="shared" si="256"/>
        <v>0</v>
      </c>
      <c r="EI995" s="29">
        <f>IF(COUNT(I995:AD995)&lt;5,DZ995,SUMPRODUCT(LARGE(I995:AD995,{1,2,3,4,5}))/5)</f>
        <v>0</v>
      </c>
      <c r="EJ995" s="29">
        <f>IF(COUNT(I995:BE995)&lt;5,DZ995,SUMPRODUCT(LARGE(I995:BE995,{1,2,3,4,5}))/5)</f>
        <v>0</v>
      </c>
      <c r="EK995" s="29">
        <f t="shared" si="259"/>
        <v>0</v>
      </c>
      <c r="EL995" s="29">
        <f>(EK995*100)/101.59</f>
        <v>0</v>
      </c>
      <c r="EM995" s="116">
        <f t="shared" si="258"/>
        <v>0</v>
      </c>
      <c r="EQ995"/>
    </row>
    <row r="996" spans="1:147" x14ac:dyDescent="0.25">
      <c r="A996" s="59"/>
      <c r="B996" s="32"/>
      <c r="C996" s="5"/>
      <c r="D996" s="6"/>
      <c r="E996" s="6"/>
      <c r="F996" s="6"/>
      <c r="G996" s="5"/>
      <c r="H996" s="37"/>
      <c r="I996" s="36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227"/>
      <c r="Z996" s="228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4"/>
      <c r="AP996" s="7"/>
      <c r="AQ996" s="74"/>
      <c r="AR996" s="70"/>
      <c r="AS996" s="70"/>
      <c r="AT996" s="70"/>
      <c r="AU996" s="7"/>
      <c r="AV996" s="70"/>
      <c r="AW996" s="7"/>
      <c r="AX996" s="8"/>
      <c r="AY996" s="36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4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101"/>
      <c r="CL996" s="74"/>
      <c r="CM996" s="74"/>
      <c r="CN996" s="74"/>
      <c r="CO996" s="70"/>
      <c r="CP996" s="101"/>
      <c r="CQ996" s="7"/>
      <c r="CR996" s="74"/>
      <c r="CS996" s="74"/>
      <c r="CT996" s="74"/>
      <c r="CU996" s="74"/>
      <c r="CV996" s="7"/>
      <c r="CW996" s="7"/>
      <c r="CX996" s="7"/>
      <c r="CY996" s="7"/>
      <c r="CZ996" s="7"/>
      <c r="DA996" s="7"/>
      <c r="DB996" s="7"/>
      <c r="DC996" s="7"/>
      <c r="DD996" s="7"/>
      <c r="DE996" s="74"/>
      <c r="DF996" s="74"/>
      <c r="DG996" s="74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8">
        <f t="shared" si="249"/>
        <v>0</v>
      </c>
      <c r="EA996" s="3">
        <f t="shared" si="250"/>
        <v>0</v>
      </c>
      <c r="EB996" s="2">
        <f t="shared" si="251"/>
        <v>0</v>
      </c>
      <c r="EC996" s="112">
        <f t="shared" si="260"/>
        <v>0</v>
      </c>
      <c r="ED996" s="29">
        <f t="shared" si="252"/>
        <v>0</v>
      </c>
      <c r="EE996" s="2">
        <f t="shared" si="253"/>
        <v>0</v>
      </c>
      <c r="EF996" s="46">
        <f t="shared" si="254"/>
        <v>0</v>
      </c>
      <c r="EG996" s="46">
        <f t="shared" si="255"/>
        <v>0</v>
      </c>
      <c r="EH996" s="2">
        <f t="shared" si="256"/>
        <v>0</v>
      </c>
      <c r="EI996" s="29">
        <f>IF(COUNT(I996:AD996)&lt;5,DZ996,SUMPRODUCT(LARGE(I996:AD996,{1,2,3,4,5}))/5)</f>
        <v>0</v>
      </c>
      <c r="EJ996" s="29">
        <f>IF(COUNT(I996:BE996)&lt;5,DZ996,SUMPRODUCT(LARGE(I996:BE996,{1,2,3,4,5}))/5)</f>
        <v>0</v>
      </c>
      <c r="EK996" s="29">
        <f t="shared" si="259"/>
        <v>0</v>
      </c>
      <c r="EL996" s="29">
        <f>(EK996*100)/101.59</f>
        <v>0</v>
      </c>
      <c r="EM996" s="116">
        <f t="shared" si="258"/>
        <v>0</v>
      </c>
      <c r="EQ996"/>
    </row>
    <row r="997" spans="1:147" x14ac:dyDescent="0.25">
      <c r="A997" s="59"/>
      <c r="B997" s="32"/>
      <c r="C997" s="5"/>
      <c r="D997" s="6"/>
      <c r="E997" s="6"/>
      <c r="F997" s="6"/>
      <c r="G997" s="5"/>
      <c r="H997" s="37"/>
      <c r="I997" s="107"/>
      <c r="J997" s="7"/>
      <c r="K997" s="74"/>
      <c r="L997" s="7"/>
      <c r="M997" s="74"/>
      <c r="N997" s="74"/>
      <c r="O997" s="7"/>
      <c r="P997" s="74"/>
      <c r="Q997" s="7"/>
      <c r="R997" s="74"/>
      <c r="S997" s="74"/>
      <c r="T997" s="7"/>
      <c r="U997" s="7"/>
      <c r="V997" s="74"/>
      <c r="W997" s="7"/>
      <c r="X997" s="74"/>
      <c r="Y997" s="227"/>
      <c r="Z997" s="228"/>
      <c r="AA997" s="74"/>
      <c r="AB997" s="74"/>
      <c r="AC997" s="74"/>
      <c r="AD997" s="74"/>
      <c r="AE997" s="7"/>
      <c r="AF997" s="74"/>
      <c r="AG997" s="74"/>
      <c r="AH997" s="7"/>
      <c r="AI997" s="7"/>
      <c r="AJ997" s="7"/>
      <c r="AK997" s="7"/>
      <c r="AL997" s="7"/>
      <c r="AM997" s="7"/>
      <c r="AN997" s="7"/>
      <c r="AO997" s="74"/>
      <c r="AP997" s="7"/>
      <c r="AQ997" s="74"/>
      <c r="AR997" s="101"/>
      <c r="AS997" s="70"/>
      <c r="AT997" s="101"/>
      <c r="AU997" s="7"/>
      <c r="AV997" s="101"/>
      <c r="AW997" s="7"/>
      <c r="AX997" s="8"/>
      <c r="AY997" s="36"/>
      <c r="AZ997" s="74"/>
      <c r="BA997" s="74"/>
      <c r="BB997" s="74"/>
      <c r="BC997" s="74"/>
      <c r="BD997" s="74"/>
      <c r="BE997" s="74"/>
      <c r="BF997" s="74"/>
      <c r="BG997" s="74"/>
      <c r="BH997" s="74"/>
      <c r="BI997" s="74"/>
      <c r="BJ997" s="74"/>
      <c r="BK997" s="7"/>
      <c r="BL997" s="74"/>
      <c r="BM997" s="7"/>
      <c r="BN997" s="74"/>
      <c r="BO997" s="74"/>
      <c r="BP997" s="74"/>
      <c r="BQ997" s="74"/>
      <c r="BR997" s="74"/>
      <c r="BS997" s="74"/>
      <c r="BT997" s="74"/>
      <c r="BU997" s="74"/>
      <c r="BV997" s="74"/>
      <c r="BW997" s="74"/>
      <c r="BX997" s="74"/>
      <c r="BY997" s="74"/>
      <c r="BZ997" s="74"/>
      <c r="CA997" s="74"/>
      <c r="CB997" s="74"/>
      <c r="CC997" s="74"/>
      <c r="CD997" s="74"/>
      <c r="CE997" s="7"/>
      <c r="CF997" s="74"/>
      <c r="CG997" s="74"/>
      <c r="CH997" s="7"/>
      <c r="CI997" s="74"/>
      <c r="CJ997" s="74"/>
      <c r="CK997" s="101"/>
      <c r="CL997" s="74"/>
      <c r="CM997" s="74"/>
      <c r="CN997" s="74"/>
      <c r="CO997" s="101"/>
      <c r="CP997" s="101"/>
      <c r="CQ997" s="74"/>
      <c r="CR997" s="74"/>
      <c r="CS997" s="74"/>
      <c r="CT997" s="74"/>
      <c r="CU997" s="74"/>
      <c r="CV997" s="74"/>
      <c r="CW997" s="7"/>
      <c r="CX997" s="74"/>
      <c r="CY997" s="74"/>
      <c r="CZ997" s="74"/>
      <c r="DA997" s="74"/>
      <c r="DB997" s="74"/>
      <c r="DC997" s="74"/>
      <c r="DD997" s="74"/>
      <c r="DE997" s="74"/>
      <c r="DF997" s="74"/>
      <c r="DG997" s="74"/>
      <c r="DH997" s="74"/>
      <c r="DI997" s="74"/>
      <c r="DJ997" s="74"/>
      <c r="DK997" s="74"/>
      <c r="DL997" s="74"/>
      <c r="DM997" s="74"/>
      <c r="DN997" s="74"/>
      <c r="DO997" s="74"/>
      <c r="DP997" s="74"/>
      <c r="DQ997" s="74"/>
      <c r="DR997" s="74"/>
      <c r="DS997" s="74"/>
      <c r="DT997" s="74"/>
      <c r="DU997" s="74"/>
      <c r="DV997" s="74"/>
      <c r="DW997" s="74"/>
      <c r="DX997" s="74"/>
      <c r="DY997" s="74"/>
      <c r="DZ997" s="8">
        <f t="shared" si="249"/>
        <v>0</v>
      </c>
      <c r="EA997" s="3">
        <f t="shared" si="250"/>
        <v>0</v>
      </c>
      <c r="EB997" s="2">
        <f t="shared" si="251"/>
        <v>0</v>
      </c>
      <c r="EC997" s="112">
        <f t="shared" si="260"/>
        <v>0</v>
      </c>
      <c r="ED997" s="29">
        <f t="shared" si="252"/>
        <v>0</v>
      </c>
      <c r="EE997" s="2">
        <f t="shared" si="253"/>
        <v>0</v>
      </c>
      <c r="EF997" s="46">
        <f t="shared" si="254"/>
        <v>0</v>
      </c>
      <c r="EG997" s="46">
        <f t="shared" si="255"/>
        <v>0</v>
      </c>
      <c r="EH997" s="29">
        <f t="shared" si="256"/>
        <v>0</v>
      </c>
      <c r="EI997" s="29">
        <f>IF(COUNT(I997:AD997)&lt;5,DZ997,SUMPRODUCT(LARGE(I997:AD997,{1,2,3,4,5}))/5)</f>
        <v>0</v>
      </c>
      <c r="EJ997" s="29">
        <f>IF(COUNT(I997:BE997)&lt;5,DZ997,SUMPRODUCT(LARGE(I997:BE997,{1,2,3,4,5}))/5)</f>
        <v>0</v>
      </c>
      <c r="EK997" s="29">
        <f t="shared" si="259"/>
        <v>0</v>
      </c>
      <c r="EL997" s="29">
        <f t="shared" ref="EL997:EL1011" si="263">(EK997*100)/101.28</f>
        <v>0</v>
      </c>
      <c r="EM997" s="116">
        <f t="shared" si="258"/>
        <v>0</v>
      </c>
      <c r="EQ997"/>
    </row>
    <row r="998" spans="1:147" x14ac:dyDescent="0.25">
      <c r="A998" s="59"/>
      <c r="B998" s="32"/>
      <c r="C998" s="5"/>
      <c r="D998" s="6"/>
      <c r="E998" s="6"/>
      <c r="F998" s="6"/>
      <c r="G998" s="5"/>
      <c r="H998" s="37"/>
      <c r="I998" s="36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227"/>
      <c r="Z998" s="228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4"/>
      <c r="AP998" s="7"/>
      <c r="AQ998" s="74"/>
      <c r="AR998" s="70"/>
      <c r="AS998" s="70"/>
      <c r="AT998" s="70"/>
      <c r="AU998" s="7"/>
      <c r="AV998" s="70"/>
      <c r="AW998" s="7"/>
      <c r="AX998" s="8"/>
      <c r="AY998" s="36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4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101"/>
      <c r="CL998" s="74"/>
      <c r="CM998" s="74"/>
      <c r="CN998" s="74"/>
      <c r="CO998" s="70"/>
      <c r="CP998" s="101"/>
      <c r="CQ998" s="7"/>
      <c r="CR998" s="74"/>
      <c r="CS998" s="74"/>
      <c r="CT998" s="74"/>
      <c r="CU998" s="74"/>
      <c r="CV998" s="7"/>
      <c r="CW998" s="7"/>
      <c r="CX998" s="7"/>
      <c r="CY998" s="7"/>
      <c r="CZ998" s="7"/>
      <c r="DA998" s="7"/>
      <c r="DB998" s="7"/>
      <c r="DC998" s="7"/>
      <c r="DD998" s="7"/>
      <c r="DE998" s="74"/>
      <c r="DF998" s="74"/>
      <c r="DG998" s="74"/>
      <c r="DH998" s="7"/>
      <c r="DI998" s="74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8">
        <f t="shared" si="249"/>
        <v>0</v>
      </c>
      <c r="EA998" s="3">
        <f t="shared" si="250"/>
        <v>0</v>
      </c>
      <c r="EB998" s="2">
        <f t="shared" si="251"/>
        <v>0</v>
      </c>
      <c r="EC998" s="112">
        <f t="shared" si="260"/>
        <v>0</v>
      </c>
      <c r="ED998" s="29">
        <f t="shared" si="252"/>
        <v>0</v>
      </c>
      <c r="EE998" s="2">
        <f t="shared" si="253"/>
        <v>0</v>
      </c>
      <c r="EF998" s="46">
        <f t="shared" si="254"/>
        <v>0</v>
      </c>
      <c r="EG998" s="46">
        <f t="shared" si="255"/>
        <v>0</v>
      </c>
      <c r="EH998" s="2">
        <f t="shared" si="256"/>
        <v>0</v>
      </c>
      <c r="EI998" s="29">
        <f>IF(COUNT(I998:AD998)&lt;5,DZ998,SUMPRODUCT(LARGE(I998:AD998,{1,2,3,4,5}))/5)</f>
        <v>0</v>
      </c>
      <c r="EJ998" s="29">
        <f>IF(COUNT(I998:BE998)&lt;5,DZ998,SUMPRODUCT(LARGE(I998:BE998,{1,2,3,4,5}))/5)</f>
        <v>0</v>
      </c>
      <c r="EK998" s="29">
        <f t="shared" si="259"/>
        <v>0</v>
      </c>
      <c r="EL998" s="29">
        <f t="shared" si="263"/>
        <v>0</v>
      </c>
      <c r="EM998" s="116">
        <f t="shared" si="258"/>
        <v>0</v>
      </c>
      <c r="EQ998"/>
    </row>
    <row r="999" spans="1:147" x14ac:dyDescent="0.25">
      <c r="A999" s="59"/>
      <c r="B999" s="4"/>
      <c r="C999" s="5"/>
      <c r="D999" s="5"/>
      <c r="E999" s="6"/>
      <c r="F999" s="6"/>
      <c r="G999" s="5"/>
      <c r="H999" s="99"/>
      <c r="I999" s="36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227"/>
      <c r="Z999" s="228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4"/>
      <c r="AP999" s="7"/>
      <c r="AQ999" s="74"/>
      <c r="AR999" s="70"/>
      <c r="AS999" s="70"/>
      <c r="AT999" s="70"/>
      <c r="AU999" s="7"/>
      <c r="AV999" s="70"/>
      <c r="AW999" s="7"/>
      <c r="AX999" s="8"/>
      <c r="AY999" s="36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4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101"/>
      <c r="CL999" s="74"/>
      <c r="CM999" s="74"/>
      <c r="CN999" s="74"/>
      <c r="CO999" s="70"/>
      <c r="CP999" s="101"/>
      <c r="CQ999" s="7"/>
      <c r="CR999" s="74"/>
      <c r="CS999" s="74"/>
      <c r="CT999" s="74"/>
      <c r="CU999" s="74"/>
      <c r="CV999" s="74"/>
      <c r="CW999" s="7"/>
      <c r="CX999" s="7"/>
      <c r="CY999" s="7"/>
      <c r="CZ999" s="7"/>
      <c r="DA999" s="7"/>
      <c r="DB999" s="7"/>
      <c r="DC999" s="7"/>
      <c r="DD999" s="7"/>
      <c r="DE999" s="74"/>
      <c r="DF999" s="74"/>
      <c r="DG999" s="74"/>
      <c r="DH999" s="74"/>
      <c r="DI999" s="74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8">
        <f t="shared" si="249"/>
        <v>0</v>
      </c>
      <c r="EA999" s="3">
        <f t="shared" si="250"/>
        <v>0</v>
      </c>
      <c r="EB999" s="2">
        <f t="shared" si="251"/>
        <v>0</v>
      </c>
      <c r="EC999" s="112">
        <f t="shared" si="260"/>
        <v>0</v>
      </c>
      <c r="ED999" s="29">
        <f t="shared" si="252"/>
        <v>0</v>
      </c>
      <c r="EE999" s="2">
        <f t="shared" si="253"/>
        <v>0</v>
      </c>
      <c r="EF999" s="46">
        <f t="shared" si="254"/>
        <v>0</v>
      </c>
      <c r="EG999" s="46">
        <f t="shared" si="255"/>
        <v>0</v>
      </c>
      <c r="EH999" s="2">
        <f t="shared" si="256"/>
        <v>0</v>
      </c>
      <c r="EI999" s="29">
        <f>IF(COUNT(I999:AD999)&lt;5,DZ999,SUMPRODUCT(LARGE(I999:AD999,{1,2,3,4,5}))/5)</f>
        <v>0</v>
      </c>
      <c r="EJ999" s="29">
        <f>IF(COUNT(I999:BE999)&lt;5,DZ999,SUMPRODUCT(LARGE(I999:BE999,{1,2,3,4,5}))/5)</f>
        <v>0</v>
      </c>
      <c r="EK999" s="29">
        <f t="shared" si="259"/>
        <v>0</v>
      </c>
      <c r="EL999" s="29">
        <f t="shared" si="263"/>
        <v>0</v>
      </c>
      <c r="EM999" s="116">
        <f t="shared" si="258"/>
        <v>0</v>
      </c>
      <c r="EQ999"/>
    </row>
    <row r="1000" spans="1:147" x14ac:dyDescent="0.25">
      <c r="A1000" s="59"/>
      <c r="B1000" s="32"/>
      <c r="C1000" s="5"/>
      <c r="D1000" s="6"/>
      <c r="E1000" s="6"/>
      <c r="F1000" s="6"/>
      <c r="G1000" s="5"/>
      <c r="H1000" s="37"/>
      <c r="I1000" s="36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227"/>
      <c r="Z1000" s="228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4"/>
      <c r="AP1000" s="7"/>
      <c r="AQ1000" s="74"/>
      <c r="AR1000" s="70"/>
      <c r="AS1000" s="70"/>
      <c r="AT1000" s="70"/>
      <c r="AU1000" s="7"/>
      <c r="AV1000" s="70"/>
      <c r="AW1000" s="7"/>
      <c r="AX1000" s="183"/>
      <c r="AY1000" s="10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4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101"/>
      <c r="CL1000" s="74"/>
      <c r="CM1000" s="74"/>
      <c r="CN1000" s="74"/>
      <c r="CO1000" s="70"/>
      <c r="CP1000" s="101"/>
      <c r="CQ1000" s="7"/>
      <c r="CR1000" s="74"/>
      <c r="CS1000" s="74"/>
      <c r="CT1000" s="74"/>
      <c r="CU1000" s="74"/>
      <c r="CV1000" s="74"/>
      <c r="CW1000" s="7"/>
      <c r="CX1000" s="7"/>
      <c r="CY1000" s="7"/>
      <c r="CZ1000" s="7"/>
      <c r="DA1000" s="7"/>
      <c r="DB1000" s="7"/>
      <c r="DC1000" s="7"/>
      <c r="DD1000" s="7"/>
      <c r="DE1000" s="74"/>
      <c r="DF1000" s="74"/>
      <c r="DG1000" s="74"/>
      <c r="DH1000" s="74"/>
      <c r="DI1000" s="74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8">
        <f t="shared" si="249"/>
        <v>0</v>
      </c>
      <c r="EA1000" s="3">
        <f t="shared" si="250"/>
        <v>0</v>
      </c>
      <c r="EB1000" s="2">
        <f t="shared" si="251"/>
        <v>0</v>
      </c>
      <c r="EC1000" s="112">
        <f t="shared" si="260"/>
        <v>0</v>
      </c>
      <c r="ED1000" s="29">
        <f t="shared" si="252"/>
        <v>0</v>
      </c>
      <c r="EE1000" s="2">
        <f t="shared" si="253"/>
        <v>0</v>
      </c>
      <c r="EF1000" s="46">
        <f t="shared" si="254"/>
        <v>0</v>
      </c>
      <c r="EG1000" s="46">
        <f t="shared" si="255"/>
        <v>0</v>
      </c>
      <c r="EH1000" s="2">
        <f t="shared" si="256"/>
        <v>0</v>
      </c>
      <c r="EI1000" s="29">
        <f>IF(COUNT(I1000:AD1000)&lt;5,DZ1000,SUMPRODUCT(LARGE(I1000:AD1000,{1,2,3,4,5}))/5)</f>
        <v>0</v>
      </c>
      <c r="EJ1000" s="29">
        <f>IF(COUNT(I1000:BE1000)&lt;5,DZ1000,SUMPRODUCT(LARGE(I1000:BE1000,{1,2,3,4,5}))/5)</f>
        <v>0</v>
      </c>
      <c r="EK1000" s="29">
        <f t="shared" si="259"/>
        <v>0</v>
      </c>
      <c r="EL1000" s="29">
        <f t="shared" si="263"/>
        <v>0</v>
      </c>
      <c r="EM1000" s="116">
        <f t="shared" si="258"/>
        <v>0</v>
      </c>
      <c r="EQ1000"/>
    </row>
    <row r="1001" spans="1:147" x14ac:dyDescent="0.25">
      <c r="A1001" s="59"/>
      <c r="B1001" s="32"/>
      <c r="C1001" s="5"/>
      <c r="D1001" s="6"/>
      <c r="E1001" s="6"/>
      <c r="F1001" s="6"/>
      <c r="G1001" s="5"/>
      <c r="H1001" s="99"/>
      <c r="I1001" s="36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227"/>
      <c r="Z1001" s="228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4"/>
      <c r="AP1001" s="7"/>
      <c r="AQ1001" s="74"/>
      <c r="AR1001" s="70"/>
      <c r="AS1001" s="70"/>
      <c r="AT1001" s="70"/>
      <c r="AU1001" s="7"/>
      <c r="AV1001" s="70"/>
      <c r="AW1001" s="7"/>
      <c r="AX1001" s="8"/>
      <c r="AY1001" s="36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4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101"/>
      <c r="CL1001" s="74"/>
      <c r="CM1001" s="74"/>
      <c r="CN1001" s="74"/>
      <c r="CO1001" s="70"/>
      <c r="CP1001" s="101"/>
      <c r="CQ1001" s="7"/>
      <c r="CR1001" s="74"/>
      <c r="CS1001" s="74"/>
      <c r="CT1001" s="74"/>
      <c r="CU1001" s="74"/>
      <c r="CV1001" s="74"/>
      <c r="CW1001" s="7"/>
      <c r="CX1001" s="7"/>
      <c r="CY1001" s="7"/>
      <c r="CZ1001" s="7"/>
      <c r="DA1001" s="7"/>
      <c r="DB1001" s="7"/>
      <c r="DC1001" s="7"/>
      <c r="DD1001" s="7"/>
      <c r="DE1001" s="74"/>
      <c r="DF1001" s="74"/>
      <c r="DG1001" s="74"/>
      <c r="DH1001" s="74"/>
      <c r="DI1001" s="74"/>
      <c r="DJ1001" s="7"/>
      <c r="DK1001" s="7"/>
      <c r="DL1001" s="7"/>
      <c r="DM1001" s="7"/>
      <c r="DN1001" s="7"/>
      <c r="DO1001" s="7"/>
      <c r="DP1001" s="7"/>
      <c r="DQ1001" s="7"/>
      <c r="DR1001" s="7"/>
      <c r="DS1001" s="7"/>
      <c r="DT1001" s="7"/>
      <c r="DU1001" s="7"/>
      <c r="DV1001" s="7"/>
      <c r="DW1001" s="7"/>
      <c r="DX1001" s="7"/>
      <c r="DY1001" s="7"/>
      <c r="DZ1001" s="8">
        <f t="shared" si="249"/>
        <v>0</v>
      </c>
      <c r="EA1001" s="3">
        <f t="shared" si="250"/>
        <v>0</v>
      </c>
      <c r="EB1001" s="2">
        <f t="shared" si="251"/>
        <v>0</v>
      </c>
      <c r="EC1001" s="112">
        <f t="shared" si="260"/>
        <v>0</v>
      </c>
      <c r="ED1001" s="29">
        <f t="shared" si="252"/>
        <v>0</v>
      </c>
      <c r="EE1001" s="2">
        <f t="shared" si="253"/>
        <v>0</v>
      </c>
      <c r="EF1001" s="46">
        <f t="shared" si="254"/>
        <v>0</v>
      </c>
      <c r="EG1001" s="46">
        <f t="shared" si="255"/>
        <v>0</v>
      </c>
      <c r="EH1001" s="2">
        <f t="shared" si="256"/>
        <v>0</v>
      </c>
      <c r="EI1001" s="29">
        <f>IF(COUNT(I1001:AD1001)&lt;5,DZ1001,SUMPRODUCT(LARGE(I1001:AD1001,{1,2,3,4,5}))/5)</f>
        <v>0</v>
      </c>
      <c r="EJ1001" s="29">
        <f>IF(COUNT(I1001:BE1001)&lt;5,DZ1001,SUMPRODUCT(LARGE(I1001:BE1001,{1,2,3,4,5}))/5)</f>
        <v>0</v>
      </c>
      <c r="EK1001" s="29">
        <f t="shared" si="259"/>
        <v>0</v>
      </c>
      <c r="EL1001" s="29">
        <f t="shared" si="263"/>
        <v>0</v>
      </c>
      <c r="EM1001" s="116">
        <f t="shared" si="258"/>
        <v>0</v>
      </c>
      <c r="EQ1001"/>
    </row>
    <row r="1002" spans="1:147" x14ac:dyDescent="0.25">
      <c r="A1002" s="59"/>
      <c r="B1002" s="4"/>
      <c r="C1002" s="5"/>
      <c r="D1002" s="5"/>
      <c r="E1002" s="6"/>
      <c r="F1002" s="6"/>
      <c r="G1002" s="5"/>
      <c r="H1002" s="99"/>
      <c r="I1002" s="107"/>
      <c r="J1002" s="7"/>
      <c r="K1002" s="74"/>
      <c r="L1002" s="7"/>
      <c r="M1002" s="74"/>
      <c r="N1002" s="74"/>
      <c r="O1002" s="7"/>
      <c r="P1002" s="74"/>
      <c r="Q1002" s="7"/>
      <c r="R1002" s="74"/>
      <c r="S1002" s="74"/>
      <c r="T1002" s="7"/>
      <c r="U1002" s="7"/>
      <c r="V1002" s="74"/>
      <c r="W1002" s="7"/>
      <c r="X1002" s="74"/>
      <c r="Y1002" s="227"/>
      <c r="Z1002" s="228"/>
      <c r="AA1002" s="74"/>
      <c r="AB1002" s="74"/>
      <c r="AC1002" s="74"/>
      <c r="AD1002" s="74"/>
      <c r="AE1002" s="7"/>
      <c r="AF1002" s="74"/>
      <c r="AG1002" s="74"/>
      <c r="AH1002" s="7"/>
      <c r="AI1002" s="7"/>
      <c r="AJ1002" s="7"/>
      <c r="AK1002" s="7"/>
      <c r="AL1002" s="7"/>
      <c r="AM1002" s="7"/>
      <c r="AN1002" s="7"/>
      <c r="AO1002" s="74"/>
      <c r="AP1002" s="7"/>
      <c r="AQ1002" s="74"/>
      <c r="AR1002" s="101"/>
      <c r="AS1002" s="70"/>
      <c r="AT1002" s="101"/>
      <c r="AU1002" s="7"/>
      <c r="AV1002" s="101"/>
      <c r="AW1002" s="7"/>
      <c r="AX1002" s="8"/>
      <c r="AY1002" s="36"/>
      <c r="AZ1002" s="74"/>
      <c r="BA1002" s="74"/>
      <c r="BB1002" s="74"/>
      <c r="BC1002" s="74"/>
      <c r="BD1002" s="74"/>
      <c r="BE1002" s="74"/>
      <c r="BF1002" s="74"/>
      <c r="BG1002" s="74"/>
      <c r="BH1002" s="74"/>
      <c r="BI1002" s="74"/>
      <c r="BJ1002" s="74"/>
      <c r="BK1002" s="7"/>
      <c r="BL1002" s="74"/>
      <c r="BM1002" s="7"/>
      <c r="BN1002" s="74"/>
      <c r="BO1002" s="74"/>
      <c r="BP1002" s="74"/>
      <c r="BQ1002" s="74"/>
      <c r="BR1002" s="74"/>
      <c r="BS1002" s="74"/>
      <c r="BT1002" s="74"/>
      <c r="BU1002" s="74"/>
      <c r="BV1002" s="74"/>
      <c r="BW1002" s="74"/>
      <c r="BX1002" s="74"/>
      <c r="BY1002" s="74"/>
      <c r="BZ1002" s="74"/>
      <c r="CA1002" s="74"/>
      <c r="CB1002" s="74"/>
      <c r="CC1002" s="74"/>
      <c r="CD1002" s="74"/>
      <c r="CE1002" s="7"/>
      <c r="CF1002" s="74"/>
      <c r="CG1002" s="74"/>
      <c r="CH1002" s="7"/>
      <c r="CI1002" s="74"/>
      <c r="CJ1002" s="74"/>
      <c r="CK1002" s="101"/>
      <c r="CL1002" s="74"/>
      <c r="CM1002" s="74"/>
      <c r="CN1002" s="74"/>
      <c r="CO1002" s="101"/>
      <c r="CP1002" s="101"/>
      <c r="CQ1002" s="74"/>
      <c r="CR1002" s="74"/>
      <c r="CS1002" s="74"/>
      <c r="CT1002" s="74"/>
      <c r="CU1002" s="74"/>
      <c r="CV1002" s="74"/>
      <c r="CW1002" s="7"/>
      <c r="CX1002" s="74"/>
      <c r="CY1002" s="74"/>
      <c r="CZ1002" s="74"/>
      <c r="DA1002" s="74"/>
      <c r="DB1002" s="74"/>
      <c r="DC1002" s="74"/>
      <c r="DD1002" s="74"/>
      <c r="DE1002" s="74"/>
      <c r="DF1002" s="74"/>
      <c r="DG1002" s="74"/>
      <c r="DH1002" s="74"/>
      <c r="DI1002" s="74"/>
      <c r="DJ1002" s="7"/>
      <c r="DK1002" s="74"/>
      <c r="DL1002" s="7"/>
      <c r="DM1002" s="74"/>
      <c r="DN1002" s="74"/>
      <c r="DO1002" s="74"/>
      <c r="DP1002" s="74"/>
      <c r="DQ1002" s="74"/>
      <c r="DR1002" s="74"/>
      <c r="DS1002" s="74"/>
      <c r="DT1002" s="74"/>
      <c r="DU1002" s="74"/>
      <c r="DV1002" s="74"/>
      <c r="DW1002" s="74"/>
      <c r="DX1002" s="74"/>
      <c r="DY1002" s="74"/>
      <c r="DZ1002" s="8">
        <f t="shared" si="249"/>
        <v>0</v>
      </c>
      <c r="EA1002" s="3">
        <f t="shared" si="250"/>
        <v>0</v>
      </c>
      <c r="EB1002" s="2">
        <f t="shared" si="251"/>
        <v>0</v>
      </c>
      <c r="EC1002" s="112">
        <f t="shared" si="260"/>
        <v>0</v>
      </c>
      <c r="ED1002" s="29">
        <f t="shared" si="252"/>
        <v>0</v>
      </c>
      <c r="EE1002" s="2">
        <f t="shared" si="253"/>
        <v>0</v>
      </c>
      <c r="EF1002" s="46">
        <f t="shared" si="254"/>
        <v>0</v>
      </c>
      <c r="EG1002" s="46">
        <f t="shared" si="255"/>
        <v>0</v>
      </c>
      <c r="EH1002" s="29">
        <f t="shared" si="256"/>
        <v>0</v>
      </c>
      <c r="EI1002" s="29">
        <f>IF(COUNT(I1002:AD1002)&lt;5,DZ1002,SUMPRODUCT(LARGE(I1002:AD1002,{1,2,3,4,5}))/5)</f>
        <v>0</v>
      </c>
      <c r="EJ1002" s="29">
        <f>IF(COUNT(I1002:BE1002)&lt;5,DZ1002,SUMPRODUCT(LARGE(I1002:BE1002,{1,2,3,4,5}))/5)</f>
        <v>0</v>
      </c>
      <c r="EK1002" s="29">
        <f t="shared" si="259"/>
        <v>0</v>
      </c>
      <c r="EL1002" s="29">
        <f t="shared" si="263"/>
        <v>0</v>
      </c>
      <c r="EM1002" s="116">
        <f t="shared" si="258"/>
        <v>0</v>
      </c>
      <c r="EQ1002"/>
    </row>
    <row r="1003" spans="1:147" x14ac:dyDescent="0.25">
      <c r="A1003" s="59"/>
      <c r="B1003" s="32"/>
      <c r="C1003" s="5"/>
      <c r="D1003" s="6"/>
      <c r="E1003" s="6"/>
      <c r="F1003" s="6"/>
      <c r="G1003" s="5"/>
      <c r="H1003" s="37"/>
      <c r="I1003" s="36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227"/>
      <c r="Z1003" s="228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4"/>
      <c r="AP1003" s="7"/>
      <c r="AQ1003" s="74"/>
      <c r="AR1003" s="70"/>
      <c r="AS1003" s="70"/>
      <c r="AT1003" s="70"/>
      <c r="AU1003" s="7"/>
      <c r="AV1003" s="70"/>
      <c r="AW1003" s="7"/>
      <c r="AX1003" s="8"/>
      <c r="AY1003" s="36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4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101"/>
      <c r="CL1003" s="74"/>
      <c r="CM1003" s="74"/>
      <c r="CN1003" s="74"/>
      <c r="CO1003" s="70"/>
      <c r="CP1003" s="101"/>
      <c r="CQ1003" s="7"/>
      <c r="CR1003" s="74"/>
      <c r="CS1003" s="74"/>
      <c r="CT1003" s="74"/>
      <c r="CU1003" s="74"/>
      <c r="CV1003" s="74"/>
      <c r="CW1003" s="7"/>
      <c r="CX1003" s="7"/>
      <c r="CY1003" s="7"/>
      <c r="CZ1003" s="7"/>
      <c r="DA1003" s="7"/>
      <c r="DB1003" s="7"/>
      <c r="DC1003" s="7"/>
      <c r="DD1003" s="7"/>
      <c r="DE1003" s="74"/>
      <c r="DF1003" s="74"/>
      <c r="DG1003" s="74"/>
      <c r="DH1003" s="74"/>
      <c r="DI1003" s="74"/>
      <c r="DJ1003" s="7"/>
      <c r="DK1003" s="7"/>
      <c r="DL1003" s="7"/>
      <c r="DM1003" s="7"/>
      <c r="DN1003" s="7"/>
      <c r="DO1003" s="7"/>
      <c r="DP1003" s="7"/>
      <c r="DQ1003" s="7"/>
      <c r="DR1003" s="7"/>
      <c r="DS1003" s="7"/>
      <c r="DT1003" s="7"/>
      <c r="DU1003" s="7"/>
      <c r="DV1003" s="7"/>
      <c r="DW1003" s="7"/>
      <c r="DX1003" s="7"/>
      <c r="DY1003" s="7"/>
      <c r="DZ1003" s="8">
        <f t="shared" si="249"/>
        <v>0</v>
      </c>
      <c r="EA1003" s="3">
        <f t="shared" si="250"/>
        <v>0</v>
      </c>
      <c r="EB1003" s="2">
        <f t="shared" si="251"/>
        <v>0</v>
      </c>
      <c r="EC1003" s="112">
        <f t="shared" si="260"/>
        <v>0</v>
      </c>
      <c r="ED1003" s="29">
        <f t="shared" si="252"/>
        <v>0</v>
      </c>
      <c r="EE1003" s="2">
        <f t="shared" si="253"/>
        <v>0</v>
      </c>
      <c r="EF1003" s="46">
        <f t="shared" si="254"/>
        <v>0</v>
      </c>
      <c r="EG1003" s="46">
        <f t="shared" si="255"/>
        <v>0</v>
      </c>
      <c r="EH1003" s="2">
        <f t="shared" si="256"/>
        <v>0</v>
      </c>
      <c r="EI1003" s="29">
        <f>IF(COUNT(I1003:AD1003)&lt;5,DZ1003,SUMPRODUCT(LARGE(I1003:AD1003,{1,2,3,4,5}))/5)</f>
        <v>0</v>
      </c>
      <c r="EJ1003" s="29">
        <f>IF(COUNT(I1003:BE1003)&lt;5,DZ1003,SUMPRODUCT(LARGE(I1003:BE1003,{1,2,3,4,5}))/5)</f>
        <v>0</v>
      </c>
      <c r="EK1003" s="29">
        <f t="shared" si="259"/>
        <v>0</v>
      </c>
      <c r="EL1003" s="29">
        <f t="shared" si="263"/>
        <v>0</v>
      </c>
      <c r="EM1003" s="116">
        <f t="shared" si="258"/>
        <v>0</v>
      </c>
      <c r="EQ1003"/>
    </row>
    <row r="1004" spans="1:147" x14ac:dyDescent="0.25">
      <c r="A1004" s="59"/>
      <c r="B1004" s="32"/>
      <c r="C1004" s="5"/>
      <c r="D1004" s="6"/>
      <c r="E1004" s="6"/>
      <c r="F1004" s="6"/>
      <c r="G1004" s="5"/>
      <c r="H1004" s="37"/>
      <c r="I1004" s="107"/>
      <c r="J1004" s="7"/>
      <c r="K1004" s="74"/>
      <c r="L1004" s="7"/>
      <c r="M1004" s="74"/>
      <c r="N1004" s="74"/>
      <c r="O1004" s="7"/>
      <c r="P1004" s="74"/>
      <c r="Q1004" s="7"/>
      <c r="R1004" s="74"/>
      <c r="S1004" s="74"/>
      <c r="T1004" s="7"/>
      <c r="U1004" s="7"/>
      <c r="V1004" s="74"/>
      <c r="W1004" s="7"/>
      <c r="X1004" s="74"/>
      <c r="Y1004" s="227"/>
      <c r="Z1004" s="228"/>
      <c r="AA1004" s="74"/>
      <c r="AB1004" s="74"/>
      <c r="AC1004" s="74"/>
      <c r="AD1004" s="74"/>
      <c r="AE1004" s="7"/>
      <c r="AF1004" s="74"/>
      <c r="AG1004" s="74"/>
      <c r="AH1004" s="7"/>
      <c r="AI1004" s="7"/>
      <c r="AJ1004" s="7"/>
      <c r="AK1004" s="7"/>
      <c r="AL1004" s="7"/>
      <c r="AM1004" s="7"/>
      <c r="AN1004" s="7"/>
      <c r="AO1004" s="74"/>
      <c r="AP1004" s="7"/>
      <c r="AQ1004" s="74"/>
      <c r="AR1004" s="101"/>
      <c r="AS1004" s="70"/>
      <c r="AT1004" s="101"/>
      <c r="AU1004" s="7"/>
      <c r="AV1004" s="101"/>
      <c r="AW1004" s="7"/>
      <c r="AX1004" s="8"/>
      <c r="AY1004" s="36"/>
      <c r="AZ1004" s="74"/>
      <c r="BA1004" s="74"/>
      <c r="BB1004" s="74"/>
      <c r="BC1004" s="74"/>
      <c r="BD1004" s="74"/>
      <c r="BE1004" s="74"/>
      <c r="BF1004" s="74"/>
      <c r="BG1004" s="74"/>
      <c r="BH1004" s="74"/>
      <c r="BI1004" s="74"/>
      <c r="BJ1004" s="74"/>
      <c r="BK1004" s="7"/>
      <c r="BL1004" s="74"/>
      <c r="BM1004" s="7"/>
      <c r="BN1004" s="74"/>
      <c r="BO1004" s="74"/>
      <c r="BP1004" s="74"/>
      <c r="BQ1004" s="74"/>
      <c r="BR1004" s="74"/>
      <c r="BS1004" s="74"/>
      <c r="BT1004" s="74"/>
      <c r="BU1004" s="74"/>
      <c r="BV1004" s="74"/>
      <c r="BW1004" s="74"/>
      <c r="BX1004" s="74"/>
      <c r="BY1004" s="74"/>
      <c r="BZ1004" s="74"/>
      <c r="CA1004" s="74"/>
      <c r="CB1004" s="74"/>
      <c r="CC1004" s="74"/>
      <c r="CD1004" s="74"/>
      <c r="CE1004" s="7"/>
      <c r="CF1004" s="74"/>
      <c r="CG1004" s="74"/>
      <c r="CH1004" s="7"/>
      <c r="CI1004" s="74"/>
      <c r="CJ1004" s="74"/>
      <c r="CK1004" s="101"/>
      <c r="CL1004" s="74"/>
      <c r="CM1004" s="74"/>
      <c r="CN1004" s="74"/>
      <c r="CO1004" s="101"/>
      <c r="CP1004" s="101"/>
      <c r="CQ1004" s="74"/>
      <c r="CR1004" s="74"/>
      <c r="CS1004" s="74"/>
      <c r="CT1004" s="74"/>
      <c r="CU1004" s="74"/>
      <c r="CV1004" s="74"/>
      <c r="CW1004" s="7"/>
      <c r="CX1004" s="74"/>
      <c r="CY1004" s="74"/>
      <c r="CZ1004" s="74"/>
      <c r="DA1004" s="74"/>
      <c r="DB1004" s="74"/>
      <c r="DC1004" s="74"/>
      <c r="DD1004" s="74"/>
      <c r="DE1004" s="74"/>
      <c r="DF1004" s="74"/>
      <c r="DG1004" s="74"/>
      <c r="DH1004" s="74"/>
      <c r="DI1004" s="74"/>
      <c r="DJ1004" s="7"/>
      <c r="DK1004" s="74"/>
      <c r="DL1004" s="7"/>
      <c r="DM1004" s="74"/>
      <c r="DN1004" s="74"/>
      <c r="DO1004" s="74"/>
      <c r="DP1004" s="74"/>
      <c r="DQ1004" s="74"/>
      <c r="DR1004" s="74"/>
      <c r="DS1004" s="74"/>
      <c r="DT1004" s="74"/>
      <c r="DU1004" s="74"/>
      <c r="DV1004" s="74"/>
      <c r="DW1004" s="74"/>
      <c r="DX1004" s="74"/>
      <c r="DY1004" s="74"/>
      <c r="DZ1004" s="8">
        <f t="shared" si="249"/>
        <v>0</v>
      </c>
      <c r="EA1004" s="3">
        <f t="shared" si="250"/>
        <v>0</v>
      </c>
      <c r="EB1004" s="2">
        <f t="shared" si="251"/>
        <v>0</v>
      </c>
      <c r="EC1004" s="112">
        <f t="shared" si="260"/>
        <v>0</v>
      </c>
      <c r="ED1004" s="29">
        <f t="shared" si="252"/>
        <v>0</v>
      </c>
      <c r="EE1004" s="2">
        <f t="shared" si="253"/>
        <v>0</v>
      </c>
      <c r="EF1004" s="46">
        <f t="shared" si="254"/>
        <v>0</v>
      </c>
      <c r="EG1004" s="46">
        <f t="shared" si="255"/>
        <v>0</v>
      </c>
      <c r="EH1004" s="29">
        <f t="shared" si="256"/>
        <v>0</v>
      </c>
      <c r="EI1004" s="29">
        <f>IF(COUNT(I1004:AD1004)&lt;5,DZ1004,SUMPRODUCT(LARGE(I1004:AD1004,{1,2,3,4,5}))/5)</f>
        <v>0</v>
      </c>
      <c r="EJ1004" s="29">
        <f>IF(COUNT(I1004:BE1004)&lt;5,DZ1004,SUMPRODUCT(LARGE(I1004:BE1004,{1,2,3,4,5}))/5)</f>
        <v>0</v>
      </c>
      <c r="EK1004" s="29">
        <f t="shared" si="259"/>
        <v>0</v>
      </c>
      <c r="EL1004" s="29">
        <f t="shared" si="263"/>
        <v>0</v>
      </c>
      <c r="EM1004" s="116">
        <f t="shared" si="258"/>
        <v>0</v>
      </c>
      <c r="EQ1004"/>
    </row>
    <row r="1005" spans="1:147" x14ac:dyDescent="0.25">
      <c r="A1005" s="59"/>
      <c r="B1005" s="4"/>
      <c r="C1005" s="5"/>
      <c r="D1005" s="5"/>
      <c r="E1005" s="6"/>
      <c r="F1005" s="6"/>
      <c r="G1005" s="5"/>
      <c r="H1005" s="99"/>
      <c r="I1005" s="36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227"/>
      <c r="Z1005" s="228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0"/>
      <c r="AS1005" s="70"/>
      <c r="AT1005" s="70"/>
      <c r="AU1005" s="7"/>
      <c r="AV1005" s="70"/>
      <c r="AW1005" s="7"/>
      <c r="AX1005" s="183"/>
      <c r="AY1005" s="107"/>
      <c r="AZ1005" s="7"/>
      <c r="BA1005" s="7"/>
      <c r="BB1005" s="7"/>
      <c r="BC1005" s="74"/>
      <c r="BD1005" s="7"/>
      <c r="BE1005" s="74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101"/>
      <c r="CL1005" s="74"/>
      <c r="CM1005" s="74"/>
      <c r="CN1005" s="74"/>
      <c r="CO1005" s="70"/>
      <c r="CP1005" s="101"/>
      <c r="CQ1005" s="7"/>
      <c r="CR1005" s="74"/>
      <c r="CS1005" s="74"/>
      <c r="CT1005" s="74"/>
      <c r="CU1005" s="74"/>
      <c r="CV1005" s="74"/>
      <c r="CW1005" s="7"/>
      <c r="CX1005" s="7"/>
      <c r="CY1005" s="7"/>
      <c r="CZ1005" s="7"/>
      <c r="DA1005" s="7"/>
      <c r="DB1005" s="7"/>
      <c r="DC1005" s="7"/>
      <c r="DD1005" s="7"/>
      <c r="DE1005" s="74"/>
      <c r="DF1005" s="74"/>
      <c r="DG1005" s="74"/>
      <c r="DH1005" s="74"/>
      <c r="DI1005" s="74"/>
      <c r="DJ1005" s="7"/>
      <c r="DK1005" s="7"/>
      <c r="DL1005" s="7"/>
      <c r="DM1005" s="7"/>
      <c r="DN1005" s="7"/>
      <c r="DO1005" s="7"/>
      <c r="DP1005" s="7"/>
      <c r="DQ1005" s="7"/>
      <c r="DR1005" s="7"/>
      <c r="DS1005" s="7"/>
      <c r="DT1005" s="7"/>
      <c r="DU1005" s="7"/>
      <c r="DV1005" s="7"/>
      <c r="DW1005" s="7"/>
      <c r="DX1005" s="7"/>
      <c r="DY1005" s="7"/>
      <c r="DZ1005" s="8">
        <f t="shared" si="249"/>
        <v>0</v>
      </c>
      <c r="EA1005" s="3">
        <f t="shared" si="250"/>
        <v>0</v>
      </c>
      <c r="EB1005" s="2">
        <f t="shared" si="251"/>
        <v>0</v>
      </c>
      <c r="EC1005" s="112">
        <f t="shared" si="260"/>
        <v>0</v>
      </c>
      <c r="ED1005" s="29">
        <f t="shared" si="252"/>
        <v>0</v>
      </c>
      <c r="EE1005" s="2">
        <f t="shared" si="253"/>
        <v>0</v>
      </c>
      <c r="EF1005" s="46">
        <f t="shared" si="254"/>
        <v>0</v>
      </c>
      <c r="EG1005" s="46">
        <f t="shared" si="255"/>
        <v>0</v>
      </c>
      <c r="EH1005" s="2">
        <f t="shared" si="256"/>
        <v>0</v>
      </c>
      <c r="EI1005" s="29">
        <f>IF(COUNT(I1005:AD1005)&lt;5,DZ1005,SUMPRODUCT(LARGE(I1005:AD1005,{1,2,3,4,5}))/5)</f>
        <v>0</v>
      </c>
      <c r="EJ1005" s="29">
        <f>IF(COUNT(I1005:BE1005)&lt;5,DZ1005,SUMPRODUCT(LARGE(I1005:BE1005,{1,2,3,4,5}))/5)</f>
        <v>0</v>
      </c>
      <c r="EK1005" s="29">
        <f t="shared" si="259"/>
        <v>0</v>
      </c>
      <c r="EL1005" s="29">
        <f t="shared" si="263"/>
        <v>0</v>
      </c>
      <c r="EM1005" s="116">
        <f t="shared" si="258"/>
        <v>0</v>
      </c>
      <c r="EQ1005"/>
    </row>
    <row r="1006" spans="1:147" x14ac:dyDescent="0.25">
      <c r="A1006" s="59"/>
      <c r="B1006" s="32"/>
      <c r="C1006" s="5"/>
      <c r="D1006" s="6"/>
      <c r="E1006" s="6"/>
      <c r="F1006" s="6"/>
      <c r="G1006" s="5"/>
      <c r="H1006" s="37"/>
      <c r="I1006" s="36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227"/>
      <c r="Z1006" s="228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4"/>
      <c r="AP1006" s="7"/>
      <c r="AQ1006" s="74"/>
      <c r="AR1006" s="70"/>
      <c r="AS1006" s="70"/>
      <c r="AT1006" s="70"/>
      <c r="AU1006" s="7"/>
      <c r="AV1006" s="70"/>
      <c r="AW1006" s="7"/>
      <c r="AX1006" s="8"/>
      <c r="AY1006" s="36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101"/>
      <c r="CL1006" s="74"/>
      <c r="CM1006" s="74"/>
      <c r="CN1006" s="74"/>
      <c r="CO1006" s="70"/>
      <c r="CP1006" s="101"/>
      <c r="CQ1006" s="7"/>
      <c r="CR1006" s="74"/>
      <c r="CS1006" s="74"/>
      <c r="CT1006" s="74"/>
      <c r="CU1006" s="74"/>
      <c r="CV1006" s="74"/>
      <c r="CW1006" s="7"/>
      <c r="CX1006" s="7"/>
      <c r="CY1006" s="7"/>
      <c r="CZ1006" s="74"/>
      <c r="DA1006" s="7"/>
      <c r="DB1006" s="7"/>
      <c r="DC1006" s="7"/>
      <c r="DD1006" s="7"/>
      <c r="DE1006" s="74"/>
      <c r="DF1006" s="74"/>
      <c r="DG1006" s="74"/>
      <c r="DH1006" s="74"/>
      <c r="DI1006" s="74"/>
      <c r="DJ1006" s="74"/>
      <c r="DK1006" s="7"/>
      <c r="DL1006" s="74"/>
      <c r="DM1006" s="74"/>
      <c r="DN1006" s="7"/>
      <c r="DO1006" s="7"/>
      <c r="DP1006" s="7"/>
      <c r="DQ1006" s="7"/>
      <c r="DR1006" s="7"/>
      <c r="DS1006" s="7"/>
      <c r="DT1006" s="7"/>
      <c r="DU1006" s="7"/>
      <c r="DV1006" s="7"/>
      <c r="DW1006" s="7"/>
      <c r="DX1006" s="7"/>
      <c r="DY1006" s="7"/>
      <c r="DZ1006" s="8">
        <f t="shared" si="249"/>
        <v>0</v>
      </c>
      <c r="EA1006" s="3">
        <f t="shared" si="250"/>
        <v>0</v>
      </c>
      <c r="EB1006" s="2">
        <f t="shared" si="251"/>
        <v>0</v>
      </c>
      <c r="EC1006" s="112">
        <f t="shared" si="260"/>
        <v>0</v>
      </c>
      <c r="ED1006" s="29">
        <f t="shared" si="252"/>
        <v>0</v>
      </c>
      <c r="EE1006" s="2">
        <f t="shared" si="253"/>
        <v>0</v>
      </c>
      <c r="EF1006" s="46">
        <f t="shared" si="254"/>
        <v>0</v>
      </c>
      <c r="EG1006" s="46">
        <f t="shared" si="255"/>
        <v>0</v>
      </c>
      <c r="EH1006" s="2">
        <f t="shared" si="256"/>
        <v>0</v>
      </c>
      <c r="EI1006" s="29">
        <f>IF(COUNT(I1006:AD1006)&lt;5,DZ1006,SUMPRODUCT(LARGE(I1006:AD1006,{1,2,3,4,5}))/5)</f>
        <v>0</v>
      </c>
      <c r="EJ1006" s="29">
        <f>IF(COUNT(I1006:BE1006)&lt;5,DZ1006,SUMPRODUCT(LARGE(I1006:BE1006,{1,2,3,4,5}))/5)</f>
        <v>0</v>
      </c>
      <c r="EK1006" s="29">
        <f t="shared" si="259"/>
        <v>0</v>
      </c>
      <c r="EL1006" s="29">
        <f t="shared" si="263"/>
        <v>0</v>
      </c>
      <c r="EM1006" s="116">
        <f t="shared" si="258"/>
        <v>0</v>
      </c>
      <c r="EQ1006"/>
    </row>
    <row r="1007" spans="1:147" x14ac:dyDescent="0.25">
      <c r="A1007" s="59"/>
      <c r="B1007" s="32"/>
      <c r="C1007" s="5"/>
      <c r="D1007" s="6"/>
      <c r="E1007" s="6"/>
      <c r="F1007" s="6"/>
      <c r="G1007" s="5"/>
      <c r="H1007" s="99"/>
      <c r="I1007" s="36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227"/>
      <c r="Z1007" s="228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4"/>
      <c r="AP1007" s="7"/>
      <c r="AQ1007" s="74"/>
      <c r="AR1007" s="70"/>
      <c r="AS1007" s="70"/>
      <c r="AT1007" s="70"/>
      <c r="AU1007" s="7"/>
      <c r="AV1007" s="70"/>
      <c r="AW1007" s="7"/>
      <c r="AX1007" s="183"/>
      <c r="AY1007" s="10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4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101"/>
      <c r="CL1007" s="74"/>
      <c r="CM1007" s="74"/>
      <c r="CN1007" s="74"/>
      <c r="CO1007" s="70"/>
      <c r="CP1007" s="101"/>
      <c r="CQ1007" s="7"/>
      <c r="CR1007" s="74"/>
      <c r="CS1007" s="74"/>
      <c r="CT1007" s="74"/>
      <c r="CU1007" s="74"/>
      <c r="CV1007" s="7"/>
      <c r="CW1007" s="7"/>
      <c r="CX1007" s="7"/>
      <c r="CY1007" s="7"/>
      <c r="CZ1007" s="7"/>
      <c r="DA1007" s="7"/>
      <c r="DB1007" s="7"/>
      <c r="DC1007" s="7"/>
      <c r="DD1007" s="7"/>
      <c r="DE1007" s="74"/>
      <c r="DF1007" s="74"/>
      <c r="DG1007" s="74"/>
      <c r="DH1007" s="7"/>
      <c r="DI1007" s="74"/>
      <c r="DJ1007" s="7"/>
      <c r="DK1007" s="7"/>
      <c r="DL1007" s="7"/>
      <c r="DM1007" s="7"/>
      <c r="DN1007" s="7"/>
      <c r="DO1007" s="7"/>
      <c r="DP1007" s="7"/>
      <c r="DQ1007" s="7"/>
      <c r="DR1007" s="7"/>
      <c r="DS1007" s="7"/>
      <c r="DT1007" s="7"/>
      <c r="DU1007" s="7"/>
      <c r="DV1007" s="7"/>
      <c r="DW1007" s="7"/>
      <c r="DX1007" s="7"/>
      <c r="DY1007" s="7"/>
      <c r="DZ1007" s="8">
        <f t="shared" si="249"/>
        <v>0</v>
      </c>
      <c r="EA1007" s="3">
        <f t="shared" si="250"/>
        <v>0</v>
      </c>
      <c r="EB1007" s="2">
        <f t="shared" si="251"/>
        <v>0</v>
      </c>
      <c r="EC1007" s="112">
        <f t="shared" si="260"/>
        <v>0</v>
      </c>
      <c r="ED1007" s="29">
        <f t="shared" si="252"/>
        <v>0</v>
      </c>
      <c r="EE1007" s="2">
        <f t="shared" si="253"/>
        <v>0</v>
      </c>
      <c r="EF1007" s="46">
        <f t="shared" si="254"/>
        <v>0</v>
      </c>
      <c r="EG1007" s="46">
        <f t="shared" si="255"/>
        <v>0</v>
      </c>
      <c r="EH1007" s="2">
        <f t="shared" si="256"/>
        <v>0</v>
      </c>
      <c r="EI1007" s="29">
        <f>IF(COUNT(I1007:AD1007)&lt;5,DZ1007,SUMPRODUCT(LARGE(I1007:AD1007,{1,2,3,4,5}))/5)</f>
        <v>0</v>
      </c>
      <c r="EJ1007" s="29">
        <f>IF(COUNT(I1007:BE1007)&lt;5,DZ1007,SUMPRODUCT(LARGE(I1007:BE1007,{1,2,3,4,5}))/5)</f>
        <v>0</v>
      </c>
      <c r="EK1007" s="29">
        <f t="shared" si="259"/>
        <v>0</v>
      </c>
      <c r="EL1007" s="29">
        <f t="shared" si="263"/>
        <v>0</v>
      </c>
      <c r="EM1007" s="116">
        <f t="shared" si="258"/>
        <v>0</v>
      </c>
      <c r="EQ1007"/>
    </row>
    <row r="1008" spans="1:147" x14ac:dyDescent="0.25">
      <c r="A1008" s="59"/>
      <c r="B1008" s="84"/>
      <c r="C1008" s="5"/>
      <c r="D1008" s="6"/>
      <c r="E1008" s="6"/>
      <c r="F1008" s="6"/>
      <c r="G1008" s="5"/>
      <c r="H1008" s="37"/>
      <c r="I1008" s="36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227"/>
      <c r="Z1008" s="228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4"/>
      <c r="AP1008" s="7"/>
      <c r="AQ1008" s="74"/>
      <c r="AR1008" s="70"/>
      <c r="AS1008" s="70"/>
      <c r="AT1008" s="70"/>
      <c r="AU1008" s="7"/>
      <c r="AV1008" s="70"/>
      <c r="AW1008" s="7"/>
      <c r="AX1008" s="8"/>
      <c r="AY1008" s="36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4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7"/>
      <c r="CK1008" s="101"/>
      <c r="CL1008" s="74"/>
      <c r="CM1008" s="74"/>
      <c r="CN1008" s="74"/>
      <c r="CO1008" s="70"/>
      <c r="CP1008" s="101"/>
      <c r="CQ1008" s="7"/>
      <c r="CR1008" s="74"/>
      <c r="CS1008" s="74"/>
      <c r="CT1008" s="74"/>
      <c r="CU1008" s="74"/>
      <c r="CV1008" s="7"/>
      <c r="CW1008" s="7"/>
      <c r="CX1008" s="7"/>
      <c r="CY1008" s="7"/>
      <c r="CZ1008" s="7"/>
      <c r="DA1008" s="7"/>
      <c r="DB1008" s="7"/>
      <c r="DC1008" s="7"/>
      <c r="DD1008" s="7"/>
      <c r="DE1008" s="74"/>
      <c r="DF1008" s="74"/>
      <c r="DG1008" s="74"/>
      <c r="DH1008" s="7"/>
      <c r="DI1008" s="74"/>
      <c r="DJ1008" s="7"/>
      <c r="DK1008" s="7"/>
      <c r="DL1008" s="7"/>
      <c r="DM1008" s="7"/>
      <c r="DN1008" s="7"/>
      <c r="DO1008" s="7"/>
      <c r="DP1008" s="7"/>
      <c r="DQ1008" s="7"/>
      <c r="DR1008" s="7"/>
      <c r="DS1008" s="7"/>
      <c r="DT1008" s="7"/>
      <c r="DU1008" s="7"/>
      <c r="DV1008" s="7"/>
      <c r="DW1008" s="7"/>
      <c r="DX1008" s="7"/>
      <c r="DY1008" s="7"/>
      <c r="DZ1008" s="8">
        <f t="shared" si="249"/>
        <v>0</v>
      </c>
      <c r="EA1008" s="3">
        <f t="shared" si="250"/>
        <v>0</v>
      </c>
      <c r="EB1008" s="2">
        <f t="shared" si="251"/>
        <v>0</v>
      </c>
      <c r="EC1008" s="112">
        <f t="shared" si="260"/>
        <v>0</v>
      </c>
      <c r="ED1008" s="29">
        <f t="shared" si="252"/>
        <v>0</v>
      </c>
      <c r="EE1008" s="2">
        <f t="shared" si="253"/>
        <v>0</v>
      </c>
      <c r="EF1008" s="46">
        <f t="shared" si="254"/>
        <v>0</v>
      </c>
      <c r="EG1008" s="46">
        <f t="shared" si="255"/>
        <v>0</v>
      </c>
      <c r="EH1008" s="2">
        <f t="shared" si="256"/>
        <v>0</v>
      </c>
      <c r="EI1008" s="29">
        <f>IF(COUNT(I1008:AD1008)&lt;5,DZ1008,SUMPRODUCT(LARGE(I1008:AD1008,{1,2,3,4,5}))/5)</f>
        <v>0</v>
      </c>
      <c r="EJ1008" s="29">
        <f>IF(COUNT(I1008:BE1008)&lt;5,DZ1008,SUMPRODUCT(LARGE(I1008:BE1008,{1,2,3,4,5}))/5)</f>
        <v>0</v>
      </c>
      <c r="EK1008" s="29">
        <f t="shared" si="259"/>
        <v>0</v>
      </c>
      <c r="EL1008" s="29">
        <f t="shared" si="263"/>
        <v>0</v>
      </c>
      <c r="EM1008" s="116">
        <f t="shared" si="258"/>
        <v>0</v>
      </c>
      <c r="EQ1008"/>
    </row>
    <row r="1009" spans="1:147" x14ac:dyDescent="0.25">
      <c r="A1009" s="59"/>
      <c r="B1009" s="84"/>
      <c r="C1009" s="5"/>
      <c r="D1009" s="6"/>
      <c r="E1009" s="6"/>
      <c r="F1009" s="6"/>
      <c r="G1009" s="5"/>
      <c r="H1009" s="37"/>
      <c r="I1009" s="36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227"/>
      <c r="Z1009" s="228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4"/>
      <c r="AP1009" s="7"/>
      <c r="AQ1009" s="74"/>
      <c r="AR1009" s="70"/>
      <c r="AS1009" s="70"/>
      <c r="AT1009" s="70"/>
      <c r="AU1009" s="7"/>
      <c r="AV1009" s="70"/>
      <c r="AW1009" s="7"/>
      <c r="AX1009" s="8"/>
      <c r="AY1009" s="36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4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101"/>
      <c r="CL1009" s="74"/>
      <c r="CM1009" s="74"/>
      <c r="CN1009" s="74"/>
      <c r="CO1009" s="70"/>
      <c r="CP1009" s="101"/>
      <c r="CQ1009" s="7"/>
      <c r="CR1009" s="74"/>
      <c r="CS1009" s="74"/>
      <c r="CT1009" s="74"/>
      <c r="CU1009" s="74"/>
      <c r="CV1009" s="74"/>
      <c r="CW1009" s="7"/>
      <c r="CX1009" s="7"/>
      <c r="CY1009" s="7"/>
      <c r="CZ1009" s="7"/>
      <c r="DA1009" s="7"/>
      <c r="DB1009" s="7"/>
      <c r="DC1009" s="7"/>
      <c r="DD1009" s="7"/>
      <c r="DE1009" s="74"/>
      <c r="DF1009" s="74"/>
      <c r="DG1009" s="74"/>
      <c r="DH1009" s="74"/>
      <c r="DI1009" s="74"/>
      <c r="DJ1009" s="7"/>
      <c r="DK1009" s="7"/>
      <c r="DL1009" s="7"/>
      <c r="DM1009" s="7"/>
      <c r="DN1009" s="7"/>
      <c r="DO1009" s="7"/>
      <c r="DP1009" s="7"/>
      <c r="DQ1009" s="7"/>
      <c r="DR1009" s="7"/>
      <c r="DS1009" s="7"/>
      <c r="DT1009" s="7"/>
      <c r="DU1009" s="7"/>
      <c r="DV1009" s="7"/>
      <c r="DW1009" s="7"/>
      <c r="DX1009" s="7"/>
      <c r="DY1009" s="7"/>
      <c r="DZ1009" s="8">
        <f t="shared" si="249"/>
        <v>0</v>
      </c>
      <c r="EA1009" s="3">
        <f t="shared" si="250"/>
        <v>0</v>
      </c>
      <c r="EB1009" s="2">
        <f t="shared" si="251"/>
        <v>0</v>
      </c>
      <c r="EC1009" s="112">
        <f t="shared" si="260"/>
        <v>0</v>
      </c>
      <c r="ED1009" s="29">
        <f t="shared" si="252"/>
        <v>0</v>
      </c>
      <c r="EE1009" s="2">
        <f t="shared" si="253"/>
        <v>0</v>
      </c>
      <c r="EF1009" s="46">
        <f t="shared" si="254"/>
        <v>0</v>
      </c>
      <c r="EG1009" s="46">
        <f t="shared" si="255"/>
        <v>0</v>
      </c>
      <c r="EH1009" s="2">
        <f t="shared" si="256"/>
        <v>0</v>
      </c>
      <c r="EI1009" s="29">
        <f>IF(COUNT(I1009:AD1009)&lt;5,DZ1009,SUMPRODUCT(LARGE(I1009:AD1009,{1,2,3,4,5}))/5)</f>
        <v>0</v>
      </c>
      <c r="EJ1009" s="29">
        <f>IF(COUNT(I1009:BE1009)&lt;5,DZ1009,SUMPRODUCT(LARGE(I1009:BE1009,{1,2,3,4,5}))/5)</f>
        <v>0</v>
      </c>
      <c r="EK1009" s="29">
        <f t="shared" si="259"/>
        <v>0</v>
      </c>
      <c r="EL1009" s="29">
        <f t="shared" si="263"/>
        <v>0</v>
      </c>
      <c r="EM1009" s="116">
        <f t="shared" si="258"/>
        <v>0</v>
      </c>
      <c r="EQ1009"/>
    </row>
    <row r="1010" spans="1:147" x14ac:dyDescent="0.25">
      <c r="A1010" s="59"/>
      <c r="B1010" s="4"/>
      <c r="C1010" s="5"/>
      <c r="D1010" s="5"/>
      <c r="E1010" s="6"/>
      <c r="F1010" s="6"/>
      <c r="G1010" s="5"/>
      <c r="H1010" s="37"/>
      <c r="I1010" s="36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227"/>
      <c r="Z1010" s="228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4"/>
      <c r="AP1010" s="7"/>
      <c r="AQ1010" s="74"/>
      <c r="AR1010" s="70"/>
      <c r="AS1010" s="70"/>
      <c r="AT1010" s="70"/>
      <c r="AU1010" s="7"/>
      <c r="AV1010" s="70"/>
      <c r="AW1010" s="7"/>
      <c r="AX1010" s="8"/>
      <c r="AY1010" s="36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4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101"/>
      <c r="CL1010" s="74"/>
      <c r="CM1010" s="74"/>
      <c r="CN1010" s="74"/>
      <c r="CO1010" s="70"/>
      <c r="CP1010" s="101"/>
      <c r="CQ1010" s="7"/>
      <c r="CR1010" s="74"/>
      <c r="CS1010" s="74"/>
      <c r="CT1010" s="74"/>
      <c r="CU1010" s="74"/>
      <c r="CV1010" s="74"/>
      <c r="CW1010" s="7"/>
      <c r="CX1010" s="7"/>
      <c r="CY1010" s="7"/>
      <c r="CZ1010" s="7"/>
      <c r="DA1010" s="7"/>
      <c r="DB1010" s="7"/>
      <c r="DC1010" s="7"/>
      <c r="DD1010" s="7"/>
      <c r="DE1010" s="74"/>
      <c r="DF1010" s="74"/>
      <c r="DG1010" s="74"/>
      <c r="DH1010" s="74"/>
      <c r="DI1010" s="74"/>
      <c r="DJ1010" s="7"/>
      <c r="DK1010" s="7"/>
      <c r="DL1010" s="7"/>
      <c r="DM1010" s="7"/>
      <c r="DN1010" s="7"/>
      <c r="DO1010" s="7"/>
      <c r="DP1010" s="7"/>
      <c r="DQ1010" s="7"/>
      <c r="DR1010" s="7"/>
      <c r="DS1010" s="7"/>
      <c r="DT1010" s="7"/>
      <c r="DU1010" s="7"/>
      <c r="DV1010" s="7"/>
      <c r="DW1010" s="7"/>
      <c r="DX1010" s="7"/>
      <c r="DY1010" s="7"/>
      <c r="DZ1010" s="8">
        <f t="shared" si="249"/>
        <v>0</v>
      </c>
      <c r="EA1010" s="3">
        <f t="shared" si="250"/>
        <v>0</v>
      </c>
      <c r="EB1010" s="2">
        <f t="shared" si="251"/>
        <v>0</v>
      </c>
      <c r="EC1010" s="112">
        <f t="shared" si="260"/>
        <v>0</v>
      </c>
      <c r="ED1010" s="29">
        <f t="shared" si="252"/>
        <v>0</v>
      </c>
      <c r="EE1010" s="2">
        <f t="shared" si="253"/>
        <v>0</v>
      </c>
      <c r="EF1010" s="46">
        <f t="shared" si="254"/>
        <v>0</v>
      </c>
      <c r="EG1010" s="46">
        <f t="shared" si="255"/>
        <v>0</v>
      </c>
      <c r="EH1010" s="2">
        <f t="shared" si="256"/>
        <v>0</v>
      </c>
      <c r="EI1010" s="29">
        <f>IF(COUNT(I1010:AD1010)&lt;5,DZ1010,SUMPRODUCT(LARGE(I1010:AD1010,{1,2,3,4,5}))/5)</f>
        <v>0</v>
      </c>
      <c r="EJ1010" s="29">
        <f>IF(COUNT(I1010:BE1010)&lt;5,DZ1010,SUMPRODUCT(LARGE(I1010:BE1010,{1,2,3,4,5}))/5)</f>
        <v>0</v>
      </c>
      <c r="EK1010" s="29">
        <f t="shared" si="259"/>
        <v>0</v>
      </c>
      <c r="EL1010" s="29">
        <f t="shared" si="263"/>
        <v>0</v>
      </c>
      <c r="EM1010" s="116">
        <f t="shared" si="258"/>
        <v>0</v>
      </c>
      <c r="EQ1010"/>
    </row>
    <row r="1011" spans="1:147" x14ac:dyDescent="0.25">
      <c r="A1011" s="59"/>
      <c r="B1011" s="84"/>
      <c r="C1011" s="5"/>
      <c r="D1011" s="6"/>
      <c r="E1011" s="6"/>
      <c r="F1011" s="6"/>
      <c r="G1011" s="5"/>
      <c r="H1011" s="37"/>
      <c r="I1011" s="36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227"/>
      <c r="Z1011" s="228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4"/>
      <c r="AP1011" s="7"/>
      <c r="AQ1011" s="74"/>
      <c r="AR1011" s="70"/>
      <c r="AS1011" s="70"/>
      <c r="AT1011" s="70"/>
      <c r="AU1011" s="7"/>
      <c r="AV1011" s="70"/>
      <c r="AW1011" s="7"/>
      <c r="AX1011" s="8"/>
      <c r="AY1011" s="36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4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7"/>
      <c r="CK1011" s="101"/>
      <c r="CL1011" s="74"/>
      <c r="CM1011" s="74"/>
      <c r="CN1011" s="74"/>
      <c r="CO1011" s="70"/>
      <c r="CP1011" s="101"/>
      <c r="CQ1011" s="7"/>
      <c r="CR1011" s="74"/>
      <c r="CS1011" s="74"/>
      <c r="CT1011" s="74"/>
      <c r="CU1011" s="74"/>
      <c r="CV1011" s="74"/>
      <c r="CW1011" s="7"/>
      <c r="CX1011" s="7"/>
      <c r="CY1011" s="7"/>
      <c r="CZ1011" s="7"/>
      <c r="DA1011" s="7"/>
      <c r="DB1011" s="7"/>
      <c r="DC1011" s="7"/>
      <c r="DD1011" s="7"/>
      <c r="DE1011" s="74"/>
      <c r="DF1011" s="74"/>
      <c r="DG1011" s="74"/>
      <c r="DH1011" s="74"/>
      <c r="DI1011" s="74"/>
      <c r="DJ1011" s="7"/>
      <c r="DK1011" s="7"/>
      <c r="DL1011" s="7"/>
      <c r="DM1011" s="7"/>
      <c r="DN1011" s="7"/>
      <c r="DO1011" s="7"/>
      <c r="DP1011" s="7"/>
      <c r="DQ1011" s="7"/>
      <c r="DR1011" s="7"/>
      <c r="DS1011" s="7"/>
      <c r="DT1011" s="7"/>
      <c r="DU1011" s="7"/>
      <c r="DV1011" s="7"/>
      <c r="DW1011" s="7"/>
      <c r="DX1011" s="7"/>
      <c r="DY1011" s="7"/>
      <c r="DZ1011" s="8">
        <f t="shared" si="249"/>
        <v>0</v>
      </c>
      <c r="EA1011" s="3">
        <f t="shared" si="250"/>
        <v>0</v>
      </c>
      <c r="EB1011" s="2">
        <f t="shared" si="251"/>
        <v>0</v>
      </c>
      <c r="EC1011" s="112">
        <f t="shared" si="260"/>
        <v>0</v>
      </c>
      <c r="ED1011" s="29">
        <f t="shared" si="252"/>
        <v>0</v>
      </c>
      <c r="EE1011" s="2">
        <f t="shared" si="253"/>
        <v>0</v>
      </c>
      <c r="EF1011" s="46">
        <f t="shared" si="254"/>
        <v>0</v>
      </c>
      <c r="EG1011" s="46">
        <f t="shared" si="255"/>
        <v>0</v>
      </c>
      <c r="EH1011" s="2">
        <f t="shared" si="256"/>
        <v>0</v>
      </c>
      <c r="EI1011" s="29">
        <f>IF(COUNT(I1011:AD1011)&lt;5,DZ1011,SUMPRODUCT(LARGE(I1011:AD1011,{1,2,3,4,5}))/5)</f>
        <v>0</v>
      </c>
      <c r="EJ1011" s="29">
        <f>IF(COUNT(I1011:BE1011)&lt;5,DZ1011,SUMPRODUCT(LARGE(I1011:BE1011,{1,2,3,4,5}))/5)</f>
        <v>0</v>
      </c>
      <c r="EK1011" s="29">
        <f t="shared" si="259"/>
        <v>0</v>
      </c>
      <c r="EL1011" s="29">
        <f t="shared" si="263"/>
        <v>0</v>
      </c>
      <c r="EM1011" s="116">
        <f t="shared" si="258"/>
        <v>0</v>
      </c>
      <c r="EQ1011"/>
    </row>
    <row r="1012" spans="1:147" x14ac:dyDescent="0.25">
      <c r="A1012" s="59"/>
      <c r="B1012" s="32"/>
      <c r="C1012" s="5"/>
      <c r="D1012" s="6"/>
      <c r="E1012" s="6"/>
      <c r="F1012" s="6"/>
      <c r="G1012" s="5"/>
      <c r="H1012" s="37"/>
      <c r="I1012" s="107"/>
      <c r="J1012" s="7"/>
      <c r="K1012" s="74"/>
      <c r="L1012" s="7"/>
      <c r="M1012" s="74"/>
      <c r="N1012" s="74"/>
      <c r="O1012" s="7"/>
      <c r="P1012" s="74"/>
      <c r="Q1012" s="74"/>
      <c r="R1012" s="74"/>
      <c r="S1012" s="74"/>
      <c r="T1012" s="7"/>
      <c r="U1012" s="7"/>
      <c r="V1012" s="74"/>
      <c r="W1012" s="7"/>
      <c r="X1012" s="74"/>
      <c r="Y1012" s="227"/>
      <c r="Z1012" s="228"/>
      <c r="AA1012" s="74"/>
      <c r="AB1012" s="74"/>
      <c r="AC1012" s="74"/>
      <c r="AD1012" s="74"/>
      <c r="AE1012" s="7"/>
      <c r="AF1012" s="74"/>
      <c r="AG1012" s="74"/>
      <c r="AH1012" s="7"/>
      <c r="AI1012" s="7"/>
      <c r="AJ1012" s="7"/>
      <c r="AK1012" s="7"/>
      <c r="AL1012" s="7"/>
      <c r="AM1012" s="7"/>
      <c r="AN1012" s="7"/>
      <c r="AO1012" s="74"/>
      <c r="AP1012" s="7"/>
      <c r="AQ1012" s="74"/>
      <c r="AR1012" s="101"/>
      <c r="AS1012" s="70"/>
      <c r="AT1012" s="70"/>
      <c r="AU1012" s="7"/>
      <c r="AV1012" s="70"/>
      <c r="AW1012" s="7"/>
      <c r="AX1012" s="8"/>
      <c r="AY1012" s="36"/>
      <c r="AZ1012" s="74"/>
      <c r="BA1012" s="74"/>
      <c r="BB1012" s="74"/>
      <c r="BC1012" s="74"/>
      <c r="BD1012" s="74"/>
      <c r="BE1012" s="74"/>
      <c r="BF1012" s="74"/>
      <c r="BG1012" s="74"/>
      <c r="BH1012" s="74"/>
      <c r="BI1012" s="74"/>
      <c r="BJ1012" s="74"/>
      <c r="BK1012" s="7"/>
      <c r="BL1012" s="74"/>
      <c r="BM1012" s="7"/>
      <c r="BN1012" s="74"/>
      <c r="BO1012" s="74"/>
      <c r="BP1012" s="74"/>
      <c r="BQ1012" s="74"/>
      <c r="BR1012" s="74"/>
      <c r="BS1012" s="74"/>
      <c r="BT1012" s="74"/>
      <c r="BU1012" s="74"/>
      <c r="BV1012" s="74"/>
      <c r="BW1012" s="74"/>
      <c r="BX1012" s="74"/>
      <c r="BY1012" s="74"/>
      <c r="BZ1012" s="74"/>
      <c r="CA1012" s="74"/>
      <c r="CB1012" s="74"/>
      <c r="CC1012" s="74"/>
      <c r="CD1012" s="74"/>
      <c r="CE1012" s="74"/>
      <c r="CF1012" s="74"/>
      <c r="CG1012" s="74"/>
      <c r="CH1012" s="74"/>
      <c r="CI1012" s="74"/>
      <c r="CJ1012" s="74"/>
      <c r="CK1012" s="101"/>
      <c r="CL1012" s="74"/>
      <c r="CM1012" s="74"/>
      <c r="CN1012" s="74"/>
      <c r="CO1012" s="101"/>
      <c r="CP1012" s="101"/>
      <c r="CQ1012" s="74"/>
      <c r="CR1012" s="74"/>
      <c r="CS1012" s="74"/>
      <c r="CT1012" s="74"/>
      <c r="CU1012" s="74"/>
      <c r="CV1012" s="74"/>
      <c r="CW1012" s="74"/>
      <c r="CX1012" s="74"/>
      <c r="CY1012" s="74"/>
      <c r="CZ1012" s="74"/>
      <c r="DA1012" s="74"/>
      <c r="DB1012" s="74"/>
      <c r="DC1012" s="74"/>
      <c r="DD1012" s="74"/>
      <c r="DE1012" s="74"/>
      <c r="DF1012" s="74"/>
      <c r="DG1012" s="74"/>
      <c r="DH1012" s="74"/>
      <c r="DI1012" s="74"/>
      <c r="DJ1012" s="74"/>
      <c r="DK1012" s="74"/>
      <c r="DL1012" s="74"/>
      <c r="DM1012" s="74"/>
      <c r="DN1012" s="74"/>
      <c r="DO1012" s="74"/>
      <c r="DP1012" s="74"/>
      <c r="DQ1012" s="74"/>
      <c r="DR1012" s="74"/>
      <c r="DS1012" s="100"/>
      <c r="DT1012" s="74"/>
      <c r="DU1012" s="74"/>
      <c r="DV1012" s="74"/>
      <c r="DW1012" s="74"/>
      <c r="DX1012" s="74"/>
      <c r="DY1012" s="74"/>
      <c r="DZ1012" s="8">
        <f t="shared" si="249"/>
        <v>0</v>
      </c>
      <c r="EA1012" s="3">
        <f t="shared" si="250"/>
        <v>0</v>
      </c>
      <c r="EB1012" s="2">
        <f t="shared" si="251"/>
        <v>0</v>
      </c>
      <c r="EC1012" s="112">
        <f t="shared" si="260"/>
        <v>0</v>
      </c>
      <c r="ED1012" s="29">
        <f t="shared" si="252"/>
        <v>0</v>
      </c>
      <c r="EE1012" s="2">
        <f t="shared" si="253"/>
        <v>0</v>
      </c>
      <c r="EF1012" s="46">
        <f t="shared" si="254"/>
        <v>0</v>
      </c>
      <c r="EG1012" s="46">
        <f t="shared" si="255"/>
        <v>0</v>
      </c>
      <c r="EH1012" s="29">
        <f t="shared" si="256"/>
        <v>0</v>
      </c>
      <c r="EI1012" s="29">
        <f>IF(COUNT(I1012:AD1012)&lt;5,DZ1012,SUMPRODUCT(LARGE(I1012:AD1012,{1,2,3,4,5}))/5)</f>
        <v>0</v>
      </c>
      <c r="EJ1012" s="29">
        <f>IF(COUNT(I1012:BE1012)&lt;5,DZ1012,SUMPRODUCT(LARGE(I1012:BE1012,{1,2,3,4,5}))/5)</f>
        <v>0</v>
      </c>
      <c r="EK1012" s="29">
        <f t="shared" si="259"/>
        <v>0</v>
      </c>
      <c r="EL1012" s="29">
        <f>(EK1012*100)/101.59</f>
        <v>0</v>
      </c>
      <c r="EM1012" s="116">
        <f t="shared" si="258"/>
        <v>0</v>
      </c>
      <c r="EQ1012"/>
    </row>
    <row r="1013" spans="1:147" x14ac:dyDescent="0.25">
      <c r="A1013" s="59"/>
      <c r="B1013" s="32"/>
      <c r="C1013" s="5"/>
      <c r="D1013" s="6"/>
      <c r="E1013" s="6"/>
      <c r="F1013" s="6"/>
      <c r="G1013" s="5"/>
      <c r="H1013" s="37"/>
      <c r="I1013" s="36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227"/>
      <c r="Z1013" s="228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4"/>
      <c r="AP1013" s="7"/>
      <c r="AQ1013" s="74"/>
      <c r="AR1013" s="70"/>
      <c r="AS1013" s="70"/>
      <c r="AT1013" s="70"/>
      <c r="AU1013" s="7"/>
      <c r="AV1013" s="70"/>
      <c r="AW1013" s="7"/>
      <c r="AX1013" s="8"/>
      <c r="AY1013" s="36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4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7"/>
      <c r="CI1013" s="7"/>
      <c r="CJ1013" s="7"/>
      <c r="CK1013" s="101"/>
      <c r="CL1013" s="74"/>
      <c r="CM1013" s="74"/>
      <c r="CN1013" s="74"/>
      <c r="CO1013" s="70"/>
      <c r="CP1013" s="101"/>
      <c r="CQ1013" s="7"/>
      <c r="CR1013" s="74"/>
      <c r="CS1013" s="74"/>
      <c r="CT1013" s="74"/>
      <c r="CU1013" s="74"/>
      <c r="CV1013" s="74"/>
      <c r="CW1013" s="7"/>
      <c r="CX1013" s="7"/>
      <c r="CY1013" s="7"/>
      <c r="CZ1013" s="7"/>
      <c r="DA1013" s="7"/>
      <c r="DB1013" s="7"/>
      <c r="DC1013" s="7"/>
      <c r="DD1013" s="7"/>
      <c r="DE1013" s="74"/>
      <c r="DF1013" s="74"/>
      <c r="DG1013" s="74"/>
      <c r="DH1013" s="74"/>
      <c r="DI1013" s="74"/>
      <c r="DJ1013" s="7"/>
      <c r="DK1013" s="7"/>
      <c r="DL1013" s="7"/>
      <c r="DM1013" s="7"/>
      <c r="DN1013" s="7"/>
      <c r="DO1013" s="7"/>
      <c r="DP1013" s="7"/>
      <c r="DQ1013" s="7"/>
      <c r="DR1013" s="7"/>
      <c r="DS1013" s="7"/>
      <c r="DT1013" s="7"/>
      <c r="DU1013" s="7"/>
      <c r="DV1013" s="7"/>
      <c r="DW1013" s="7"/>
      <c r="DX1013" s="7"/>
      <c r="DY1013" s="7"/>
      <c r="DZ1013" s="8">
        <f t="shared" si="249"/>
        <v>0</v>
      </c>
      <c r="EA1013" s="3">
        <f t="shared" si="250"/>
        <v>0</v>
      </c>
      <c r="EB1013" s="2">
        <f t="shared" si="251"/>
        <v>0</v>
      </c>
      <c r="EC1013" s="112">
        <f t="shared" si="260"/>
        <v>0</v>
      </c>
      <c r="ED1013" s="29">
        <f t="shared" si="252"/>
        <v>0</v>
      </c>
      <c r="EE1013" s="2">
        <f t="shared" si="253"/>
        <v>0</v>
      </c>
      <c r="EF1013" s="46">
        <f t="shared" si="254"/>
        <v>0</v>
      </c>
      <c r="EG1013" s="46">
        <f t="shared" si="255"/>
        <v>0</v>
      </c>
      <c r="EH1013" s="2">
        <f t="shared" si="256"/>
        <v>0</v>
      </c>
      <c r="EI1013" s="29">
        <f>IF(COUNT(I1013:AD1013)&lt;5,DZ1013,SUMPRODUCT(LARGE(I1013:AD1013,{1,2,3,4,5}))/5)</f>
        <v>0</v>
      </c>
      <c r="EJ1013" s="29">
        <f>IF(COUNT(I1013:BE1013)&lt;5,DZ1013,SUMPRODUCT(LARGE(I1013:BE1013,{1,2,3,4,5}))/5)</f>
        <v>0</v>
      </c>
      <c r="EK1013" s="29">
        <f t="shared" si="259"/>
        <v>0</v>
      </c>
      <c r="EL1013" s="29">
        <f>(EK1013*100)/101.28</f>
        <v>0</v>
      </c>
      <c r="EM1013" s="116">
        <f t="shared" si="258"/>
        <v>0</v>
      </c>
      <c r="EQ1013"/>
    </row>
    <row r="1014" spans="1:147" x14ac:dyDescent="0.25">
      <c r="A1014" s="59"/>
      <c r="B1014" s="32"/>
      <c r="C1014" s="5"/>
      <c r="D1014" s="6"/>
      <c r="E1014" s="6"/>
      <c r="F1014" s="6"/>
      <c r="G1014" s="5"/>
      <c r="H1014" s="37"/>
      <c r="I1014" s="36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227"/>
      <c r="Z1014" s="228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4"/>
      <c r="AP1014" s="7"/>
      <c r="AQ1014" s="74"/>
      <c r="AR1014" s="70"/>
      <c r="AS1014" s="70"/>
      <c r="AT1014" s="70"/>
      <c r="AU1014" s="7"/>
      <c r="AV1014" s="70"/>
      <c r="AW1014" s="7"/>
      <c r="AX1014" s="8"/>
      <c r="AY1014" s="36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4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7"/>
      <c r="CI1014" s="7"/>
      <c r="CJ1014" s="7"/>
      <c r="CK1014" s="101"/>
      <c r="CL1014" s="74"/>
      <c r="CM1014" s="74"/>
      <c r="CN1014" s="74"/>
      <c r="CO1014" s="70"/>
      <c r="CP1014" s="101"/>
      <c r="CQ1014" s="7"/>
      <c r="CR1014" s="74"/>
      <c r="CS1014" s="74"/>
      <c r="CT1014" s="74"/>
      <c r="CU1014" s="74"/>
      <c r="CV1014" s="74"/>
      <c r="CW1014" s="7"/>
      <c r="CX1014" s="7"/>
      <c r="CY1014" s="7"/>
      <c r="CZ1014" s="7"/>
      <c r="DA1014" s="7"/>
      <c r="DB1014" s="7"/>
      <c r="DC1014" s="7"/>
      <c r="DD1014" s="7"/>
      <c r="DE1014" s="74"/>
      <c r="DF1014" s="74"/>
      <c r="DG1014" s="74"/>
      <c r="DH1014" s="74"/>
      <c r="DI1014" s="74"/>
      <c r="DJ1014" s="7"/>
      <c r="DK1014" s="7"/>
      <c r="DL1014" s="7"/>
      <c r="DM1014" s="7"/>
      <c r="DN1014" s="7"/>
      <c r="DO1014" s="7"/>
      <c r="DP1014" s="7"/>
      <c r="DQ1014" s="7"/>
      <c r="DR1014" s="7"/>
      <c r="DS1014" s="7"/>
      <c r="DT1014" s="7"/>
      <c r="DU1014" s="7"/>
      <c r="DV1014" s="7"/>
      <c r="DW1014" s="7"/>
      <c r="DX1014" s="7"/>
      <c r="DY1014" s="7"/>
      <c r="DZ1014" s="8">
        <f t="shared" si="249"/>
        <v>0</v>
      </c>
      <c r="EA1014" s="3">
        <f t="shared" si="250"/>
        <v>0</v>
      </c>
      <c r="EB1014" s="2">
        <f t="shared" si="251"/>
        <v>0</v>
      </c>
      <c r="EC1014" s="112">
        <f t="shared" si="260"/>
        <v>0</v>
      </c>
      <c r="ED1014" s="29">
        <f t="shared" si="252"/>
        <v>0</v>
      </c>
      <c r="EE1014" s="2">
        <f t="shared" si="253"/>
        <v>0</v>
      </c>
      <c r="EF1014" s="46">
        <f t="shared" si="254"/>
        <v>0</v>
      </c>
      <c r="EG1014" s="46">
        <f t="shared" si="255"/>
        <v>0</v>
      </c>
      <c r="EH1014" s="2">
        <f t="shared" si="256"/>
        <v>0</v>
      </c>
      <c r="EI1014" s="29">
        <f>IF(COUNT(I1014:AD1014)&lt;5,DZ1014,SUMPRODUCT(LARGE(I1014:AD1014,{1,2,3,4,5}))/5)</f>
        <v>0</v>
      </c>
      <c r="EJ1014" s="29">
        <f>IF(COUNT(I1014:BE1014)&lt;5,DZ1014,SUMPRODUCT(LARGE(I1014:BE1014,{1,2,3,4,5}))/5)</f>
        <v>0</v>
      </c>
      <c r="EK1014" s="29">
        <f t="shared" si="259"/>
        <v>0</v>
      </c>
      <c r="EL1014" s="29">
        <f>(EK1014*100)/101.28</f>
        <v>0</v>
      </c>
      <c r="EM1014" s="116">
        <f t="shared" si="258"/>
        <v>0</v>
      </c>
      <c r="EQ1014"/>
    </row>
    <row r="1015" spans="1:147" x14ac:dyDescent="0.25">
      <c r="A1015" s="59"/>
      <c r="B1015" s="32"/>
      <c r="C1015" s="5"/>
      <c r="D1015" s="6"/>
      <c r="E1015" s="6"/>
      <c r="F1015" s="6"/>
      <c r="G1015" s="5"/>
      <c r="H1015" s="99"/>
      <c r="I1015" s="36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227"/>
      <c r="Z1015" s="228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4"/>
      <c r="AP1015" s="7"/>
      <c r="AQ1015" s="74"/>
      <c r="AR1015" s="70"/>
      <c r="AS1015" s="70"/>
      <c r="AT1015" s="70"/>
      <c r="AU1015" s="7"/>
      <c r="AV1015" s="70"/>
      <c r="AW1015" s="7"/>
      <c r="AX1015" s="183"/>
      <c r="AY1015" s="10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4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7"/>
      <c r="CI1015" s="7"/>
      <c r="CJ1015" s="7"/>
      <c r="CK1015" s="101"/>
      <c r="CL1015" s="74"/>
      <c r="CM1015" s="74"/>
      <c r="CN1015" s="74"/>
      <c r="CO1015" s="70"/>
      <c r="CP1015" s="101"/>
      <c r="CQ1015" s="7"/>
      <c r="CR1015" s="74"/>
      <c r="CS1015" s="74"/>
      <c r="CT1015" s="74"/>
      <c r="CU1015" s="74"/>
      <c r="CV1015" s="74"/>
      <c r="CW1015" s="7"/>
      <c r="CX1015" s="7"/>
      <c r="CY1015" s="7"/>
      <c r="CZ1015" s="7"/>
      <c r="DA1015" s="7"/>
      <c r="DB1015" s="7"/>
      <c r="DC1015" s="7"/>
      <c r="DD1015" s="7"/>
      <c r="DE1015" s="74"/>
      <c r="DF1015" s="74"/>
      <c r="DG1015" s="74"/>
      <c r="DH1015" s="74"/>
      <c r="DI1015" s="74"/>
      <c r="DJ1015" s="7"/>
      <c r="DK1015" s="7"/>
      <c r="DL1015" s="7"/>
      <c r="DM1015" s="7"/>
      <c r="DN1015" s="7"/>
      <c r="DO1015" s="7"/>
      <c r="DP1015" s="7"/>
      <c r="DQ1015" s="7"/>
      <c r="DR1015" s="7"/>
      <c r="DS1015" s="7"/>
      <c r="DT1015" s="7"/>
      <c r="DU1015" s="7"/>
      <c r="DV1015" s="7"/>
      <c r="DW1015" s="7"/>
      <c r="DX1015" s="7"/>
      <c r="DY1015" s="7"/>
      <c r="DZ1015" s="8">
        <f t="shared" si="249"/>
        <v>0</v>
      </c>
      <c r="EA1015" s="3">
        <f t="shared" si="250"/>
        <v>0</v>
      </c>
      <c r="EB1015" s="2">
        <f t="shared" si="251"/>
        <v>0</v>
      </c>
      <c r="EC1015" s="112">
        <f t="shared" si="260"/>
        <v>0</v>
      </c>
      <c r="ED1015" s="29">
        <f t="shared" si="252"/>
        <v>0</v>
      </c>
      <c r="EE1015" s="2">
        <f t="shared" si="253"/>
        <v>0</v>
      </c>
      <c r="EF1015" s="46">
        <f t="shared" si="254"/>
        <v>0</v>
      </c>
      <c r="EG1015" s="46">
        <f t="shared" si="255"/>
        <v>0</v>
      </c>
      <c r="EH1015" s="2">
        <f t="shared" si="256"/>
        <v>0</v>
      </c>
      <c r="EI1015" s="29">
        <f>IF(COUNT(I1015:AD1015)&lt;5,DZ1015,SUMPRODUCT(LARGE(I1015:AD1015,{1,2,3,4,5}))/5)</f>
        <v>0</v>
      </c>
      <c r="EJ1015" s="29">
        <f>IF(COUNT(I1015:BE1015)&lt;5,DZ1015,SUMPRODUCT(LARGE(I1015:BE1015,{1,2,3,4,5}))/5)</f>
        <v>0</v>
      </c>
      <c r="EK1015" s="29">
        <f t="shared" si="259"/>
        <v>0</v>
      </c>
      <c r="EL1015" s="29">
        <f>(EK1015*100)/101.28</f>
        <v>0</v>
      </c>
      <c r="EM1015" s="116">
        <f t="shared" si="258"/>
        <v>0</v>
      </c>
      <c r="EQ1015"/>
    </row>
    <row r="1016" spans="1:147" x14ac:dyDescent="0.25">
      <c r="A1016" s="59"/>
      <c r="B1016" s="32"/>
      <c r="C1016" s="5"/>
      <c r="D1016" s="6"/>
      <c r="E1016" s="6"/>
      <c r="F1016" s="6"/>
      <c r="G1016" s="5"/>
      <c r="H1016" s="37"/>
      <c r="I1016" s="36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227"/>
      <c r="Z1016" s="228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4"/>
      <c r="AP1016" s="7"/>
      <c r="AQ1016" s="74"/>
      <c r="AR1016" s="70"/>
      <c r="AS1016" s="70"/>
      <c r="AT1016" s="70"/>
      <c r="AU1016" s="7"/>
      <c r="AV1016" s="70"/>
      <c r="AW1016" s="7"/>
      <c r="AX1016" s="8"/>
      <c r="AY1016" s="36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4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7"/>
      <c r="CK1016" s="101"/>
      <c r="CL1016" s="74"/>
      <c r="CM1016" s="74"/>
      <c r="CN1016" s="74"/>
      <c r="CO1016" s="70"/>
      <c r="CP1016" s="101"/>
      <c r="CQ1016" s="7"/>
      <c r="CR1016" s="74"/>
      <c r="CS1016" s="74"/>
      <c r="CT1016" s="74"/>
      <c r="CU1016" s="74"/>
      <c r="CV1016" s="74"/>
      <c r="CW1016" s="7"/>
      <c r="CX1016" s="7"/>
      <c r="CY1016" s="7"/>
      <c r="CZ1016" s="7"/>
      <c r="DA1016" s="7"/>
      <c r="DB1016" s="7"/>
      <c r="DC1016" s="7"/>
      <c r="DD1016" s="7"/>
      <c r="DE1016" s="74"/>
      <c r="DF1016" s="74"/>
      <c r="DG1016" s="74"/>
      <c r="DH1016" s="74"/>
      <c r="DI1016" s="74"/>
      <c r="DJ1016" s="7"/>
      <c r="DK1016" s="7"/>
      <c r="DL1016" s="7"/>
      <c r="DM1016" s="7"/>
      <c r="DN1016" s="7"/>
      <c r="DO1016" s="7"/>
      <c r="DP1016" s="7"/>
      <c r="DQ1016" s="7"/>
      <c r="DR1016" s="7"/>
      <c r="DS1016" s="7"/>
      <c r="DT1016" s="7"/>
      <c r="DU1016" s="7"/>
      <c r="DV1016" s="7"/>
      <c r="DW1016" s="7"/>
      <c r="DX1016" s="7"/>
      <c r="DY1016" s="7"/>
      <c r="DZ1016" s="8">
        <f t="shared" si="249"/>
        <v>0</v>
      </c>
      <c r="EA1016" s="3">
        <f t="shared" si="250"/>
        <v>0</v>
      </c>
      <c r="EB1016" s="2">
        <f t="shared" si="251"/>
        <v>0</v>
      </c>
      <c r="EC1016" s="112">
        <f t="shared" si="260"/>
        <v>0</v>
      </c>
      <c r="ED1016" s="29">
        <f t="shared" si="252"/>
        <v>0</v>
      </c>
      <c r="EE1016" s="2">
        <f t="shared" si="253"/>
        <v>0</v>
      </c>
      <c r="EF1016" s="46">
        <f t="shared" si="254"/>
        <v>0</v>
      </c>
      <c r="EG1016" s="46">
        <f t="shared" si="255"/>
        <v>0</v>
      </c>
      <c r="EH1016" s="2">
        <f t="shared" si="256"/>
        <v>0</v>
      </c>
      <c r="EI1016" s="29">
        <f>IF(COUNT(I1016:AD1016)&lt;5,DZ1016,SUMPRODUCT(LARGE(I1016:AD1016,{1,2,3,4,5}))/5)</f>
        <v>0</v>
      </c>
      <c r="EJ1016" s="29">
        <f>IF(COUNT(I1016:BE1016)&lt;5,DZ1016,SUMPRODUCT(LARGE(I1016:BE1016,{1,2,3,4,5}))/5)</f>
        <v>0</v>
      </c>
      <c r="EK1016" s="29">
        <f t="shared" si="259"/>
        <v>0</v>
      </c>
      <c r="EL1016" s="29">
        <f>(EK1016*100)/101.28</f>
        <v>0</v>
      </c>
      <c r="EM1016" s="116">
        <f t="shared" si="258"/>
        <v>0</v>
      </c>
      <c r="EQ1016"/>
    </row>
    <row r="1017" spans="1:147" x14ac:dyDescent="0.25">
      <c r="A1017" s="59"/>
      <c r="B1017" s="32"/>
      <c r="C1017" s="5"/>
      <c r="D1017" s="6"/>
      <c r="E1017" s="6"/>
      <c r="F1017" s="6"/>
      <c r="G1017" s="5"/>
      <c r="H1017" s="37"/>
      <c r="I1017" s="36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227"/>
      <c r="Z1017" s="228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4"/>
      <c r="AP1017" s="7"/>
      <c r="AQ1017" s="74"/>
      <c r="AR1017" s="70"/>
      <c r="AS1017" s="70"/>
      <c r="AT1017" s="70"/>
      <c r="AU1017" s="7"/>
      <c r="AV1017" s="70"/>
      <c r="AW1017" s="7"/>
      <c r="AX1017" s="8"/>
      <c r="AY1017" s="36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4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101"/>
      <c r="CL1017" s="74"/>
      <c r="CM1017" s="74"/>
      <c r="CN1017" s="74"/>
      <c r="CO1017" s="70"/>
      <c r="CP1017" s="101"/>
      <c r="CQ1017" s="7"/>
      <c r="CR1017" s="74"/>
      <c r="CS1017" s="74"/>
      <c r="CT1017" s="74"/>
      <c r="CU1017" s="74"/>
      <c r="CV1017" s="74"/>
      <c r="CW1017" s="7"/>
      <c r="CX1017" s="7"/>
      <c r="CY1017" s="7"/>
      <c r="CZ1017" s="7"/>
      <c r="DA1017" s="7"/>
      <c r="DB1017" s="7"/>
      <c r="DC1017" s="7"/>
      <c r="DD1017" s="7"/>
      <c r="DE1017" s="74"/>
      <c r="DF1017" s="74"/>
      <c r="DG1017" s="74"/>
      <c r="DH1017" s="74"/>
      <c r="DI1017" s="74"/>
      <c r="DJ1017" s="7"/>
      <c r="DK1017" s="7"/>
      <c r="DL1017" s="7"/>
      <c r="DM1017" s="7"/>
      <c r="DN1017" s="7"/>
      <c r="DO1017" s="7"/>
      <c r="DP1017" s="7"/>
      <c r="DQ1017" s="7"/>
      <c r="DR1017" s="7"/>
      <c r="DS1017" s="7"/>
      <c r="DT1017" s="7"/>
      <c r="DU1017" s="7"/>
      <c r="DV1017" s="7"/>
      <c r="DW1017" s="7"/>
      <c r="DX1017" s="7"/>
      <c r="DY1017" s="7"/>
      <c r="DZ1017" s="8">
        <f t="shared" si="249"/>
        <v>0</v>
      </c>
      <c r="EA1017" s="3">
        <f t="shared" si="250"/>
        <v>0</v>
      </c>
      <c r="EB1017" s="2">
        <f t="shared" si="251"/>
        <v>0</v>
      </c>
      <c r="EC1017" s="112">
        <f t="shared" si="260"/>
        <v>0</v>
      </c>
      <c r="ED1017" s="29">
        <f t="shared" si="252"/>
        <v>0</v>
      </c>
      <c r="EE1017" s="2">
        <f t="shared" si="253"/>
        <v>0</v>
      </c>
      <c r="EF1017" s="46">
        <f t="shared" si="254"/>
        <v>0</v>
      </c>
      <c r="EG1017" s="46">
        <f t="shared" si="255"/>
        <v>0</v>
      </c>
      <c r="EH1017" s="2">
        <f t="shared" si="256"/>
        <v>0</v>
      </c>
      <c r="EI1017" s="29">
        <f>IF(COUNT(I1017:AD1017)&lt;5,DZ1017,SUMPRODUCT(LARGE(I1017:AD1017,{1,2,3,4,5}))/5)</f>
        <v>0</v>
      </c>
      <c r="EJ1017" s="29">
        <f>IF(COUNT(I1017:BE1017)&lt;5,DZ1017,SUMPRODUCT(LARGE(I1017:BE1017,{1,2,3,4,5}))/5)</f>
        <v>0</v>
      </c>
      <c r="EK1017" s="29">
        <f t="shared" si="259"/>
        <v>0</v>
      </c>
      <c r="EL1017" s="29">
        <f>(EK1017*100)/101.28</f>
        <v>0</v>
      </c>
      <c r="EM1017" s="116">
        <f t="shared" si="258"/>
        <v>0</v>
      </c>
      <c r="EQ1017"/>
    </row>
    <row r="1018" spans="1:147" x14ac:dyDescent="0.25">
      <c r="A1018" s="59"/>
      <c r="B1018" s="32"/>
      <c r="C1018" s="5"/>
      <c r="D1018" s="6"/>
      <c r="E1018" s="6"/>
      <c r="F1018" s="6"/>
      <c r="G1018" s="5"/>
      <c r="H1018" s="37"/>
      <c r="I1018" s="36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227"/>
      <c r="Z1018" s="228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4"/>
      <c r="AP1018" s="7"/>
      <c r="AQ1018" s="74"/>
      <c r="AR1018" s="70"/>
      <c r="AS1018" s="70"/>
      <c r="AT1018" s="70"/>
      <c r="AU1018" s="7"/>
      <c r="AV1018" s="70"/>
      <c r="AW1018" s="7"/>
      <c r="AX1018" s="8"/>
      <c r="AY1018" s="36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4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4"/>
      <c r="CG1018" s="7"/>
      <c r="CH1018" s="7"/>
      <c r="CI1018" s="7"/>
      <c r="CJ1018" s="7"/>
      <c r="CK1018" s="101"/>
      <c r="CL1018" s="74"/>
      <c r="CM1018" s="74"/>
      <c r="CN1018" s="74"/>
      <c r="CO1018" s="70"/>
      <c r="CP1018" s="101"/>
      <c r="CQ1018" s="7"/>
      <c r="CR1018" s="74"/>
      <c r="CS1018" s="74"/>
      <c r="CT1018" s="74"/>
      <c r="CU1018" s="74"/>
      <c r="CV1018" s="7"/>
      <c r="CW1018" s="7"/>
      <c r="CX1018" s="7"/>
      <c r="CY1018" s="7"/>
      <c r="CZ1018" s="7"/>
      <c r="DA1018" s="7"/>
      <c r="DB1018" s="7"/>
      <c r="DC1018" s="7"/>
      <c r="DD1018" s="7"/>
      <c r="DE1018" s="74"/>
      <c r="DF1018" s="74"/>
      <c r="DG1018" s="74"/>
      <c r="DH1018" s="7"/>
      <c r="DI1018" s="7"/>
      <c r="DJ1018" s="7"/>
      <c r="DK1018" s="7"/>
      <c r="DL1018" s="7"/>
      <c r="DM1018" s="7"/>
      <c r="DN1018" s="7"/>
      <c r="DO1018" s="7"/>
      <c r="DP1018" s="7"/>
      <c r="DQ1018" s="7"/>
      <c r="DR1018" s="7"/>
      <c r="DS1018" s="7"/>
      <c r="DT1018" s="7"/>
      <c r="DU1018" s="7"/>
      <c r="DV1018" s="7"/>
      <c r="DW1018" s="7"/>
      <c r="DX1018" s="7"/>
      <c r="DY1018" s="7"/>
      <c r="DZ1018" s="8">
        <f t="shared" si="249"/>
        <v>0</v>
      </c>
      <c r="EA1018" s="3">
        <f t="shared" si="250"/>
        <v>0</v>
      </c>
      <c r="EB1018" s="2">
        <f t="shared" si="251"/>
        <v>0</v>
      </c>
      <c r="EC1018" s="112">
        <f t="shared" si="260"/>
        <v>0</v>
      </c>
      <c r="ED1018" s="29">
        <f t="shared" si="252"/>
        <v>0</v>
      </c>
      <c r="EE1018" s="2">
        <f t="shared" si="253"/>
        <v>0</v>
      </c>
      <c r="EF1018" s="46">
        <f t="shared" si="254"/>
        <v>0</v>
      </c>
      <c r="EG1018" s="46">
        <f t="shared" si="255"/>
        <v>0</v>
      </c>
      <c r="EH1018" s="2">
        <f t="shared" si="256"/>
        <v>0</v>
      </c>
      <c r="EI1018" s="29">
        <f>IF(COUNT(I1018:AD1018)&lt;5,DZ1018,SUMPRODUCT(LARGE(I1018:AD1018,{1,2,3,4,5}))/5)</f>
        <v>0</v>
      </c>
      <c r="EJ1018" s="29">
        <f>IF(COUNT(I1018:BE1018)&lt;5,DZ1018,SUMPRODUCT(LARGE(I1018:BE1018,{1,2,3,4,5}))/5)</f>
        <v>0</v>
      </c>
      <c r="EK1018" s="29">
        <f t="shared" si="259"/>
        <v>0</v>
      </c>
      <c r="EL1018" s="29">
        <f>(EK1018*100)/101.59</f>
        <v>0</v>
      </c>
      <c r="EM1018" s="116">
        <f t="shared" si="258"/>
        <v>0</v>
      </c>
      <c r="EQ1018"/>
    </row>
    <row r="1019" spans="1:147" x14ac:dyDescent="0.25">
      <c r="A1019" s="59"/>
      <c r="B1019" s="32"/>
      <c r="C1019" s="5"/>
      <c r="D1019" s="6"/>
      <c r="E1019" s="6"/>
      <c r="F1019" s="6"/>
      <c r="G1019" s="5"/>
      <c r="H1019" s="37"/>
      <c r="I1019" s="36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227"/>
      <c r="Z1019" s="228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4"/>
      <c r="AP1019" s="7"/>
      <c r="AQ1019" s="74"/>
      <c r="AR1019" s="70"/>
      <c r="AS1019" s="70"/>
      <c r="AT1019" s="70"/>
      <c r="AU1019" s="7"/>
      <c r="AV1019" s="70"/>
      <c r="AW1019" s="7"/>
      <c r="AX1019" s="8"/>
      <c r="AY1019" s="36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4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7"/>
      <c r="CK1019" s="101"/>
      <c r="CL1019" s="74"/>
      <c r="CM1019" s="74"/>
      <c r="CN1019" s="74"/>
      <c r="CO1019" s="70"/>
      <c r="CP1019" s="101"/>
      <c r="CQ1019" s="7"/>
      <c r="CR1019" s="74"/>
      <c r="CS1019" s="74"/>
      <c r="CT1019" s="74"/>
      <c r="CU1019" s="74"/>
      <c r="CV1019" s="74"/>
      <c r="CW1019" s="7"/>
      <c r="CX1019" s="7"/>
      <c r="CY1019" s="7"/>
      <c r="CZ1019" s="7"/>
      <c r="DA1019" s="7"/>
      <c r="DB1019" s="7"/>
      <c r="DC1019" s="7"/>
      <c r="DD1019" s="7"/>
      <c r="DE1019" s="74"/>
      <c r="DF1019" s="74"/>
      <c r="DG1019" s="74"/>
      <c r="DH1019" s="74"/>
      <c r="DI1019" s="74"/>
      <c r="DJ1019" s="7"/>
      <c r="DK1019" s="7"/>
      <c r="DL1019" s="7"/>
      <c r="DM1019" s="7"/>
      <c r="DN1019" s="7"/>
      <c r="DO1019" s="7"/>
      <c r="DP1019" s="7"/>
      <c r="DQ1019" s="7"/>
      <c r="DR1019" s="7"/>
      <c r="DS1019" s="7"/>
      <c r="DT1019" s="7"/>
      <c r="DU1019" s="7"/>
      <c r="DV1019" s="7"/>
      <c r="DW1019" s="7"/>
      <c r="DX1019" s="7"/>
      <c r="DY1019" s="7"/>
      <c r="DZ1019" s="8">
        <f t="shared" si="249"/>
        <v>0</v>
      </c>
      <c r="EA1019" s="3">
        <f t="shared" si="250"/>
        <v>0</v>
      </c>
      <c r="EB1019" s="2">
        <f t="shared" si="251"/>
        <v>0</v>
      </c>
      <c r="EC1019" s="112">
        <f t="shared" si="260"/>
        <v>0</v>
      </c>
      <c r="ED1019" s="29">
        <f t="shared" si="252"/>
        <v>0</v>
      </c>
      <c r="EE1019" s="2">
        <f t="shared" si="253"/>
        <v>0</v>
      </c>
      <c r="EF1019" s="46">
        <f t="shared" si="254"/>
        <v>0</v>
      </c>
      <c r="EG1019" s="46">
        <f t="shared" si="255"/>
        <v>0</v>
      </c>
      <c r="EH1019" s="2">
        <f t="shared" si="256"/>
        <v>0</v>
      </c>
      <c r="EI1019" s="29">
        <f>IF(COUNT(I1019:AD1019)&lt;5,DZ1019,SUMPRODUCT(LARGE(I1019:AD1019,{1,2,3,4,5}))/5)</f>
        <v>0</v>
      </c>
      <c r="EJ1019" s="29">
        <f>IF(COUNT(I1019:BE1019)&lt;5,DZ1019,SUMPRODUCT(LARGE(I1019:BE1019,{1,2,3,4,5}))/5)</f>
        <v>0</v>
      </c>
      <c r="EK1019" s="29">
        <f t="shared" si="259"/>
        <v>0</v>
      </c>
      <c r="EL1019" s="29">
        <f t="shared" ref="EL1019:EL1024" si="264">(EK1019*100)/101.28</f>
        <v>0</v>
      </c>
      <c r="EM1019" s="116">
        <f t="shared" si="258"/>
        <v>0</v>
      </c>
      <c r="EQ1019"/>
    </row>
    <row r="1020" spans="1:147" x14ac:dyDescent="0.25">
      <c r="A1020" s="59"/>
      <c r="B1020" s="32"/>
      <c r="C1020" s="5"/>
      <c r="D1020" s="6"/>
      <c r="E1020" s="6"/>
      <c r="F1020" s="6"/>
      <c r="G1020" s="5"/>
      <c r="H1020" s="37"/>
      <c r="I1020" s="36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227"/>
      <c r="Z1020" s="228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4"/>
      <c r="AP1020" s="7"/>
      <c r="AQ1020" s="74"/>
      <c r="AR1020" s="70"/>
      <c r="AS1020" s="70"/>
      <c r="AT1020" s="70"/>
      <c r="AU1020" s="7"/>
      <c r="AV1020" s="70"/>
      <c r="AW1020" s="7"/>
      <c r="AX1020" s="8"/>
      <c r="AY1020" s="36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4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7"/>
      <c r="CI1020" s="7"/>
      <c r="CJ1020" s="7"/>
      <c r="CK1020" s="101"/>
      <c r="CL1020" s="74"/>
      <c r="CM1020" s="74"/>
      <c r="CN1020" s="74"/>
      <c r="CO1020" s="70"/>
      <c r="CP1020" s="101"/>
      <c r="CQ1020" s="7"/>
      <c r="CR1020" s="74"/>
      <c r="CS1020" s="74"/>
      <c r="CT1020" s="74"/>
      <c r="CU1020" s="74"/>
      <c r="CV1020" s="74"/>
      <c r="CW1020" s="7"/>
      <c r="CX1020" s="7"/>
      <c r="CY1020" s="7"/>
      <c r="CZ1020" s="7"/>
      <c r="DA1020" s="7"/>
      <c r="DB1020" s="7"/>
      <c r="DC1020" s="7"/>
      <c r="DD1020" s="7"/>
      <c r="DE1020" s="74"/>
      <c r="DF1020" s="74"/>
      <c r="DG1020" s="74"/>
      <c r="DH1020" s="74"/>
      <c r="DI1020" s="74"/>
      <c r="DJ1020" s="7"/>
      <c r="DK1020" s="7"/>
      <c r="DL1020" s="7"/>
      <c r="DM1020" s="7"/>
      <c r="DN1020" s="7"/>
      <c r="DO1020" s="7"/>
      <c r="DP1020" s="7"/>
      <c r="DQ1020" s="7"/>
      <c r="DR1020" s="7"/>
      <c r="DS1020" s="7"/>
      <c r="DT1020" s="7"/>
      <c r="DU1020" s="7"/>
      <c r="DV1020" s="7"/>
      <c r="DW1020" s="7"/>
      <c r="DX1020" s="7"/>
      <c r="DY1020" s="7"/>
      <c r="DZ1020" s="8">
        <f t="shared" si="249"/>
        <v>0</v>
      </c>
      <c r="EA1020" s="3">
        <f t="shared" si="250"/>
        <v>0</v>
      </c>
      <c r="EB1020" s="2">
        <f t="shared" si="251"/>
        <v>0</v>
      </c>
      <c r="EC1020" s="112">
        <f t="shared" si="260"/>
        <v>0</v>
      </c>
      <c r="ED1020" s="29">
        <f t="shared" si="252"/>
        <v>0</v>
      </c>
      <c r="EE1020" s="2">
        <f t="shared" si="253"/>
        <v>0</v>
      </c>
      <c r="EF1020" s="46">
        <f t="shared" si="254"/>
        <v>0</v>
      </c>
      <c r="EG1020" s="46">
        <f t="shared" si="255"/>
        <v>0</v>
      </c>
      <c r="EH1020" s="2">
        <f t="shared" si="256"/>
        <v>0</v>
      </c>
      <c r="EI1020" s="29">
        <f>IF(COUNT(I1020:AD1020)&lt;5,DZ1020,SUMPRODUCT(LARGE(I1020:AD1020,{1,2,3,4,5}))/5)</f>
        <v>0</v>
      </c>
      <c r="EJ1020" s="29">
        <f>IF(COUNT(I1020:BE1020)&lt;5,DZ1020,SUMPRODUCT(LARGE(I1020:BE1020,{1,2,3,4,5}))/5)</f>
        <v>0</v>
      </c>
      <c r="EK1020" s="29">
        <f t="shared" si="259"/>
        <v>0</v>
      </c>
      <c r="EL1020" s="29">
        <f t="shared" si="264"/>
        <v>0</v>
      </c>
      <c r="EM1020" s="116">
        <f t="shared" si="258"/>
        <v>0</v>
      </c>
      <c r="EQ1020"/>
    </row>
    <row r="1021" spans="1:147" x14ac:dyDescent="0.25">
      <c r="A1021" s="59"/>
      <c r="B1021" s="32"/>
      <c r="C1021" s="5"/>
      <c r="D1021" s="6"/>
      <c r="E1021" s="6"/>
      <c r="F1021" s="6"/>
      <c r="G1021" s="5"/>
      <c r="H1021" s="37"/>
      <c r="I1021" s="36"/>
      <c r="J1021" s="7"/>
      <c r="K1021" s="7"/>
      <c r="L1021" s="7"/>
      <c r="M1021" s="74"/>
      <c r="N1021" s="74"/>
      <c r="O1021" s="7"/>
      <c r="P1021" s="74"/>
      <c r="Q1021" s="7"/>
      <c r="R1021" s="7"/>
      <c r="S1021" s="74"/>
      <c r="T1021" s="7"/>
      <c r="U1021" s="7"/>
      <c r="V1021" s="74"/>
      <c r="W1021" s="7"/>
      <c r="X1021" s="74"/>
      <c r="Y1021" s="227"/>
      <c r="Z1021" s="228"/>
      <c r="AA1021" s="74"/>
      <c r="AB1021" s="74"/>
      <c r="AC1021" s="74"/>
      <c r="AD1021" s="74"/>
      <c r="AE1021" s="7"/>
      <c r="AF1021" s="74"/>
      <c r="AG1021" s="74"/>
      <c r="AH1021" s="7"/>
      <c r="AI1021" s="7"/>
      <c r="AJ1021" s="7"/>
      <c r="AK1021" s="7"/>
      <c r="AL1021" s="7"/>
      <c r="AM1021" s="7"/>
      <c r="AN1021" s="7"/>
      <c r="AO1021" s="74"/>
      <c r="AP1021" s="7"/>
      <c r="AQ1021" s="74"/>
      <c r="AR1021" s="101"/>
      <c r="AS1021" s="70"/>
      <c r="AT1021" s="70"/>
      <c r="AU1021" s="7"/>
      <c r="AV1021" s="70"/>
      <c r="AW1021" s="7"/>
      <c r="AX1021" s="8"/>
      <c r="AY1021" s="36"/>
      <c r="AZ1021" s="74"/>
      <c r="BA1021" s="74"/>
      <c r="BB1021" s="74"/>
      <c r="BC1021" s="74"/>
      <c r="BD1021" s="74"/>
      <c r="BE1021" s="74"/>
      <c r="BF1021" s="74"/>
      <c r="BG1021" s="74"/>
      <c r="BH1021" s="74"/>
      <c r="BI1021" s="74"/>
      <c r="BJ1021" s="74"/>
      <c r="BK1021" s="7"/>
      <c r="BL1021" s="74"/>
      <c r="BM1021" s="7"/>
      <c r="BN1021" s="74"/>
      <c r="BO1021" s="74"/>
      <c r="BP1021" s="74"/>
      <c r="BQ1021" s="74"/>
      <c r="BR1021" s="74"/>
      <c r="BS1021" s="74"/>
      <c r="BT1021" s="74"/>
      <c r="BU1021" s="74"/>
      <c r="BV1021" s="74"/>
      <c r="BW1021" s="74"/>
      <c r="BX1021" s="74"/>
      <c r="BY1021" s="74"/>
      <c r="BZ1021" s="74"/>
      <c r="CA1021" s="74"/>
      <c r="CB1021" s="74"/>
      <c r="CC1021" s="74"/>
      <c r="CD1021" s="74"/>
      <c r="CE1021" s="7"/>
      <c r="CF1021" s="74"/>
      <c r="CG1021" s="74"/>
      <c r="CH1021" s="7"/>
      <c r="CI1021" s="74"/>
      <c r="CJ1021" s="74"/>
      <c r="CK1021" s="101"/>
      <c r="CL1021" s="74"/>
      <c r="CM1021" s="74"/>
      <c r="CN1021" s="74"/>
      <c r="CO1021" s="101"/>
      <c r="CP1021" s="101"/>
      <c r="CQ1021" s="74"/>
      <c r="CR1021" s="74"/>
      <c r="CS1021" s="74"/>
      <c r="CT1021" s="74"/>
      <c r="CU1021" s="74"/>
      <c r="CV1021" s="74"/>
      <c r="CW1021" s="7"/>
      <c r="CX1021" s="7"/>
      <c r="CY1021" s="74"/>
      <c r="CZ1021" s="74"/>
      <c r="DA1021" s="7"/>
      <c r="DB1021" s="74"/>
      <c r="DC1021" s="74"/>
      <c r="DD1021" s="74"/>
      <c r="DE1021" s="74"/>
      <c r="DF1021" s="74"/>
      <c r="DG1021" s="74"/>
      <c r="DH1021" s="74"/>
      <c r="DI1021" s="74"/>
      <c r="DJ1021" s="74"/>
      <c r="DK1021" s="74"/>
      <c r="DL1021" s="74"/>
      <c r="DM1021" s="74"/>
      <c r="DN1021" s="74"/>
      <c r="DO1021" s="74"/>
      <c r="DP1021" s="74"/>
      <c r="DQ1021" s="74"/>
      <c r="DR1021" s="74"/>
      <c r="DS1021" s="74"/>
      <c r="DT1021" s="74"/>
      <c r="DU1021" s="74"/>
      <c r="DV1021" s="74"/>
      <c r="DW1021" s="74"/>
      <c r="DX1021" s="74"/>
      <c r="DY1021" s="74"/>
      <c r="DZ1021" s="8">
        <f t="shared" si="249"/>
        <v>0</v>
      </c>
      <c r="EA1021" s="3">
        <f t="shared" si="250"/>
        <v>0</v>
      </c>
      <c r="EB1021" s="2">
        <f t="shared" si="251"/>
        <v>0</v>
      </c>
      <c r="EC1021" s="112">
        <f t="shared" si="260"/>
        <v>0</v>
      </c>
      <c r="ED1021" s="29">
        <f t="shared" si="252"/>
        <v>0</v>
      </c>
      <c r="EE1021" s="2">
        <f t="shared" si="253"/>
        <v>0</v>
      </c>
      <c r="EF1021" s="46">
        <f t="shared" si="254"/>
        <v>0</v>
      </c>
      <c r="EG1021" s="46">
        <f t="shared" si="255"/>
        <v>0</v>
      </c>
      <c r="EH1021" s="29">
        <f t="shared" si="256"/>
        <v>0</v>
      </c>
      <c r="EI1021" s="29">
        <f>IF(COUNT(I1021:AD1021)&lt;5,DZ1021,SUMPRODUCT(LARGE(I1021:AD1021,{1,2,3,4,5}))/5)</f>
        <v>0</v>
      </c>
      <c r="EJ1021" s="29">
        <f>IF(COUNT(I1021:BE1021)&lt;5,DZ1021,SUMPRODUCT(LARGE(I1021:BE1021,{1,2,3,4,5}))/5)</f>
        <v>0</v>
      </c>
      <c r="EK1021" s="29">
        <f t="shared" si="259"/>
        <v>0</v>
      </c>
      <c r="EL1021" s="29">
        <f t="shared" si="264"/>
        <v>0</v>
      </c>
      <c r="EM1021" s="116">
        <f t="shared" si="258"/>
        <v>0</v>
      </c>
      <c r="EQ1021"/>
    </row>
    <row r="1022" spans="1:147" x14ac:dyDescent="0.25">
      <c r="A1022" s="59"/>
      <c r="B1022" s="32"/>
      <c r="C1022" s="5"/>
      <c r="D1022" s="6"/>
      <c r="E1022" s="6"/>
      <c r="F1022" s="6"/>
      <c r="G1022" s="5"/>
      <c r="H1022" s="37"/>
      <c r="I1022" s="36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227"/>
      <c r="Z1022" s="228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4"/>
      <c r="AP1022" s="7"/>
      <c r="AQ1022" s="74"/>
      <c r="AR1022" s="70"/>
      <c r="AS1022" s="70"/>
      <c r="AT1022" s="70"/>
      <c r="AU1022" s="7"/>
      <c r="AV1022" s="70"/>
      <c r="AW1022" s="7"/>
      <c r="AX1022" s="8"/>
      <c r="AY1022" s="36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4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7"/>
      <c r="CI1022" s="7"/>
      <c r="CJ1022" s="7"/>
      <c r="CK1022" s="101"/>
      <c r="CL1022" s="74"/>
      <c r="CM1022" s="74"/>
      <c r="CN1022" s="74"/>
      <c r="CO1022" s="70"/>
      <c r="CP1022" s="101"/>
      <c r="CQ1022" s="7"/>
      <c r="CR1022" s="74"/>
      <c r="CS1022" s="74"/>
      <c r="CT1022" s="74"/>
      <c r="CU1022" s="74"/>
      <c r="CV1022" s="74"/>
      <c r="CW1022" s="7"/>
      <c r="CX1022" s="7"/>
      <c r="CY1022" s="7"/>
      <c r="CZ1022" s="7"/>
      <c r="DA1022" s="7"/>
      <c r="DB1022" s="7"/>
      <c r="DC1022" s="7"/>
      <c r="DD1022" s="7"/>
      <c r="DE1022" s="74"/>
      <c r="DF1022" s="74"/>
      <c r="DG1022" s="74"/>
      <c r="DH1022" s="74"/>
      <c r="DI1022" s="74"/>
      <c r="DJ1022" s="7"/>
      <c r="DK1022" s="7"/>
      <c r="DL1022" s="7"/>
      <c r="DM1022" s="7"/>
      <c r="DN1022" s="7"/>
      <c r="DO1022" s="7"/>
      <c r="DP1022" s="7"/>
      <c r="DQ1022" s="7"/>
      <c r="DR1022" s="7"/>
      <c r="DS1022" s="7"/>
      <c r="DT1022" s="7"/>
      <c r="DU1022" s="7"/>
      <c r="DV1022" s="7"/>
      <c r="DW1022" s="7"/>
      <c r="DX1022" s="7"/>
      <c r="DY1022" s="7"/>
      <c r="DZ1022" s="8">
        <f t="shared" si="249"/>
        <v>0</v>
      </c>
      <c r="EA1022" s="3">
        <f t="shared" si="250"/>
        <v>0</v>
      </c>
      <c r="EB1022" s="2">
        <f t="shared" si="251"/>
        <v>0</v>
      </c>
      <c r="EC1022" s="112">
        <f t="shared" si="260"/>
        <v>0</v>
      </c>
      <c r="ED1022" s="29">
        <f t="shared" si="252"/>
        <v>0</v>
      </c>
      <c r="EE1022" s="2">
        <f t="shared" si="253"/>
        <v>0</v>
      </c>
      <c r="EF1022" s="46">
        <f t="shared" si="254"/>
        <v>0</v>
      </c>
      <c r="EG1022" s="46">
        <f t="shared" si="255"/>
        <v>0</v>
      </c>
      <c r="EH1022" s="2">
        <f t="shared" si="256"/>
        <v>0</v>
      </c>
      <c r="EI1022" s="29">
        <f>IF(COUNT(I1022:AD1022)&lt;5,DZ1022,SUMPRODUCT(LARGE(I1022:AD1022,{1,2,3,4,5}))/5)</f>
        <v>0</v>
      </c>
      <c r="EJ1022" s="29">
        <f>IF(COUNT(I1022:BE1022)&lt;5,DZ1022,SUMPRODUCT(LARGE(I1022:BE1022,{1,2,3,4,5}))/5)</f>
        <v>0</v>
      </c>
      <c r="EK1022" s="29">
        <f t="shared" si="259"/>
        <v>0</v>
      </c>
      <c r="EL1022" s="29">
        <f t="shared" si="264"/>
        <v>0</v>
      </c>
      <c r="EM1022" s="116">
        <f t="shared" si="258"/>
        <v>0</v>
      </c>
      <c r="EQ1022"/>
    </row>
    <row r="1023" spans="1:147" x14ac:dyDescent="0.25">
      <c r="A1023" s="59"/>
      <c r="B1023" s="32"/>
      <c r="C1023" s="5"/>
      <c r="D1023" s="6"/>
      <c r="E1023" s="6"/>
      <c r="F1023" s="6"/>
      <c r="G1023" s="5"/>
      <c r="H1023" s="99"/>
      <c r="I1023" s="36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227"/>
      <c r="Z1023" s="228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4"/>
      <c r="AP1023" s="7"/>
      <c r="AQ1023" s="74"/>
      <c r="AR1023" s="70"/>
      <c r="AS1023" s="70"/>
      <c r="AT1023" s="70"/>
      <c r="AU1023" s="7"/>
      <c r="AV1023" s="70"/>
      <c r="AW1023" s="7"/>
      <c r="AX1023" s="8"/>
      <c r="AY1023" s="36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4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7"/>
      <c r="CI1023" s="7"/>
      <c r="CJ1023" s="7"/>
      <c r="CK1023" s="101"/>
      <c r="CL1023" s="74"/>
      <c r="CM1023" s="74"/>
      <c r="CN1023" s="74"/>
      <c r="CO1023" s="70"/>
      <c r="CP1023" s="101"/>
      <c r="CQ1023" s="7"/>
      <c r="CR1023" s="74"/>
      <c r="CS1023" s="74"/>
      <c r="CT1023" s="74"/>
      <c r="CU1023" s="74"/>
      <c r="CV1023" s="7"/>
      <c r="CW1023" s="7"/>
      <c r="CX1023" s="7"/>
      <c r="CY1023" s="7"/>
      <c r="CZ1023" s="7"/>
      <c r="DA1023" s="7"/>
      <c r="DB1023" s="7"/>
      <c r="DC1023" s="7"/>
      <c r="DD1023" s="7"/>
      <c r="DE1023" s="74"/>
      <c r="DF1023" s="74"/>
      <c r="DG1023" s="74"/>
      <c r="DH1023" s="74"/>
      <c r="DI1023" s="74"/>
      <c r="DJ1023" s="7"/>
      <c r="DK1023" s="7"/>
      <c r="DL1023" s="7"/>
      <c r="DM1023" s="7"/>
      <c r="DN1023" s="7"/>
      <c r="DO1023" s="7"/>
      <c r="DP1023" s="7"/>
      <c r="DQ1023" s="7"/>
      <c r="DR1023" s="7"/>
      <c r="DS1023" s="7"/>
      <c r="DT1023" s="7"/>
      <c r="DU1023" s="7"/>
      <c r="DV1023" s="7"/>
      <c r="DW1023" s="7"/>
      <c r="DX1023" s="7"/>
      <c r="DY1023" s="7"/>
      <c r="DZ1023" s="8">
        <f t="shared" si="249"/>
        <v>0</v>
      </c>
      <c r="EA1023" s="3">
        <f t="shared" si="250"/>
        <v>0</v>
      </c>
      <c r="EB1023" s="2">
        <f t="shared" si="251"/>
        <v>0</v>
      </c>
      <c r="EC1023" s="112">
        <f t="shared" si="260"/>
        <v>0</v>
      </c>
      <c r="ED1023" s="29">
        <f t="shared" si="252"/>
        <v>0</v>
      </c>
      <c r="EE1023" s="2">
        <f t="shared" si="253"/>
        <v>0</v>
      </c>
      <c r="EF1023" s="46">
        <f t="shared" si="254"/>
        <v>0</v>
      </c>
      <c r="EG1023" s="46">
        <f t="shared" si="255"/>
        <v>0</v>
      </c>
      <c r="EH1023" s="29">
        <f t="shared" si="256"/>
        <v>0</v>
      </c>
      <c r="EI1023" s="29">
        <f>IF(COUNT(I1023:AD1023)&lt;5,DZ1023,SUMPRODUCT(LARGE(I1023:AD1023,{1,2,3,4,5}))/5)</f>
        <v>0</v>
      </c>
      <c r="EJ1023" s="29">
        <f>IF(COUNT(I1023:BE1023)&lt;5,DZ1023,SUMPRODUCT(LARGE(I1023:BE1023,{1,2,3,4,5}))/5)</f>
        <v>0</v>
      </c>
      <c r="EK1023" s="29">
        <f t="shared" si="259"/>
        <v>0</v>
      </c>
      <c r="EL1023" s="29">
        <f t="shared" si="264"/>
        <v>0</v>
      </c>
      <c r="EM1023" s="116">
        <f t="shared" si="258"/>
        <v>0</v>
      </c>
      <c r="EQ1023"/>
    </row>
    <row r="1024" spans="1:147" x14ac:dyDescent="0.25">
      <c r="A1024" s="59"/>
      <c r="B1024" s="32"/>
      <c r="C1024" s="5"/>
      <c r="D1024" s="6"/>
      <c r="E1024" s="6"/>
      <c r="F1024" s="6"/>
      <c r="G1024" s="5"/>
      <c r="H1024" s="37"/>
      <c r="I1024" s="36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227"/>
      <c r="Z1024" s="228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4"/>
      <c r="AP1024" s="7"/>
      <c r="AQ1024" s="74"/>
      <c r="AR1024" s="70"/>
      <c r="AS1024" s="70"/>
      <c r="AT1024" s="70"/>
      <c r="AU1024" s="7"/>
      <c r="AV1024" s="70"/>
      <c r="AW1024" s="7"/>
      <c r="AX1024" s="183"/>
      <c r="AY1024" s="10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4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7"/>
      <c r="CI1024" s="7"/>
      <c r="CJ1024" s="7"/>
      <c r="CK1024" s="101"/>
      <c r="CL1024" s="74"/>
      <c r="CM1024" s="74"/>
      <c r="CN1024" s="74"/>
      <c r="CO1024" s="101"/>
      <c r="CP1024" s="101"/>
      <c r="CQ1024" s="7"/>
      <c r="CR1024" s="74"/>
      <c r="CS1024" s="74"/>
      <c r="CT1024" s="74"/>
      <c r="CU1024" s="74"/>
      <c r="CV1024" s="74"/>
      <c r="CW1024" s="7"/>
      <c r="CX1024" s="7"/>
      <c r="CY1024" s="7"/>
      <c r="CZ1024" s="7"/>
      <c r="DA1024" s="7"/>
      <c r="DB1024" s="7"/>
      <c r="DC1024" s="7"/>
      <c r="DD1024" s="7"/>
      <c r="DE1024" s="74"/>
      <c r="DF1024" s="74"/>
      <c r="DG1024" s="74"/>
      <c r="DH1024" s="74"/>
      <c r="DI1024" s="74"/>
      <c r="DJ1024" s="7"/>
      <c r="DK1024" s="7"/>
      <c r="DL1024" s="7"/>
      <c r="DM1024" s="7"/>
      <c r="DN1024" s="7"/>
      <c r="DO1024" s="7"/>
      <c r="DP1024" s="7"/>
      <c r="DQ1024" s="7"/>
      <c r="DR1024" s="7"/>
      <c r="DS1024" s="7"/>
      <c r="DT1024" s="7"/>
      <c r="DU1024" s="7"/>
      <c r="DV1024" s="7"/>
      <c r="DW1024" s="7"/>
      <c r="DX1024" s="7"/>
      <c r="DY1024" s="7"/>
      <c r="DZ1024" s="8">
        <f t="shared" si="249"/>
        <v>0</v>
      </c>
      <c r="EA1024" s="3">
        <f t="shared" si="250"/>
        <v>0</v>
      </c>
      <c r="EB1024" s="2">
        <f t="shared" si="251"/>
        <v>0</v>
      </c>
      <c r="EC1024" s="112">
        <f t="shared" si="260"/>
        <v>0</v>
      </c>
      <c r="ED1024" s="29">
        <f t="shared" si="252"/>
        <v>0</v>
      </c>
      <c r="EE1024" s="2">
        <f t="shared" si="253"/>
        <v>0</v>
      </c>
      <c r="EF1024" s="46">
        <f t="shared" si="254"/>
        <v>0</v>
      </c>
      <c r="EG1024" s="46">
        <f t="shared" si="255"/>
        <v>0</v>
      </c>
      <c r="EH1024" s="2">
        <f t="shared" si="256"/>
        <v>0</v>
      </c>
      <c r="EI1024" s="29">
        <f>IF(COUNT(I1024:AD1024)&lt;5,DZ1024,SUMPRODUCT(LARGE(I1024:AD1024,{1,2,3,4,5}))/5)</f>
        <v>0</v>
      </c>
      <c r="EJ1024" s="29">
        <f>IF(COUNT(I1024:BE1024)&lt;5,DZ1024,SUMPRODUCT(LARGE(I1024:BE1024,{1,2,3,4,5}))/5)</f>
        <v>0</v>
      </c>
      <c r="EK1024" s="29">
        <f t="shared" si="259"/>
        <v>0</v>
      </c>
      <c r="EL1024" s="29">
        <f t="shared" si="264"/>
        <v>0</v>
      </c>
      <c r="EM1024" s="116">
        <f t="shared" si="258"/>
        <v>0</v>
      </c>
      <c r="EQ1024"/>
    </row>
    <row r="1025" spans="1:147" x14ac:dyDescent="0.25">
      <c r="A1025" s="59"/>
      <c r="B1025" s="32"/>
      <c r="C1025" s="5"/>
      <c r="D1025" s="6"/>
      <c r="E1025" s="6"/>
      <c r="F1025" s="6"/>
      <c r="G1025" s="5"/>
      <c r="H1025" s="37"/>
      <c r="I1025" s="36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227"/>
      <c r="Z1025" s="228"/>
      <c r="AA1025" s="7"/>
      <c r="AB1025" s="7"/>
      <c r="AC1025" s="7"/>
      <c r="AD1025" s="14"/>
      <c r="AE1025" s="7"/>
      <c r="AF1025" s="7"/>
      <c r="AG1025" s="14"/>
      <c r="AH1025" s="7"/>
      <c r="AI1025" s="7"/>
      <c r="AJ1025" s="7"/>
      <c r="AK1025" s="7"/>
      <c r="AL1025" s="7"/>
      <c r="AM1025" s="7"/>
      <c r="AN1025" s="7"/>
      <c r="AO1025" s="74"/>
      <c r="AP1025" s="7"/>
      <c r="AQ1025" s="74"/>
      <c r="AR1025" s="70"/>
      <c r="AS1025" s="70"/>
      <c r="AT1025" s="70"/>
      <c r="AU1025" s="7"/>
      <c r="AV1025" s="70"/>
      <c r="AW1025" s="7"/>
      <c r="AX1025" s="8"/>
      <c r="AY1025" s="36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4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7"/>
      <c r="CI1025" s="7"/>
      <c r="CJ1025" s="7"/>
      <c r="CK1025" s="101"/>
      <c r="CL1025" s="74"/>
      <c r="CM1025" s="74"/>
      <c r="CN1025" s="74"/>
      <c r="CO1025" s="70"/>
      <c r="CP1025" s="101"/>
      <c r="CQ1025" s="7"/>
      <c r="CR1025" s="74"/>
      <c r="CS1025" s="74"/>
      <c r="CT1025" s="74"/>
      <c r="CU1025" s="74"/>
      <c r="CV1025" s="7"/>
      <c r="CW1025" s="7"/>
      <c r="CX1025" s="7"/>
      <c r="CY1025" s="7"/>
      <c r="CZ1025" s="7"/>
      <c r="DA1025" s="7"/>
      <c r="DB1025" s="7"/>
      <c r="DC1025" s="7"/>
      <c r="DD1025" s="7"/>
      <c r="DE1025" s="74"/>
      <c r="DF1025" s="74"/>
      <c r="DG1025" s="74"/>
      <c r="DH1025" s="7"/>
      <c r="DI1025" s="7"/>
      <c r="DJ1025" s="7"/>
      <c r="DK1025" s="7"/>
      <c r="DL1025" s="7"/>
      <c r="DM1025" s="7"/>
      <c r="DN1025" s="7"/>
      <c r="DO1025" s="7"/>
      <c r="DP1025" s="7"/>
      <c r="DQ1025" s="7"/>
      <c r="DR1025" s="7"/>
      <c r="DS1025" s="7"/>
      <c r="DT1025" s="7"/>
      <c r="DU1025" s="7"/>
      <c r="DV1025" s="7"/>
      <c r="DW1025" s="7"/>
      <c r="DX1025" s="7"/>
      <c r="DY1025" s="7"/>
      <c r="DZ1025" s="8">
        <f t="shared" si="249"/>
        <v>0</v>
      </c>
      <c r="EA1025" s="3">
        <f t="shared" si="250"/>
        <v>0</v>
      </c>
      <c r="EB1025" s="2">
        <f t="shared" si="251"/>
        <v>0</v>
      </c>
      <c r="EC1025" s="112">
        <f t="shared" si="260"/>
        <v>0</v>
      </c>
      <c r="ED1025" s="29">
        <f t="shared" si="252"/>
        <v>0</v>
      </c>
      <c r="EE1025" s="2">
        <f t="shared" si="253"/>
        <v>0</v>
      </c>
      <c r="EF1025" s="46">
        <f t="shared" si="254"/>
        <v>0</v>
      </c>
      <c r="EG1025" s="46">
        <f t="shared" si="255"/>
        <v>0</v>
      </c>
      <c r="EH1025" s="2">
        <f t="shared" si="256"/>
        <v>0</v>
      </c>
      <c r="EI1025" s="29">
        <f>IF(COUNT(I1025:AD1025)&lt;5,DZ1025,SUMPRODUCT(LARGE(I1025:AD1025,{1,2,3,4,5}))/5)</f>
        <v>0</v>
      </c>
      <c r="EJ1025" s="29">
        <f>IF(COUNT(I1025:BE1025)&lt;5,DZ1025,SUMPRODUCT(LARGE(I1025:BE1025,{1,2,3,4,5}))/5)</f>
        <v>0</v>
      </c>
      <c r="EK1025" s="29">
        <f t="shared" si="259"/>
        <v>0</v>
      </c>
      <c r="EL1025" s="29">
        <f>(EK1025*100)/101.59</f>
        <v>0</v>
      </c>
      <c r="EM1025" s="116">
        <f t="shared" si="258"/>
        <v>0</v>
      </c>
      <c r="EQ1025"/>
    </row>
    <row r="1026" spans="1:147" x14ac:dyDescent="0.25">
      <c r="A1026" s="59"/>
      <c r="B1026" s="32"/>
      <c r="C1026" s="5"/>
      <c r="D1026" s="6"/>
      <c r="E1026" s="6"/>
      <c r="F1026" s="6"/>
      <c r="G1026" s="5"/>
      <c r="H1026" s="99"/>
      <c r="I1026" s="36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227"/>
      <c r="Z1026" s="228"/>
      <c r="AA1026" s="7"/>
      <c r="AB1026" s="7"/>
      <c r="AC1026" s="7"/>
      <c r="AD1026" s="14"/>
      <c r="AE1026" s="7"/>
      <c r="AF1026" s="7"/>
      <c r="AG1026" s="14"/>
      <c r="AH1026" s="7"/>
      <c r="AI1026" s="7"/>
      <c r="AJ1026" s="7"/>
      <c r="AK1026" s="7"/>
      <c r="AL1026" s="7"/>
      <c r="AM1026" s="7"/>
      <c r="AN1026" s="7"/>
      <c r="AO1026" s="74"/>
      <c r="AP1026" s="7"/>
      <c r="AQ1026" s="74"/>
      <c r="AR1026" s="70"/>
      <c r="AS1026" s="70"/>
      <c r="AT1026" s="70"/>
      <c r="AU1026" s="7"/>
      <c r="AV1026" s="70"/>
      <c r="AW1026" s="7"/>
      <c r="AX1026" s="8"/>
      <c r="AY1026" s="36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4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7"/>
      <c r="CI1026" s="7"/>
      <c r="CJ1026" s="7"/>
      <c r="CK1026" s="101"/>
      <c r="CL1026" s="74"/>
      <c r="CM1026" s="74"/>
      <c r="CN1026" s="74"/>
      <c r="CO1026" s="70"/>
      <c r="CP1026" s="101"/>
      <c r="CQ1026" s="7"/>
      <c r="CR1026" s="74"/>
      <c r="CS1026" s="74"/>
      <c r="CT1026" s="74"/>
      <c r="CU1026" s="74"/>
      <c r="CV1026" s="74"/>
      <c r="CW1026" s="7"/>
      <c r="CX1026" s="7"/>
      <c r="CY1026" s="7"/>
      <c r="CZ1026" s="7"/>
      <c r="DA1026" s="7"/>
      <c r="DB1026" s="7"/>
      <c r="DC1026" s="7"/>
      <c r="DD1026" s="7"/>
      <c r="DE1026" s="74"/>
      <c r="DF1026" s="74"/>
      <c r="DG1026" s="74"/>
      <c r="DH1026" s="74"/>
      <c r="DI1026" s="74"/>
      <c r="DJ1026" s="7"/>
      <c r="DK1026" s="7"/>
      <c r="DL1026" s="7"/>
      <c r="DM1026" s="7"/>
      <c r="DN1026" s="7"/>
      <c r="DO1026" s="7"/>
      <c r="DP1026" s="7"/>
      <c r="DQ1026" s="7"/>
      <c r="DR1026" s="7"/>
      <c r="DS1026" s="7"/>
      <c r="DT1026" s="7"/>
      <c r="DU1026" s="7"/>
      <c r="DV1026" s="7"/>
      <c r="DW1026" s="7"/>
      <c r="DX1026" s="7"/>
      <c r="DY1026" s="7"/>
      <c r="DZ1026" s="8">
        <f t="shared" si="249"/>
        <v>0</v>
      </c>
      <c r="EA1026" s="3">
        <f t="shared" si="250"/>
        <v>0</v>
      </c>
      <c r="EB1026" s="2">
        <f t="shared" si="251"/>
        <v>0</v>
      </c>
      <c r="EC1026" s="112">
        <f t="shared" si="260"/>
        <v>0</v>
      </c>
      <c r="ED1026" s="29">
        <f t="shared" si="252"/>
        <v>0</v>
      </c>
      <c r="EE1026" s="2">
        <f t="shared" si="253"/>
        <v>0</v>
      </c>
      <c r="EF1026" s="46">
        <f t="shared" si="254"/>
        <v>0</v>
      </c>
      <c r="EG1026" s="46">
        <f t="shared" si="255"/>
        <v>0</v>
      </c>
      <c r="EH1026" s="2">
        <f t="shared" si="256"/>
        <v>0</v>
      </c>
      <c r="EI1026" s="29">
        <f>IF(COUNT(I1026:AD1026)&lt;5,DZ1026,SUMPRODUCT(LARGE(I1026:AD1026,{1,2,3,4,5}))/5)</f>
        <v>0</v>
      </c>
      <c r="EJ1026" s="29">
        <f>IF(COUNT(I1026:BE1026)&lt;5,DZ1026,SUMPRODUCT(LARGE(I1026:BE1026,{1,2,3,4,5}))/5)</f>
        <v>0</v>
      </c>
      <c r="EK1026" s="29">
        <f t="shared" si="259"/>
        <v>0</v>
      </c>
      <c r="EL1026" s="29">
        <f t="shared" ref="EL1026:EL1040" si="265">(EK1026*100)/101.28</f>
        <v>0</v>
      </c>
      <c r="EM1026" s="116">
        <f t="shared" si="258"/>
        <v>0</v>
      </c>
      <c r="EQ1026"/>
    </row>
    <row r="1027" spans="1:147" x14ac:dyDescent="0.25">
      <c r="A1027" s="59"/>
      <c r="B1027" s="32"/>
      <c r="C1027" s="5"/>
      <c r="D1027" s="6"/>
      <c r="E1027" s="6"/>
      <c r="F1027" s="6"/>
      <c r="G1027" s="5"/>
      <c r="H1027" s="37"/>
      <c r="I1027" s="36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227"/>
      <c r="Z1027" s="228"/>
      <c r="AA1027" s="7"/>
      <c r="AB1027" s="7"/>
      <c r="AC1027" s="7"/>
      <c r="AD1027" s="14"/>
      <c r="AE1027" s="7"/>
      <c r="AF1027" s="7"/>
      <c r="AG1027" s="14"/>
      <c r="AH1027" s="7"/>
      <c r="AI1027" s="7"/>
      <c r="AJ1027" s="7"/>
      <c r="AK1027" s="7"/>
      <c r="AL1027" s="7"/>
      <c r="AM1027" s="7"/>
      <c r="AN1027" s="7"/>
      <c r="AO1027" s="74"/>
      <c r="AP1027" s="7"/>
      <c r="AQ1027" s="74"/>
      <c r="AR1027" s="70"/>
      <c r="AS1027" s="70"/>
      <c r="AT1027" s="70"/>
      <c r="AU1027" s="7"/>
      <c r="AV1027" s="70"/>
      <c r="AW1027" s="7"/>
      <c r="AX1027" s="8"/>
      <c r="AY1027" s="36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4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101"/>
      <c r="CL1027" s="74"/>
      <c r="CM1027" s="74"/>
      <c r="CN1027" s="74"/>
      <c r="CO1027" s="70"/>
      <c r="CP1027" s="101"/>
      <c r="CQ1027" s="7"/>
      <c r="CR1027" s="74"/>
      <c r="CS1027" s="74"/>
      <c r="CT1027" s="74"/>
      <c r="CU1027" s="74"/>
      <c r="CV1027" s="74"/>
      <c r="CW1027" s="7"/>
      <c r="CX1027" s="7"/>
      <c r="CY1027" s="7"/>
      <c r="CZ1027" s="7"/>
      <c r="DA1027" s="7"/>
      <c r="DB1027" s="7"/>
      <c r="DC1027" s="7"/>
      <c r="DD1027" s="7"/>
      <c r="DE1027" s="74"/>
      <c r="DF1027" s="74"/>
      <c r="DG1027" s="74"/>
      <c r="DH1027" s="74"/>
      <c r="DI1027" s="74"/>
      <c r="DJ1027" s="7"/>
      <c r="DK1027" s="7"/>
      <c r="DL1027" s="7"/>
      <c r="DM1027" s="7"/>
      <c r="DN1027" s="7"/>
      <c r="DO1027" s="7"/>
      <c r="DP1027" s="7"/>
      <c r="DQ1027" s="7"/>
      <c r="DR1027" s="7"/>
      <c r="DS1027" s="7"/>
      <c r="DT1027" s="7"/>
      <c r="DU1027" s="7"/>
      <c r="DV1027" s="7"/>
      <c r="DW1027" s="7"/>
      <c r="DX1027" s="7"/>
      <c r="DY1027" s="7"/>
      <c r="DZ1027" s="8">
        <f t="shared" si="249"/>
        <v>0</v>
      </c>
      <c r="EA1027" s="3">
        <f t="shared" si="250"/>
        <v>0</v>
      </c>
      <c r="EB1027" s="2">
        <f t="shared" si="251"/>
        <v>0</v>
      </c>
      <c r="EC1027" s="112">
        <f t="shared" si="260"/>
        <v>0</v>
      </c>
      <c r="ED1027" s="29">
        <f t="shared" si="252"/>
        <v>0</v>
      </c>
      <c r="EE1027" s="2">
        <f t="shared" si="253"/>
        <v>0</v>
      </c>
      <c r="EF1027" s="46">
        <f t="shared" si="254"/>
        <v>0</v>
      </c>
      <c r="EG1027" s="46">
        <f t="shared" si="255"/>
        <v>0</v>
      </c>
      <c r="EH1027" s="2">
        <f t="shared" si="256"/>
        <v>0</v>
      </c>
      <c r="EI1027" s="29">
        <f>IF(COUNT(I1027:AD1027)&lt;5,DZ1027,SUMPRODUCT(LARGE(I1027:AD1027,{1,2,3,4,5}))/5)</f>
        <v>0</v>
      </c>
      <c r="EJ1027" s="29">
        <f>IF(COUNT(I1027:BE1027)&lt;5,DZ1027,SUMPRODUCT(LARGE(I1027:BE1027,{1,2,3,4,5}))/5)</f>
        <v>0</v>
      </c>
      <c r="EK1027" s="29">
        <f t="shared" si="259"/>
        <v>0</v>
      </c>
      <c r="EL1027" s="29">
        <f t="shared" si="265"/>
        <v>0</v>
      </c>
      <c r="EM1027" s="116">
        <f t="shared" si="258"/>
        <v>0</v>
      </c>
      <c r="EQ1027"/>
    </row>
    <row r="1028" spans="1:147" x14ac:dyDescent="0.25">
      <c r="A1028" s="59"/>
      <c r="B1028" s="32"/>
      <c r="C1028" s="5"/>
      <c r="D1028" s="6"/>
      <c r="E1028" s="6"/>
      <c r="F1028" s="6"/>
      <c r="G1028" s="5"/>
      <c r="H1028" s="37"/>
      <c r="I1028" s="36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227"/>
      <c r="Z1028" s="228"/>
      <c r="AA1028" s="7"/>
      <c r="AB1028" s="7"/>
      <c r="AC1028" s="7"/>
      <c r="AD1028" s="14"/>
      <c r="AE1028" s="7"/>
      <c r="AF1028" s="7"/>
      <c r="AG1028" s="14"/>
      <c r="AH1028" s="7"/>
      <c r="AI1028" s="7"/>
      <c r="AJ1028" s="7"/>
      <c r="AK1028" s="7"/>
      <c r="AL1028" s="7"/>
      <c r="AM1028" s="7"/>
      <c r="AN1028" s="7"/>
      <c r="AO1028" s="74"/>
      <c r="AP1028" s="7"/>
      <c r="AQ1028" s="74"/>
      <c r="AR1028" s="70"/>
      <c r="AS1028" s="70"/>
      <c r="AT1028" s="70"/>
      <c r="AU1028" s="7"/>
      <c r="AV1028" s="70"/>
      <c r="AW1028" s="7"/>
      <c r="AX1028" s="8"/>
      <c r="AY1028" s="36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4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101"/>
      <c r="CL1028" s="74"/>
      <c r="CM1028" s="74"/>
      <c r="CN1028" s="74"/>
      <c r="CO1028" s="70"/>
      <c r="CP1028" s="101"/>
      <c r="CQ1028" s="7"/>
      <c r="CR1028" s="74"/>
      <c r="CS1028" s="74"/>
      <c r="CT1028" s="74"/>
      <c r="CU1028" s="74"/>
      <c r="CV1028" s="7"/>
      <c r="CW1028" s="7"/>
      <c r="CX1028" s="7"/>
      <c r="CY1028" s="7"/>
      <c r="CZ1028" s="7"/>
      <c r="DA1028" s="7"/>
      <c r="DB1028" s="7"/>
      <c r="DC1028" s="7"/>
      <c r="DD1028" s="7"/>
      <c r="DE1028" s="74"/>
      <c r="DF1028" s="74"/>
      <c r="DG1028" s="74"/>
      <c r="DH1028" s="7"/>
      <c r="DI1028" s="74"/>
      <c r="DJ1028" s="7"/>
      <c r="DK1028" s="7"/>
      <c r="DL1028" s="7"/>
      <c r="DM1028" s="7"/>
      <c r="DN1028" s="7"/>
      <c r="DO1028" s="7"/>
      <c r="DP1028" s="7"/>
      <c r="DQ1028" s="7"/>
      <c r="DR1028" s="7"/>
      <c r="DS1028" s="7"/>
      <c r="DT1028" s="7"/>
      <c r="DU1028" s="7"/>
      <c r="DV1028" s="7"/>
      <c r="DW1028" s="7"/>
      <c r="DX1028" s="7"/>
      <c r="DY1028" s="7"/>
      <c r="DZ1028" s="8">
        <f t="shared" si="249"/>
        <v>0</v>
      </c>
      <c r="EA1028" s="3">
        <f t="shared" si="250"/>
        <v>0</v>
      </c>
      <c r="EB1028" s="2">
        <f t="shared" si="251"/>
        <v>0</v>
      </c>
      <c r="EC1028" s="112">
        <f t="shared" si="260"/>
        <v>0</v>
      </c>
      <c r="ED1028" s="29">
        <f t="shared" si="252"/>
        <v>0</v>
      </c>
      <c r="EE1028" s="2">
        <f t="shared" si="253"/>
        <v>0</v>
      </c>
      <c r="EF1028" s="46">
        <f t="shared" si="254"/>
        <v>0</v>
      </c>
      <c r="EG1028" s="46">
        <f t="shared" si="255"/>
        <v>0</v>
      </c>
      <c r="EH1028" s="2">
        <f t="shared" si="256"/>
        <v>0</v>
      </c>
      <c r="EI1028" s="29">
        <f>IF(COUNT(I1028:AD1028)&lt;5,DZ1028,SUMPRODUCT(LARGE(I1028:AD1028,{1,2,3,4,5}))/5)</f>
        <v>0</v>
      </c>
      <c r="EJ1028" s="29">
        <f>IF(COUNT(I1028:BE1028)&lt;5,DZ1028,SUMPRODUCT(LARGE(I1028:BE1028,{1,2,3,4,5}))/5)</f>
        <v>0</v>
      </c>
      <c r="EK1028" s="29">
        <f t="shared" si="259"/>
        <v>0</v>
      </c>
      <c r="EL1028" s="29">
        <f t="shared" si="265"/>
        <v>0</v>
      </c>
      <c r="EM1028" s="116">
        <f t="shared" si="258"/>
        <v>0</v>
      </c>
      <c r="EQ1028"/>
    </row>
    <row r="1029" spans="1:147" x14ac:dyDescent="0.25">
      <c r="A1029" s="59"/>
      <c r="B1029" s="32"/>
      <c r="C1029" s="5"/>
      <c r="D1029" s="6"/>
      <c r="E1029" s="6"/>
      <c r="F1029" s="6"/>
      <c r="G1029" s="5"/>
      <c r="H1029" s="37"/>
      <c r="I1029" s="36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227"/>
      <c r="Z1029" s="228"/>
      <c r="AA1029" s="7"/>
      <c r="AB1029" s="7"/>
      <c r="AC1029" s="7"/>
      <c r="AD1029" s="14"/>
      <c r="AE1029" s="7"/>
      <c r="AF1029" s="7"/>
      <c r="AG1029" s="14"/>
      <c r="AH1029" s="7"/>
      <c r="AI1029" s="7"/>
      <c r="AJ1029" s="7"/>
      <c r="AK1029" s="7"/>
      <c r="AL1029" s="7"/>
      <c r="AM1029" s="7"/>
      <c r="AN1029" s="7"/>
      <c r="AO1029" s="74"/>
      <c r="AP1029" s="7"/>
      <c r="AQ1029" s="74"/>
      <c r="AR1029" s="70"/>
      <c r="AS1029" s="70"/>
      <c r="AT1029" s="70"/>
      <c r="AU1029" s="7"/>
      <c r="AV1029" s="70"/>
      <c r="AW1029" s="7"/>
      <c r="AX1029" s="8"/>
      <c r="AY1029" s="36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4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4"/>
      <c r="CE1029" s="7"/>
      <c r="CF1029" s="7"/>
      <c r="CG1029" s="7"/>
      <c r="CH1029" s="7"/>
      <c r="CI1029" s="7"/>
      <c r="CJ1029" s="7"/>
      <c r="CK1029" s="101"/>
      <c r="CL1029" s="74"/>
      <c r="CM1029" s="74"/>
      <c r="CN1029" s="74"/>
      <c r="CO1029" s="70"/>
      <c r="CP1029" s="101"/>
      <c r="CQ1029" s="7"/>
      <c r="CR1029" s="74"/>
      <c r="CS1029" s="74"/>
      <c r="CT1029" s="74"/>
      <c r="CU1029" s="74"/>
      <c r="CV1029" s="7"/>
      <c r="CW1029" s="7"/>
      <c r="CX1029" s="7"/>
      <c r="CY1029" s="7"/>
      <c r="CZ1029" s="7"/>
      <c r="DA1029" s="7"/>
      <c r="DB1029" s="7"/>
      <c r="DC1029" s="7"/>
      <c r="DD1029" s="7"/>
      <c r="DE1029" s="74"/>
      <c r="DF1029" s="74"/>
      <c r="DG1029" s="74"/>
      <c r="DH1029" s="7"/>
      <c r="DI1029" s="74"/>
      <c r="DJ1029" s="7"/>
      <c r="DK1029" s="7"/>
      <c r="DL1029" s="7"/>
      <c r="DM1029" s="7"/>
      <c r="DN1029" s="7"/>
      <c r="DO1029" s="7"/>
      <c r="DP1029" s="7"/>
      <c r="DQ1029" s="7"/>
      <c r="DR1029" s="7"/>
      <c r="DS1029" s="7"/>
      <c r="DT1029" s="7"/>
      <c r="DU1029" s="7"/>
      <c r="DV1029" s="7"/>
      <c r="DW1029" s="7"/>
      <c r="DX1029" s="7"/>
      <c r="DY1029" s="7"/>
      <c r="DZ1029" s="8">
        <f t="shared" ref="DZ1029:DZ1092" si="266">IF(EB1029&gt;0,AVERAGE(I1029:DY1029),H1029)</f>
        <v>0</v>
      </c>
      <c r="EA1029" s="22">
        <f t="shared" ref="EA1029:EA1092" si="267">B1029</f>
        <v>0</v>
      </c>
      <c r="EB1029" s="56">
        <f t="shared" ref="EB1029:EB1092" si="268">IF(G1029&gt;0,1,0)</f>
        <v>0</v>
      </c>
      <c r="EC1029" s="112">
        <f t="shared" si="260"/>
        <v>0</v>
      </c>
      <c r="ED1029" s="112">
        <f t="shared" ref="ED1029:ED1092" si="269">EL1029</f>
        <v>0</v>
      </c>
      <c r="EE1029" s="56">
        <f t="shared" ref="EE1029:EE1092" si="270">COUNT(I1029:AH1029)</f>
        <v>0</v>
      </c>
      <c r="EF1029" s="111">
        <f t="shared" ref="EF1029:EF1092" si="271">COUNT(I1029:BQ1029)</f>
        <v>0</v>
      </c>
      <c r="EG1029" s="111">
        <f t="shared" ref="EG1029:EG1092" si="272">COUNT(I1029:DY1029)</f>
        <v>0</v>
      </c>
      <c r="EH1029" s="56">
        <f t="shared" ref="EH1029:EH1092" si="273">D1029</f>
        <v>0</v>
      </c>
      <c r="EI1029" s="112">
        <f>IF(COUNT(I1029:AD1029)&lt;5,DZ1029,SUMPRODUCT(LARGE(I1029:AD1029,{1,2,3,4,5}))/5)</f>
        <v>0</v>
      </c>
      <c r="EJ1029" s="112">
        <f>IF(COUNT(I1029:BE1029)&lt;5,DZ1029,SUMPRODUCT(LARGE(I1029:BE1029,{1,2,3,4,5}))/5)</f>
        <v>0</v>
      </c>
      <c r="EK1029" s="29">
        <f t="shared" si="259"/>
        <v>0</v>
      </c>
      <c r="EL1029" s="112">
        <f t="shared" si="265"/>
        <v>0</v>
      </c>
      <c r="EM1029" s="116">
        <f t="shared" ref="EM1029:EM1092" si="274">B1029</f>
        <v>0</v>
      </c>
      <c r="EQ1029"/>
    </row>
    <row r="1030" spans="1:147" x14ac:dyDescent="0.25">
      <c r="A1030" s="59"/>
      <c r="B1030" s="32"/>
      <c r="C1030" s="5"/>
      <c r="D1030" s="6"/>
      <c r="E1030" s="6"/>
      <c r="F1030" s="6"/>
      <c r="G1030" s="5"/>
      <c r="H1030" s="37"/>
      <c r="I1030" s="36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227"/>
      <c r="Z1030" s="228"/>
      <c r="AA1030" s="7"/>
      <c r="AB1030" s="7"/>
      <c r="AC1030" s="7"/>
      <c r="AD1030" s="14"/>
      <c r="AE1030" s="7"/>
      <c r="AF1030" s="7"/>
      <c r="AG1030" s="14"/>
      <c r="AH1030" s="7"/>
      <c r="AI1030" s="7"/>
      <c r="AJ1030" s="7"/>
      <c r="AK1030" s="7"/>
      <c r="AL1030" s="7"/>
      <c r="AM1030" s="7"/>
      <c r="AN1030" s="7"/>
      <c r="AO1030" s="74"/>
      <c r="AP1030" s="7"/>
      <c r="AQ1030" s="74"/>
      <c r="AR1030" s="70"/>
      <c r="AS1030" s="70"/>
      <c r="AT1030" s="70"/>
      <c r="AU1030" s="7"/>
      <c r="AV1030" s="70"/>
      <c r="AW1030" s="7"/>
      <c r="AX1030" s="8"/>
      <c r="AY1030" s="36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4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101"/>
      <c r="CL1030" s="74"/>
      <c r="CM1030" s="74"/>
      <c r="CN1030" s="74"/>
      <c r="CO1030" s="70"/>
      <c r="CP1030" s="101"/>
      <c r="CQ1030" s="7"/>
      <c r="CR1030" s="74"/>
      <c r="CS1030" s="74"/>
      <c r="CT1030" s="74"/>
      <c r="CU1030" s="74"/>
      <c r="CV1030" s="7"/>
      <c r="CW1030" s="7"/>
      <c r="CX1030" s="7"/>
      <c r="CY1030" s="7"/>
      <c r="CZ1030" s="7"/>
      <c r="DA1030" s="7"/>
      <c r="DB1030" s="7"/>
      <c r="DC1030" s="7"/>
      <c r="DD1030" s="7"/>
      <c r="DE1030" s="74"/>
      <c r="DF1030" s="74"/>
      <c r="DG1030" s="74"/>
      <c r="DH1030" s="7"/>
      <c r="DI1030" s="74"/>
      <c r="DJ1030" s="7"/>
      <c r="DK1030" s="7"/>
      <c r="DL1030" s="7"/>
      <c r="DM1030" s="7"/>
      <c r="DN1030" s="7"/>
      <c r="DO1030" s="7"/>
      <c r="DP1030" s="7"/>
      <c r="DQ1030" s="74"/>
      <c r="DR1030" s="74"/>
      <c r="DS1030" s="7"/>
      <c r="DT1030" s="7"/>
      <c r="DU1030" s="7"/>
      <c r="DV1030" s="7"/>
      <c r="DW1030" s="7"/>
      <c r="DX1030" s="7"/>
      <c r="DY1030" s="7"/>
      <c r="DZ1030" s="8">
        <f t="shared" si="266"/>
        <v>0</v>
      </c>
      <c r="EA1030" s="3">
        <f t="shared" si="267"/>
        <v>0</v>
      </c>
      <c r="EB1030" s="2">
        <f t="shared" si="268"/>
        <v>0</v>
      </c>
      <c r="EC1030" s="112">
        <f t="shared" si="260"/>
        <v>0</v>
      </c>
      <c r="ED1030" s="29">
        <f t="shared" si="269"/>
        <v>0</v>
      </c>
      <c r="EE1030" s="2">
        <f t="shared" si="270"/>
        <v>0</v>
      </c>
      <c r="EF1030" s="46">
        <f t="shared" si="271"/>
        <v>0</v>
      </c>
      <c r="EG1030" s="46">
        <f t="shared" si="272"/>
        <v>0</v>
      </c>
      <c r="EH1030" s="2">
        <f t="shared" si="273"/>
        <v>0</v>
      </c>
      <c r="EI1030" s="29">
        <f>IF(COUNT(I1030:AD1030)&lt;5,DZ1030,SUMPRODUCT(LARGE(I1030:AD1030,{1,2,3,4,5}))/5)</f>
        <v>0</v>
      </c>
      <c r="EJ1030" s="29">
        <f>IF(COUNT(I1030:BE1030)&lt;5,DZ1030,SUMPRODUCT(LARGE(I1030:BE1030,{1,2,3,4,5}))/5)</f>
        <v>0</v>
      </c>
      <c r="EK1030" s="29">
        <f t="shared" ref="EK1030:EK1093" si="275">IF(EG1030&lt;0,AVERAGE(I1030:DY1030),0)</f>
        <v>0</v>
      </c>
      <c r="EL1030" s="29">
        <f t="shared" si="265"/>
        <v>0</v>
      </c>
      <c r="EM1030" s="116">
        <f t="shared" si="274"/>
        <v>0</v>
      </c>
      <c r="EQ1030"/>
    </row>
    <row r="1031" spans="1:147" x14ac:dyDescent="0.25">
      <c r="A1031" s="59"/>
      <c r="B1031" s="4"/>
      <c r="C1031" s="5"/>
      <c r="D1031" s="5"/>
      <c r="E1031" s="6"/>
      <c r="F1031" s="6"/>
      <c r="G1031" s="5"/>
      <c r="H1031" s="37"/>
      <c r="I1031" s="36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227"/>
      <c r="Z1031" s="228"/>
      <c r="AA1031" s="7"/>
      <c r="AB1031" s="7"/>
      <c r="AC1031" s="7"/>
      <c r="AD1031" s="14"/>
      <c r="AE1031" s="7"/>
      <c r="AF1031" s="7"/>
      <c r="AG1031" s="14"/>
      <c r="AH1031" s="7"/>
      <c r="AI1031" s="7"/>
      <c r="AJ1031" s="7"/>
      <c r="AK1031" s="7"/>
      <c r="AL1031" s="7"/>
      <c r="AM1031" s="7"/>
      <c r="AN1031" s="7"/>
      <c r="AO1031" s="74"/>
      <c r="AP1031" s="7"/>
      <c r="AQ1031" s="74"/>
      <c r="AR1031" s="70"/>
      <c r="AS1031" s="70"/>
      <c r="AT1031" s="70"/>
      <c r="AU1031" s="7"/>
      <c r="AV1031" s="70"/>
      <c r="AW1031" s="7"/>
      <c r="AX1031" s="8"/>
      <c r="AY1031" s="36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4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101"/>
      <c r="CL1031" s="74"/>
      <c r="CM1031" s="74"/>
      <c r="CN1031" s="74"/>
      <c r="CO1031" s="70"/>
      <c r="CP1031" s="101"/>
      <c r="CQ1031" s="7"/>
      <c r="CR1031" s="74"/>
      <c r="CS1031" s="74"/>
      <c r="CT1031" s="74"/>
      <c r="CU1031" s="74"/>
      <c r="CV1031" s="74"/>
      <c r="CW1031" s="7"/>
      <c r="CX1031" s="7"/>
      <c r="CY1031" s="7"/>
      <c r="CZ1031" s="7"/>
      <c r="DA1031" s="7"/>
      <c r="DB1031" s="7"/>
      <c r="DC1031" s="7"/>
      <c r="DD1031" s="7"/>
      <c r="DE1031" s="74"/>
      <c r="DF1031" s="74"/>
      <c r="DG1031" s="74"/>
      <c r="DH1031" s="74"/>
      <c r="DI1031" s="74"/>
      <c r="DJ1031" s="7"/>
      <c r="DK1031" s="7"/>
      <c r="DL1031" s="7"/>
      <c r="DM1031" s="7"/>
      <c r="DN1031" s="7"/>
      <c r="DO1031" s="7"/>
      <c r="DP1031" s="7"/>
      <c r="DQ1031" s="7"/>
      <c r="DR1031" s="7"/>
      <c r="DS1031" s="7"/>
      <c r="DT1031" s="7"/>
      <c r="DU1031" s="7"/>
      <c r="DV1031" s="7"/>
      <c r="DW1031" s="7"/>
      <c r="DX1031" s="7"/>
      <c r="DY1031" s="7"/>
      <c r="DZ1031" s="8">
        <f t="shared" si="266"/>
        <v>0</v>
      </c>
      <c r="EA1031" s="3">
        <f t="shared" si="267"/>
        <v>0</v>
      </c>
      <c r="EB1031" s="2">
        <f t="shared" si="268"/>
        <v>0</v>
      </c>
      <c r="EC1031" s="112">
        <f t="shared" si="260"/>
        <v>0</v>
      </c>
      <c r="ED1031" s="29">
        <f t="shared" si="269"/>
        <v>0</v>
      </c>
      <c r="EE1031" s="2">
        <f t="shared" si="270"/>
        <v>0</v>
      </c>
      <c r="EF1031" s="46">
        <f t="shared" si="271"/>
        <v>0</v>
      </c>
      <c r="EG1031" s="46">
        <f t="shared" si="272"/>
        <v>0</v>
      </c>
      <c r="EH1031" s="2">
        <f t="shared" si="273"/>
        <v>0</v>
      </c>
      <c r="EI1031" s="29">
        <f>IF(COUNT(I1031:AD1031)&lt;5,DZ1031,SUMPRODUCT(LARGE(I1031:AD1031,{1,2,3,4,5}))/5)</f>
        <v>0</v>
      </c>
      <c r="EJ1031" s="29">
        <f>IF(COUNT(I1031:BE1031)&lt;5,DZ1031,SUMPRODUCT(LARGE(I1031:BE1031,{1,2,3,4,5}))/5)</f>
        <v>0</v>
      </c>
      <c r="EK1031" s="29">
        <f t="shared" si="275"/>
        <v>0</v>
      </c>
      <c r="EL1031" s="29">
        <f t="shared" si="265"/>
        <v>0</v>
      </c>
      <c r="EM1031" s="116">
        <f t="shared" si="274"/>
        <v>0</v>
      </c>
      <c r="EQ1031"/>
    </row>
    <row r="1032" spans="1:147" x14ac:dyDescent="0.25">
      <c r="A1032" s="59"/>
      <c r="B1032" s="32"/>
      <c r="C1032" s="5"/>
      <c r="D1032" s="6"/>
      <c r="E1032" s="6"/>
      <c r="F1032" s="6"/>
      <c r="G1032" s="5"/>
      <c r="H1032" s="37"/>
      <c r="I1032" s="36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227"/>
      <c r="Z1032" s="228"/>
      <c r="AA1032" s="7"/>
      <c r="AB1032" s="7"/>
      <c r="AC1032" s="7"/>
      <c r="AD1032" s="14"/>
      <c r="AE1032" s="7"/>
      <c r="AF1032" s="7"/>
      <c r="AG1032" s="14"/>
      <c r="AH1032" s="7"/>
      <c r="AI1032" s="7"/>
      <c r="AJ1032" s="7"/>
      <c r="AK1032" s="7"/>
      <c r="AL1032" s="7"/>
      <c r="AM1032" s="7"/>
      <c r="AN1032" s="7"/>
      <c r="AO1032" s="74"/>
      <c r="AP1032" s="7"/>
      <c r="AQ1032" s="74"/>
      <c r="AR1032" s="70"/>
      <c r="AS1032" s="70"/>
      <c r="AT1032" s="70"/>
      <c r="AU1032" s="7"/>
      <c r="AV1032" s="70"/>
      <c r="AW1032" s="7"/>
      <c r="AX1032" s="8"/>
      <c r="AY1032" s="36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4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101"/>
      <c r="CL1032" s="74"/>
      <c r="CM1032" s="74"/>
      <c r="CN1032" s="74"/>
      <c r="CO1032" s="70"/>
      <c r="CP1032" s="101"/>
      <c r="CQ1032" s="7"/>
      <c r="CR1032" s="74"/>
      <c r="CS1032" s="74"/>
      <c r="CT1032" s="74"/>
      <c r="CU1032" s="74"/>
      <c r="CV1032" s="7"/>
      <c r="CW1032" s="7"/>
      <c r="CX1032" s="7"/>
      <c r="CY1032" s="7"/>
      <c r="CZ1032" s="7"/>
      <c r="DA1032" s="7"/>
      <c r="DB1032" s="7"/>
      <c r="DC1032" s="7"/>
      <c r="DD1032" s="7"/>
      <c r="DE1032" s="74"/>
      <c r="DF1032" s="74"/>
      <c r="DG1032" s="74"/>
      <c r="DH1032" s="7"/>
      <c r="DI1032" s="74"/>
      <c r="DJ1032" s="7"/>
      <c r="DK1032" s="7"/>
      <c r="DL1032" s="7"/>
      <c r="DM1032" s="7"/>
      <c r="DN1032" s="7"/>
      <c r="DO1032" s="7"/>
      <c r="DP1032" s="7"/>
      <c r="DQ1032" s="7"/>
      <c r="DR1032" s="7"/>
      <c r="DS1032" s="7"/>
      <c r="DT1032" s="7"/>
      <c r="DU1032" s="7"/>
      <c r="DV1032" s="7"/>
      <c r="DW1032" s="7"/>
      <c r="DX1032" s="7"/>
      <c r="DY1032" s="7"/>
      <c r="DZ1032" s="8">
        <f t="shared" si="266"/>
        <v>0</v>
      </c>
      <c r="EA1032" s="3">
        <f t="shared" si="267"/>
        <v>0</v>
      </c>
      <c r="EB1032" s="2">
        <f t="shared" si="268"/>
        <v>0</v>
      </c>
      <c r="EC1032" s="112">
        <f t="shared" si="260"/>
        <v>0</v>
      </c>
      <c r="ED1032" s="29">
        <f t="shared" si="269"/>
        <v>0</v>
      </c>
      <c r="EE1032" s="2">
        <f t="shared" si="270"/>
        <v>0</v>
      </c>
      <c r="EF1032" s="46">
        <f t="shared" si="271"/>
        <v>0</v>
      </c>
      <c r="EG1032" s="46">
        <f t="shared" si="272"/>
        <v>0</v>
      </c>
      <c r="EH1032" s="2">
        <f t="shared" si="273"/>
        <v>0</v>
      </c>
      <c r="EI1032" s="29">
        <f>IF(COUNT(I1032:AD1032)&lt;5,DZ1032,SUMPRODUCT(LARGE(I1032:AD1032,{1,2,3,4,5}))/5)</f>
        <v>0</v>
      </c>
      <c r="EJ1032" s="29">
        <f>IF(COUNT(I1032:BE1032)&lt;5,DZ1032,SUMPRODUCT(LARGE(I1032:BE1032,{1,2,3,4,5}))/5)</f>
        <v>0</v>
      </c>
      <c r="EK1032" s="29">
        <f t="shared" si="275"/>
        <v>0</v>
      </c>
      <c r="EL1032" s="29">
        <f t="shared" si="265"/>
        <v>0</v>
      </c>
      <c r="EM1032" s="116">
        <f t="shared" si="274"/>
        <v>0</v>
      </c>
      <c r="EQ1032"/>
    </row>
    <row r="1033" spans="1:147" x14ac:dyDescent="0.25">
      <c r="A1033" s="59"/>
      <c r="B1033" s="32"/>
      <c r="C1033" s="5"/>
      <c r="D1033" s="6"/>
      <c r="E1033" s="6"/>
      <c r="F1033" s="6"/>
      <c r="G1033" s="5"/>
      <c r="H1033" s="37"/>
      <c r="I1033" s="107"/>
      <c r="J1033" s="7"/>
      <c r="K1033" s="74"/>
      <c r="L1033" s="7"/>
      <c r="M1033" s="74"/>
      <c r="N1033" s="74"/>
      <c r="O1033" s="7"/>
      <c r="P1033" s="74"/>
      <c r="Q1033" s="7"/>
      <c r="R1033" s="74"/>
      <c r="S1033" s="74"/>
      <c r="T1033" s="7"/>
      <c r="U1033" s="7"/>
      <c r="V1033" s="74"/>
      <c r="W1033" s="7"/>
      <c r="X1033" s="74"/>
      <c r="Y1033" s="227"/>
      <c r="Z1033" s="228"/>
      <c r="AA1033" s="74"/>
      <c r="AB1033" s="74"/>
      <c r="AC1033" s="74"/>
      <c r="AD1033" s="103"/>
      <c r="AE1033" s="7"/>
      <c r="AF1033" s="74"/>
      <c r="AG1033" s="103"/>
      <c r="AH1033" s="7"/>
      <c r="AI1033" s="7"/>
      <c r="AJ1033" s="7"/>
      <c r="AK1033" s="7"/>
      <c r="AL1033" s="7"/>
      <c r="AM1033" s="7"/>
      <c r="AN1033" s="7"/>
      <c r="AO1033" s="74"/>
      <c r="AP1033" s="7"/>
      <c r="AQ1033" s="74"/>
      <c r="AR1033" s="101"/>
      <c r="AS1033" s="70"/>
      <c r="AT1033" s="101"/>
      <c r="AU1033" s="7"/>
      <c r="AV1033" s="101"/>
      <c r="AW1033" s="7"/>
      <c r="AX1033" s="8"/>
      <c r="AY1033" s="36"/>
      <c r="AZ1033" s="74"/>
      <c r="BA1033" s="74"/>
      <c r="BB1033" s="74"/>
      <c r="BC1033" s="74"/>
      <c r="BD1033" s="74"/>
      <c r="BE1033" s="74"/>
      <c r="BF1033" s="74"/>
      <c r="BG1033" s="74"/>
      <c r="BH1033" s="74"/>
      <c r="BI1033" s="74"/>
      <c r="BJ1033" s="74"/>
      <c r="BK1033" s="7"/>
      <c r="BL1033" s="74"/>
      <c r="BM1033" s="7"/>
      <c r="BN1033" s="74"/>
      <c r="BO1033" s="74"/>
      <c r="BP1033" s="74"/>
      <c r="BQ1033" s="74"/>
      <c r="BR1033" s="74"/>
      <c r="BS1033" s="74"/>
      <c r="BT1033" s="74"/>
      <c r="BU1033" s="74"/>
      <c r="BV1033" s="74"/>
      <c r="BW1033" s="74"/>
      <c r="BX1033" s="74"/>
      <c r="BY1033" s="74"/>
      <c r="BZ1033" s="74"/>
      <c r="CA1033" s="74"/>
      <c r="CB1033" s="74"/>
      <c r="CC1033" s="74"/>
      <c r="CD1033" s="74"/>
      <c r="CE1033" s="7"/>
      <c r="CF1033" s="74"/>
      <c r="CG1033" s="74"/>
      <c r="CH1033" s="7"/>
      <c r="CI1033" s="74"/>
      <c r="CJ1033" s="74"/>
      <c r="CK1033" s="101"/>
      <c r="CL1033" s="74"/>
      <c r="CM1033" s="74"/>
      <c r="CN1033" s="74"/>
      <c r="CO1033" s="104"/>
      <c r="CP1033" s="101"/>
      <c r="CQ1033" s="74"/>
      <c r="CR1033" s="74"/>
      <c r="CS1033" s="74"/>
      <c r="CT1033" s="74"/>
      <c r="CU1033" s="74"/>
      <c r="CV1033" s="74"/>
      <c r="CW1033" s="74"/>
      <c r="CX1033" s="74"/>
      <c r="CY1033" s="74"/>
      <c r="CZ1033" s="74"/>
      <c r="DA1033" s="74"/>
      <c r="DB1033" s="74"/>
      <c r="DC1033" s="74"/>
      <c r="DD1033" s="74"/>
      <c r="DE1033" s="74"/>
      <c r="DF1033" s="74"/>
      <c r="DG1033" s="74"/>
      <c r="DH1033" s="74"/>
      <c r="DI1033" s="74"/>
      <c r="DJ1033" s="74"/>
      <c r="DK1033" s="74"/>
      <c r="DL1033" s="74"/>
      <c r="DM1033" s="74"/>
      <c r="DN1033" s="74"/>
      <c r="DO1033" s="74"/>
      <c r="DP1033" s="74"/>
      <c r="DQ1033" s="74"/>
      <c r="DR1033" s="74"/>
      <c r="DS1033" s="74"/>
      <c r="DT1033" s="74"/>
      <c r="DU1033" s="74"/>
      <c r="DV1033" s="74"/>
      <c r="DW1033" s="74"/>
      <c r="DX1033" s="74"/>
      <c r="DY1033" s="74"/>
      <c r="DZ1033" s="8">
        <f t="shared" si="266"/>
        <v>0</v>
      </c>
      <c r="EA1033" s="3">
        <f t="shared" si="267"/>
        <v>0</v>
      </c>
      <c r="EB1033" s="2">
        <f t="shared" si="268"/>
        <v>0</v>
      </c>
      <c r="EC1033" s="112">
        <f t="shared" si="260"/>
        <v>0</v>
      </c>
      <c r="ED1033" s="29">
        <f t="shared" si="269"/>
        <v>0</v>
      </c>
      <c r="EE1033" s="2">
        <f t="shared" si="270"/>
        <v>0</v>
      </c>
      <c r="EF1033" s="46">
        <f t="shared" si="271"/>
        <v>0</v>
      </c>
      <c r="EG1033" s="46">
        <f t="shared" si="272"/>
        <v>0</v>
      </c>
      <c r="EH1033" s="29">
        <f t="shared" si="273"/>
        <v>0</v>
      </c>
      <c r="EI1033" s="29">
        <f>IF(COUNT(I1033:AD1033)&lt;5,DZ1033,SUMPRODUCT(LARGE(I1033:AD1033,{1,2,3,4,5}))/5)</f>
        <v>0</v>
      </c>
      <c r="EJ1033" s="29">
        <f>IF(COUNT(I1033:BE1033)&lt;5,DZ1033,SUMPRODUCT(LARGE(I1033:BE1033,{1,2,3,4,5}))/5)</f>
        <v>0</v>
      </c>
      <c r="EK1033" s="29">
        <f t="shared" si="275"/>
        <v>0</v>
      </c>
      <c r="EL1033" s="29">
        <f t="shared" si="265"/>
        <v>0</v>
      </c>
      <c r="EM1033" s="116">
        <f t="shared" si="274"/>
        <v>0</v>
      </c>
      <c r="EQ1033"/>
    </row>
    <row r="1034" spans="1:147" x14ac:dyDescent="0.25">
      <c r="A1034" s="59"/>
      <c r="B1034" s="4"/>
      <c r="C1034" s="5"/>
      <c r="D1034" s="5"/>
      <c r="E1034" s="6"/>
      <c r="F1034" s="6"/>
      <c r="G1034" s="5"/>
      <c r="H1034" s="37"/>
      <c r="I1034" s="107"/>
      <c r="J1034" s="7"/>
      <c r="K1034" s="74"/>
      <c r="L1034" s="7"/>
      <c r="M1034" s="74"/>
      <c r="N1034" s="74"/>
      <c r="O1034" s="7"/>
      <c r="P1034" s="74"/>
      <c r="Q1034" s="7"/>
      <c r="R1034" s="74"/>
      <c r="S1034" s="74"/>
      <c r="T1034" s="7"/>
      <c r="U1034" s="7"/>
      <c r="V1034" s="74"/>
      <c r="W1034" s="7"/>
      <c r="X1034" s="74"/>
      <c r="Y1034" s="227"/>
      <c r="Z1034" s="228"/>
      <c r="AA1034" s="74"/>
      <c r="AB1034" s="74"/>
      <c r="AC1034" s="74"/>
      <c r="AD1034" s="74"/>
      <c r="AE1034" s="7"/>
      <c r="AF1034" s="74"/>
      <c r="AG1034" s="74"/>
      <c r="AH1034" s="7"/>
      <c r="AI1034" s="7"/>
      <c r="AJ1034" s="7"/>
      <c r="AK1034" s="7"/>
      <c r="AL1034" s="7"/>
      <c r="AM1034" s="7"/>
      <c r="AN1034" s="7"/>
      <c r="AO1034" s="74"/>
      <c r="AP1034" s="7"/>
      <c r="AQ1034" s="74"/>
      <c r="AR1034" s="101"/>
      <c r="AS1034" s="70"/>
      <c r="AT1034" s="101"/>
      <c r="AU1034" s="7"/>
      <c r="AV1034" s="101"/>
      <c r="AW1034" s="7"/>
      <c r="AX1034" s="8"/>
      <c r="AY1034" s="36"/>
      <c r="AZ1034" s="74"/>
      <c r="BA1034" s="74"/>
      <c r="BB1034" s="74"/>
      <c r="BC1034" s="74"/>
      <c r="BD1034" s="74"/>
      <c r="BE1034" s="74"/>
      <c r="BF1034" s="74"/>
      <c r="BG1034" s="74"/>
      <c r="BH1034" s="74"/>
      <c r="BI1034" s="74"/>
      <c r="BJ1034" s="74"/>
      <c r="BK1034" s="7"/>
      <c r="BL1034" s="74"/>
      <c r="BM1034" s="7"/>
      <c r="BN1034" s="74"/>
      <c r="BO1034" s="74"/>
      <c r="BP1034" s="74"/>
      <c r="BQ1034" s="74"/>
      <c r="BR1034" s="74"/>
      <c r="BS1034" s="74"/>
      <c r="BT1034" s="74"/>
      <c r="BU1034" s="74"/>
      <c r="BV1034" s="74"/>
      <c r="BW1034" s="74"/>
      <c r="BX1034" s="74"/>
      <c r="BY1034" s="74"/>
      <c r="BZ1034" s="74"/>
      <c r="CA1034" s="74"/>
      <c r="CB1034" s="74"/>
      <c r="CC1034" s="74"/>
      <c r="CD1034" s="74"/>
      <c r="CE1034" s="7"/>
      <c r="CF1034" s="74"/>
      <c r="CG1034" s="74"/>
      <c r="CH1034" s="7"/>
      <c r="CI1034" s="74"/>
      <c r="CJ1034" s="74"/>
      <c r="CK1034" s="101"/>
      <c r="CL1034" s="74"/>
      <c r="CM1034" s="74"/>
      <c r="CN1034" s="74"/>
      <c r="CO1034" s="101"/>
      <c r="CP1034" s="101"/>
      <c r="CQ1034" s="74"/>
      <c r="CR1034" s="74"/>
      <c r="CS1034" s="74"/>
      <c r="CT1034" s="74"/>
      <c r="CU1034" s="74"/>
      <c r="CV1034" s="74"/>
      <c r="CW1034" s="74"/>
      <c r="CX1034" s="74"/>
      <c r="CY1034" s="74"/>
      <c r="CZ1034" s="74"/>
      <c r="DA1034" s="74"/>
      <c r="DB1034" s="74"/>
      <c r="DC1034" s="74"/>
      <c r="DD1034" s="74"/>
      <c r="DE1034" s="74"/>
      <c r="DF1034" s="74"/>
      <c r="DG1034" s="74"/>
      <c r="DH1034" s="74"/>
      <c r="DI1034" s="74"/>
      <c r="DJ1034" s="7"/>
      <c r="DK1034" s="74"/>
      <c r="DL1034" s="7"/>
      <c r="DM1034" s="74"/>
      <c r="DN1034" s="74"/>
      <c r="DO1034" s="74"/>
      <c r="DP1034" s="74"/>
      <c r="DQ1034" s="74"/>
      <c r="DR1034" s="74"/>
      <c r="DS1034" s="74"/>
      <c r="DT1034" s="74"/>
      <c r="DU1034" s="74"/>
      <c r="DV1034" s="74"/>
      <c r="DW1034" s="74"/>
      <c r="DX1034" s="74"/>
      <c r="DY1034" s="74"/>
      <c r="DZ1034" s="8">
        <f t="shared" si="266"/>
        <v>0</v>
      </c>
      <c r="EA1034" s="3">
        <f t="shared" si="267"/>
        <v>0</v>
      </c>
      <c r="EB1034" s="2">
        <f t="shared" si="268"/>
        <v>0</v>
      </c>
      <c r="EC1034" s="112">
        <f t="shared" si="260"/>
        <v>0</v>
      </c>
      <c r="ED1034" s="29">
        <f t="shared" si="269"/>
        <v>0</v>
      </c>
      <c r="EE1034" s="2">
        <f t="shared" si="270"/>
        <v>0</v>
      </c>
      <c r="EF1034" s="46">
        <f t="shared" si="271"/>
        <v>0</v>
      </c>
      <c r="EG1034" s="46">
        <f t="shared" si="272"/>
        <v>0</v>
      </c>
      <c r="EH1034" s="2">
        <f t="shared" si="273"/>
        <v>0</v>
      </c>
      <c r="EI1034" s="29">
        <f>IF(COUNT(I1034:AD1034)&lt;5,DZ1034,SUMPRODUCT(LARGE(I1034:AD1034,{1,2,3,4,5}))/5)</f>
        <v>0</v>
      </c>
      <c r="EJ1034" s="29">
        <f>IF(COUNT(I1034:BE1034)&lt;5,DZ1034,SUMPRODUCT(LARGE(I1034:BE1034,{1,2,3,4,5}))/5)</f>
        <v>0</v>
      </c>
      <c r="EK1034" s="29">
        <f t="shared" si="275"/>
        <v>0</v>
      </c>
      <c r="EL1034" s="29">
        <f t="shared" si="265"/>
        <v>0</v>
      </c>
      <c r="EM1034" s="116">
        <f t="shared" si="274"/>
        <v>0</v>
      </c>
      <c r="EQ1034"/>
    </row>
    <row r="1035" spans="1:147" x14ac:dyDescent="0.25">
      <c r="A1035" s="59"/>
      <c r="B1035" s="32"/>
      <c r="C1035" s="5"/>
      <c r="D1035" s="6"/>
      <c r="E1035" s="6"/>
      <c r="F1035" s="6"/>
      <c r="G1035" s="5"/>
      <c r="H1035" s="37"/>
      <c r="I1035" s="36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227"/>
      <c r="Z1035" s="228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4"/>
      <c r="AP1035" s="7"/>
      <c r="AQ1035" s="74"/>
      <c r="AR1035" s="70"/>
      <c r="AS1035" s="70"/>
      <c r="AT1035" s="70"/>
      <c r="AU1035" s="7"/>
      <c r="AV1035" s="70"/>
      <c r="AW1035" s="7"/>
      <c r="AX1035" s="8"/>
      <c r="AY1035" s="36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4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7"/>
      <c r="CI1035" s="7"/>
      <c r="CJ1035" s="7"/>
      <c r="CK1035" s="101"/>
      <c r="CL1035" s="74"/>
      <c r="CM1035" s="74"/>
      <c r="CN1035" s="74"/>
      <c r="CO1035" s="70"/>
      <c r="CP1035" s="101"/>
      <c r="CQ1035" s="7"/>
      <c r="CR1035" s="74"/>
      <c r="CS1035" s="74"/>
      <c r="CT1035" s="74"/>
      <c r="CU1035" s="74"/>
      <c r="CV1035" s="7"/>
      <c r="CW1035" s="7"/>
      <c r="CX1035" s="7"/>
      <c r="CY1035" s="7"/>
      <c r="CZ1035" s="7"/>
      <c r="DA1035" s="7"/>
      <c r="DB1035" s="7"/>
      <c r="DC1035" s="7"/>
      <c r="DD1035" s="7"/>
      <c r="DE1035" s="74"/>
      <c r="DF1035" s="74"/>
      <c r="DG1035" s="74"/>
      <c r="DH1035" s="7"/>
      <c r="DI1035" s="7"/>
      <c r="DJ1035" s="7"/>
      <c r="DK1035" s="7"/>
      <c r="DL1035" s="7"/>
      <c r="DM1035" s="7"/>
      <c r="DN1035" s="7"/>
      <c r="DO1035" s="7"/>
      <c r="DP1035" s="7"/>
      <c r="DQ1035" s="74"/>
      <c r="DR1035" s="74"/>
      <c r="DS1035" s="7"/>
      <c r="DT1035" s="7"/>
      <c r="DU1035" s="7"/>
      <c r="DV1035" s="7"/>
      <c r="DW1035" s="7"/>
      <c r="DX1035" s="7"/>
      <c r="DY1035" s="7"/>
      <c r="DZ1035" s="8">
        <f t="shared" si="266"/>
        <v>0</v>
      </c>
      <c r="EA1035" s="3">
        <f t="shared" si="267"/>
        <v>0</v>
      </c>
      <c r="EB1035" s="2">
        <f t="shared" si="268"/>
        <v>0</v>
      </c>
      <c r="EC1035" s="112">
        <f t="shared" si="260"/>
        <v>0</v>
      </c>
      <c r="ED1035" s="29">
        <f t="shared" si="269"/>
        <v>0</v>
      </c>
      <c r="EE1035" s="2">
        <f t="shared" si="270"/>
        <v>0</v>
      </c>
      <c r="EF1035" s="46">
        <f t="shared" si="271"/>
        <v>0</v>
      </c>
      <c r="EG1035" s="46">
        <f t="shared" si="272"/>
        <v>0</v>
      </c>
      <c r="EH1035" s="2">
        <f t="shared" si="273"/>
        <v>0</v>
      </c>
      <c r="EI1035" s="29">
        <f>IF(COUNT(I1035:AD1035)&lt;5,DZ1035,SUMPRODUCT(LARGE(I1035:AD1035,{1,2,3,4,5}))/5)</f>
        <v>0</v>
      </c>
      <c r="EJ1035" s="29">
        <f>IF(COUNT(I1035:BE1035)&lt;5,DZ1035,SUMPRODUCT(LARGE(I1035:BE1035,{1,2,3,4,5}))/5)</f>
        <v>0</v>
      </c>
      <c r="EK1035" s="29">
        <f t="shared" si="275"/>
        <v>0</v>
      </c>
      <c r="EL1035" s="29">
        <f t="shared" si="265"/>
        <v>0</v>
      </c>
      <c r="EM1035" s="116">
        <f t="shared" si="274"/>
        <v>0</v>
      </c>
      <c r="EQ1035"/>
    </row>
    <row r="1036" spans="1:147" x14ac:dyDescent="0.25">
      <c r="A1036" s="59"/>
      <c r="B1036" s="32"/>
      <c r="C1036" s="5"/>
      <c r="D1036" s="6"/>
      <c r="E1036" s="6"/>
      <c r="F1036" s="6"/>
      <c r="G1036" s="5"/>
      <c r="H1036" s="37"/>
      <c r="I1036" s="107"/>
      <c r="J1036" s="7"/>
      <c r="K1036" s="74"/>
      <c r="L1036" s="7"/>
      <c r="M1036" s="74"/>
      <c r="N1036" s="74"/>
      <c r="O1036" s="7"/>
      <c r="P1036" s="74"/>
      <c r="Q1036" s="7"/>
      <c r="R1036" s="74"/>
      <c r="S1036" s="74"/>
      <c r="T1036" s="7"/>
      <c r="U1036" s="7"/>
      <c r="V1036" s="74"/>
      <c r="W1036" s="7"/>
      <c r="X1036" s="74"/>
      <c r="Y1036" s="227"/>
      <c r="Z1036" s="228"/>
      <c r="AA1036" s="74"/>
      <c r="AB1036" s="74"/>
      <c r="AC1036" s="74"/>
      <c r="AD1036" s="74"/>
      <c r="AE1036" s="7"/>
      <c r="AF1036" s="74"/>
      <c r="AG1036" s="74"/>
      <c r="AH1036" s="7"/>
      <c r="AI1036" s="7"/>
      <c r="AJ1036" s="7"/>
      <c r="AK1036" s="7"/>
      <c r="AL1036" s="7"/>
      <c r="AM1036" s="7"/>
      <c r="AN1036" s="7"/>
      <c r="AO1036" s="74"/>
      <c r="AP1036" s="7"/>
      <c r="AQ1036" s="74"/>
      <c r="AR1036" s="101"/>
      <c r="AS1036" s="70"/>
      <c r="AT1036" s="101"/>
      <c r="AU1036" s="7"/>
      <c r="AV1036" s="101"/>
      <c r="AW1036" s="7"/>
      <c r="AX1036" s="183"/>
      <c r="AY1036" s="107"/>
      <c r="AZ1036" s="74"/>
      <c r="BA1036" s="74"/>
      <c r="BB1036" s="74"/>
      <c r="BC1036" s="74"/>
      <c r="BD1036" s="74"/>
      <c r="BE1036" s="74"/>
      <c r="BF1036" s="74"/>
      <c r="BG1036" s="74"/>
      <c r="BH1036" s="74"/>
      <c r="BI1036" s="74"/>
      <c r="BJ1036" s="74"/>
      <c r="BK1036" s="7"/>
      <c r="BL1036" s="74"/>
      <c r="BM1036" s="7"/>
      <c r="BN1036" s="74"/>
      <c r="BO1036" s="74"/>
      <c r="BP1036" s="74"/>
      <c r="BQ1036" s="74"/>
      <c r="BR1036" s="74"/>
      <c r="BS1036" s="74"/>
      <c r="BT1036" s="74"/>
      <c r="BU1036" s="74"/>
      <c r="BV1036" s="74"/>
      <c r="BW1036" s="74"/>
      <c r="BX1036" s="74"/>
      <c r="BY1036" s="74"/>
      <c r="BZ1036" s="74"/>
      <c r="CA1036" s="74"/>
      <c r="CB1036" s="74"/>
      <c r="CC1036" s="74"/>
      <c r="CD1036" s="74"/>
      <c r="CE1036" s="7"/>
      <c r="CF1036" s="74"/>
      <c r="CG1036" s="74"/>
      <c r="CH1036" s="7"/>
      <c r="CI1036" s="74"/>
      <c r="CJ1036" s="74"/>
      <c r="CK1036" s="101"/>
      <c r="CL1036" s="74"/>
      <c r="CM1036" s="74"/>
      <c r="CN1036" s="74"/>
      <c r="CO1036" s="101"/>
      <c r="CP1036" s="101"/>
      <c r="CQ1036" s="74"/>
      <c r="CR1036" s="74"/>
      <c r="CS1036" s="74"/>
      <c r="CT1036" s="74"/>
      <c r="CU1036" s="74"/>
      <c r="CV1036" s="74"/>
      <c r="CW1036" s="7"/>
      <c r="CX1036" s="7"/>
      <c r="CY1036" s="74"/>
      <c r="CZ1036" s="74"/>
      <c r="DA1036" s="7"/>
      <c r="DB1036" s="74"/>
      <c r="DC1036" s="74"/>
      <c r="DD1036" s="74"/>
      <c r="DE1036" s="74"/>
      <c r="DF1036" s="74"/>
      <c r="DG1036" s="74"/>
      <c r="DH1036" s="74"/>
      <c r="DI1036" s="74"/>
      <c r="DJ1036" s="7"/>
      <c r="DK1036" s="74"/>
      <c r="DL1036" s="7"/>
      <c r="DM1036" s="74"/>
      <c r="DN1036" s="74"/>
      <c r="DO1036" s="74"/>
      <c r="DP1036" s="74"/>
      <c r="DQ1036" s="74"/>
      <c r="DR1036" s="74"/>
      <c r="DS1036" s="74"/>
      <c r="DT1036" s="74"/>
      <c r="DU1036" s="74"/>
      <c r="DV1036" s="74"/>
      <c r="DW1036" s="74"/>
      <c r="DX1036" s="74"/>
      <c r="DY1036" s="74"/>
      <c r="DZ1036" s="8">
        <f t="shared" si="266"/>
        <v>0</v>
      </c>
      <c r="EA1036" s="3">
        <f t="shared" si="267"/>
        <v>0</v>
      </c>
      <c r="EB1036" s="2">
        <f t="shared" si="268"/>
        <v>0</v>
      </c>
      <c r="EC1036" s="112">
        <f t="shared" si="260"/>
        <v>0</v>
      </c>
      <c r="ED1036" s="29">
        <f t="shared" si="269"/>
        <v>0</v>
      </c>
      <c r="EE1036" s="2">
        <f t="shared" si="270"/>
        <v>0</v>
      </c>
      <c r="EF1036" s="46">
        <f t="shared" si="271"/>
        <v>0</v>
      </c>
      <c r="EG1036" s="46">
        <f t="shared" si="272"/>
        <v>0</v>
      </c>
      <c r="EH1036" s="29">
        <f t="shared" si="273"/>
        <v>0</v>
      </c>
      <c r="EI1036" s="29">
        <f>IF(COUNT(I1036:AD1036)&lt;5,DZ1036,SUMPRODUCT(LARGE(I1036:AD1036,{1,2,3,4,5}))/5)</f>
        <v>0</v>
      </c>
      <c r="EJ1036" s="29">
        <f>IF(COUNT(I1036:BE1036)&lt;5,DZ1036,SUMPRODUCT(LARGE(I1036:BE1036,{1,2,3,4,5}))/5)</f>
        <v>0</v>
      </c>
      <c r="EK1036" s="29">
        <f t="shared" si="275"/>
        <v>0</v>
      </c>
      <c r="EL1036" s="29">
        <f t="shared" si="265"/>
        <v>0</v>
      </c>
      <c r="EM1036" s="116">
        <f t="shared" si="274"/>
        <v>0</v>
      </c>
      <c r="EQ1036"/>
    </row>
    <row r="1037" spans="1:147" x14ac:dyDescent="0.25">
      <c r="A1037" s="59"/>
      <c r="B1037" s="4"/>
      <c r="C1037" s="5"/>
      <c r="D1037" s="5"/>
      <c r="E1037" s="6"/>
      <c r="F1037" s="6"/>
      <c r="G1037" s="5"/>
      <c r="H1037" s="37"/>
      <c r="I1037" s="36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227"/>
      <c r="Z1037" s="228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4"/>
      <c r="AP1037" s="7"/>
      <c r="AQ1037" s="74"/>
      <c r="AR1037" s="7"/>
      <c r="AS1037" s="70"/>
      <c r="AT1037" s="70"/>
      <c r="AU1037" s="7"/>
      <c r="AV1037" s="70"/>
      <c r="AW1037" s="7"/>
      <c r="AX1037" s="183"/>
      <c r="AY1037" s="10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4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7"/>
      <c r="CI1037" s="7"/>
      <c r="CJ1037" s="7"/>
      <c r="CK1037" s="101"/>
      <c r="CL1037" s="74"/>
      <c r="CM1037" s="74"/>
      <c r="CN1037" s="74"/>
      <c r="CO1037" s="70"/>
      <c r="CP1037" s="101"/>
      <c r="CQ1037" s="7"/>
      <c r="CR1037" s="74"/>
      <c r="CS1037" s="74"/>
      <c r="CT1037" s="74"/>
      <c r="CU1037" s="74"/>
      <c r="CV1037" s="74"/>
      <c r="CW1037" s="7"/>
      <c r="CX1037" s="7"/>
      <c r="CY1037" s="7"/>
      <c r="CZ1037" s="7"/>
      <c r="DA1037" s="7"/>
      <c r="DB1037" s="7"/>
      <c r="DC1037" s="7"/>
      <c r="DD1037" s="7"/>
      <c r="DE1037" s="74"/>
      <c r="DF1037" s="74"/>
      <c r="DG1037" s="74"/>
      <c r="DH1037" s="74"/>
      <c r="DI1037" s="74"/>
      <c r="DJ1037" s="7"/>
      <c r="DK1037" s="7"/>
      <c r="DL1037" s="7"/>
      <c r="DM1037" s="7"/>
      <c r="DN1037" s="7"/>
      <c r="DO1037" s="7"/>
      <c r="DP1037" s="7"/>
      <c r="DQ1037" s="7"/>
      <c r="DR1037" s="7"/>
      <c r="DS1037" s="7"/>
      <c r="DT1037" s="7"/>
      <c r="DU1037" s="7"/>
      <c r="DV1037" s="7"/>
      <c r="DW1037" s="7"/>
      <c r="DX1037" s="7"/>
      <c r="DY1037" s="7"/>
      <c r="DZ1037" s="8">
        <f t="shared" si="266"/>
        <v>0</v>
      </c>
      <c r="EA1037" s="3">
        <f t="shared" si="267"/>
        <v>0</v>
      </c>
      <c r="EB1037" s="2">
        <f t="shared" si="268"/>
        <v>0</v>
      </c>
      <c r="EC1037" s="112">
        <f t="shared" si="260"/>
        <v>0</v>
      </c>
      <c r="ED1037" s="29">
        <f t="shared" si="269"/>
        <v>0</v>
      </c>
      <c r="EE1037" s="2">
        <f t="shared" si="270"/>
        <v>0</v>
      </c>
      <c r="EF1037" s="46">
        <f t="shared" si="271"/>
        <v>0</v>
      </c>
      <c r="EG1037" s="46">
        <f t="shared" si="272"/>
        <v>0</v>
      </c>
      <c r="EH1037" s="2">
        <f t="shared" si="273"/>
        <v>0</v>
      </c>
      <c r="EI1037" s="29">
        <f>IF(COUNT(I1037:AD1037)&lt;5,DZ1037,SUMPRODUCT(LARGE(I1037:AD1037,{1,2,3,4,5}))/5)</f>
        <v>0</v>
      </c>
      <c r="EJ1037" s="29">
        <f>IF(COUNT(I1037:BE1037)&lt;5,DZ1037,SUMPRODUCT(LARGE(I1037:BE1037,{1,2,3,4,5}))/5)</f>
        <v>0</v>
      </c>
      <c r="EK1037" s="29">
        <f t="shared" si="275"/>
        <v>0</v>
      </c>
      <c r="EL1037" s="29">
        <f t="shared" si="265"/>
        <v>0</v>
      </c>
      <c r="EM1037" s="116">
        <f t="shared" si="274"/>
        <v>0</v>
      </c>
    </row>
    <row r="1038" spans="1:147" x14ac:dyDescent="0.25">
      <c r="A1038" s="59"/>
      <c r="B1038" s="32"/>
      <c r="C1038" s="5"/>
      <c r="D1038" s="6"/>
      <c r="E1038" s="6"/>
      <c r="F1038" s="6"/>
      <c r="G1038" s="5"/>
      <c r="H1038" s="37"/>
      <c r="I1038" s="107"/>
      <c r="J1038" s="7"/>
      <c r="K1038" s="74"/>
      <c r="L1038" s="7"/>
      <c r="M1038" s="74"/>
      <c r="N1038" s="74"/>
      <c r="O1038" s="7"/>
      <c r="P1038" s="74"/>
      <c r="Q1038" s="74"/>
      <c r="R1038" s="74"/>
      <c r="S1038" s="74"/>
      <c r="T1038" s="7"/>
      <c r="U1038" s="7"/>
      <c r="V1038" s="74"/>
      <c r="W1038" s="7"/>
      <c r="X1038" s="74"/>
      <c r="Y1038" s="227"/>
      <c r="Z1038" s="228"/>
      <c r="AA1038" s="74"/>
      <c r="AB1038" s="74"/>
      <c r="AC1038" s="74"/>
      <c r="AD1038" s="74"/>
      <c r="AE1038" s="7"/>
      <c r="AF1038" s="74"/>
      <c r="AG1038" s="74"/>
      <c r="AH1038" s="7"/>
      <c r="AI1038" s="7"/>
      <c r="AJ1038" s="7"/>
      <c r="AK1038" s="7"/>
      <c r="AL1038" s="7"/>
      <c r="AM1038" s="7"/>
      <c r="AN1038" s="7"/>
      <c r="AO1038" s="74"/>
      <c r="AP1038" s="7"/>
      <c r="AQ1038" s="74"/>
      <c r="AR1038" s="74"/>
      <c r="AS1038" s="70"/>
      <c r="AT1038" s="101"/>
      <c r="AU1038" s="7"/>
      <c r="AV1038" s="101"/>
      <c r="AW1038" s="7"/>
      <c r="AX1038" s="8"/>
      <c r="AY1038" s="36"/>
      <c r="AZ1038" s="74"/>
      <c r="BA1038" s="74"/>
      <c r="BB1038" s="74"/>
      <c r="BC1038" s="74"/>
      <c r="BD1038" s="74"/>
      <c r="BE1038" s="74"/>
      <c r="BF1038" s="74"/>
      <c r="BG1038" s="74"/>
      <c r="BH1038" s="74"/>
      <c r="BI1038" s="74"/>
      <c r="BJ1038" s="74"/>
      <c r="BK1038" s="7"/>
      <c r="BL1038" s="74"/>
      <c r="BM1038" s="7"/>
      <c r="BN1038" s="74"/>
      <c r="BO1038" s="74"/>
      <c r="BP1038" s="74"/>
      <c r="BQ1038" s="74"/>
      <c r="BR1038" s="74"/>
      <c r="BS1038" s="74"/>
      <c r="BT1038" s="74"/>
      <c r="BU1038" s="74"/>
      <c r="BV1038" s="74"/>
      <c r="BW1038" s="74"/>
      <c r="BX1038" s="74"/>
      <c r="BY1038" s="74"/>
      <c r="BZ1038" s="74"/>
      <c r="CA1038" s="74"/>
      <c r="CB1038" s="74"/>
      <c r="CC1038" s="74"/>
      <c r="CD1038" s="74"/>
      <c r="CE1038" s="7"/>
      <c r="CF1038" s="74"/>
      <c r="CG1038" s="74"/>
      <c r="CH1038" s="7"/>
      <c r="CI1038" s="74"/>
      <c r="CJ1038" s="74"/>
      <c r="CK1038" s="101"/>
      <c r="CL1038" s="74"/>
      <c r="CM1038" s="74"/>
      <c r="CN1038" s="74"/>
      <c r="CO1038" s="101"/>
      <c r="CP1038" s="101"/>
      <c r="CQ1038" s="74"/>
      <c r="CR1038" s="74"/>
      <c r="CS1038" s="74"/>
      <c r="CT1038" s="74"/>
      <c r="CU1038" s="74"/>
      <c r="CV1038" s="74"/>
      <c r="CW1038" s="74"/>
      <c r="CX1038" s="74"/>
      <c r="CY1038" s="74"/>
      <c r="CZ1038" s="74"/>
      <c r="DA1038" s="74"/>
      <c r="DB1038" s="74"/>
      <c r="DC1038" s="74"/>
      <c r="DD1038" s="74"/>
      <c r="DE1038" s="74"/>
      <c r="DF1038" s="74"/>
      <c r="DG1038" s="74"/>
      <c r="DH1038" s="74"/>
      <c r="DI1038" s="74"/>
      <c r="DJ1038" s="74"/>
      <c r="DK1038" s="74"/>
      <c r="DL1038" s="74"/>
      <c r="DM1038" s="74"/>
      <c r="DN1038" s="74"/>
      <c r="DO1038" s="74"/>
      <c r="DP1038" s="74"/>
      <c r="DQ1038" s="74"/>
      <c r="DR1038" s="74"/>
      <c r="DS1038" s="74"/>
      <c r="DT1038" s="74"/>
      <c r="DU1038" s="74"/>
      <c r="DV1038" s="74"/>
      <c r="DW1038" s="74"/>
      <c r="DX1038" s="74"/>
      <c r="DY1038" s="74"/>
      <c r="DZ1038" s="8">
        <f t="shared" si="266"/>
        <v>0</v>
      </c>
      <c r="EA1038" s="3">
        <f t="shared" si="267"/>
        <v>0</v>
      </c>
      <c r="EB1038" s="2">
        <f t="shared" si="268"/>
        <v>0</v>
      </c>
      <c r="EC1038" s="112">
        <f t="shared" ref="EC1038:EC1104" si="276">H1038</f>
        <v>0</v>
      </c>
      <c r="ED1038" s="29">
        <f t="shared" si="269"/>
        <v>0</v>
      </c>
      <c r="EE1038" s="2">
        <f t="shared" si="270"/>
        <v>0</v>
      </c>
      <c r="EF1038" s="46">
        <f t="shared" si="271"/>
        <v>0</v>
      </c>
      <c r="EG1038" s="46">
        <f t="shared" si="272"/>
        <v>0</v>
      </c>
      <c r="EH1038" s="29">
        <f t="shared" si="273"/>
        <v>0</v>
      </c>
      <c r="EI1038" s="29">
        <f>IF(COUNT(I1038:AD1038)&lt;5,DZ1038,SUMPRODUCT(LARGE(I1038:AD1038,{1,2,3,4,5}))/5)</f>
        <v>0</v>
      </c>
      <c r="EJ1038" s="29">
        <f>IF(COUNT(I1038:BE1038)&lt;5,DZ1038,SUMPRODUCT(LARGE(I1038:BE1038,{1,2,3,4,5}))/5)</f>
        <v>0</v>
      </c>
      <c r="EK1038" s="29">
        <f t="shared" si="275"/>
        <v>0</v>
      </c>
      <c r="EL1038" s="29">
        <f t="shared" si="265"/>
        <v>0</v>
      </c>
      <c r="EM1038" s="116">
        <f t="shared" si="274"/>
        <v>0</v>
      </c>
    </row>
    <row r="1039" spans="1:147" x14ac:dyDescent="0.25">
      <c r="A1039" s="59"/>
      <c r="B1039" s="32"/>
      <c r="C1039" s="5"/>
      <c r="D1039" s="6"/>
      <c r="E1039" s="6"/>
      <c r="F1039" s="6"/>
      <c r="G1039" s="5"/>
      <c r="H1039" s="37"/>
      <c r="I1039" s="36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227"/>
      <c r="Z1039" s="228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4"/>
      <c r="AP1039" s="7"/>
      <c r="AQ1039" s="74"/>
      <c r="AR1039" s="7"/>
      <c r="AS1039" s="70"/>
      <c r="AT1039" s="70"/>
      <c r="AU1039" s="7"/>
      <c r="AV1039" s="70"/>
      <c r="AW1039" s="7"/>
      <c r="AX1039" s="183"/>
      <c r="AY1039" s="10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4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7"/>
      <c r="CI1039" s="7"/>
      <c r="CJ1039" s="7"/>
      <c r="CK1039" s="101"/>
      <c r="CL1039" s="74"/>
      <c r="CM1039" s="74"/>
      <c r="CN1039" s="74"/>
      <c r="CO1039" s="70"/>
      <c r="CP1039" s="101"/>
      <c r="CQ1039" s="7"/>
      <c r="CR1039" s="74"/>
      <c r="CS1039" s="74"/>
      <c r="CT1039" s="74"/>
      <c r="CU1039" s="74"/>
      <c r="CV1039" s="74"/>
      <c r="CW1039" s="7"/>
      <c r="CX1039" s="7"/>
      <c r="CY1039" s="7"/>
      <c r="CZ1039" s="7"/>
      <c r="DA1039" s="7"/>
      <c r="DB1039" s="7"/>
      <c r="DC1039" s="7"/>
      <c r="DD1039" s="7"/>
      <c r="DE1039" s="74"/>
      <c r="DF1039" s="74"/>
      <c r="DG1039" s="74"/>
      <c r="DH1039" s="74"/>
      <c r="DI1039" s="74"/>
      <c r="DJ1039" s="7"/>
      <c r="DK1039" s="7"/>
      <c r="DL1039" s="7"/>
      <c r="DM1039" s="7"/>
      <c r="DN1039" s="7"/>
      <c r="DO1039" s="7"/>
      <c r="DP1039" s="7"/>
      <c r="DQ1039" s="7"/>
      <c r="DR1039" s="7"/>
      <c r="DS1039" s="7"/>
      <c r="DT1039" s="7"/>
      <c r="DU1039" s="7"/>
      <c r="DV1039" s="7"/>
      <c r="DW1039" s="7"/>
      <c r="DX1039" s="7"/>
      <c r="DY1039" s="7"/>
      <c r="DZ1039" s="8">
        <f t="shared" si="266"/>
        <v>0</v>
      </c>
      <c r="EA1039" s="3">
        <f t="shared" si="267"/>
        <v>0</v>
      </c>
      <c r="EB1039" s="2">
        <f t="shared" si="268"/>
        <v>0</v>
      </c>
      <c r="EC1039" s="112">
        <f t="shared" si="276"/>
        <v>0</v>
      </c>
      <c r="ED1039" s="29">
        <f t="shared" si="269"/>
        <v>0</v>
      </c>
      <c r="EE1039" s="2">
        <f t="shared" si="270"/>
        <v>0</v>
      </c>
      <c r="EF1039" s="46">
        <f t="shared" si="271"/>
        <v>0</v>
      </c>
      <c r="EG1039" s="46">
        <f t="shared" si="272"/>
        <v>0</v>
      </c>
      <c r="EH1039" s="2">
        <f t="shared" si="273"/>
        <v>0</v>
      </c>
      <c r="EI1039" s="29">
        <f>IF(COUNT(I1039:AD1039)&lt;5,DZ1039,SUMPRODUCT(LARGE(I1039:AD1039,{1,2,3,4,5}))/5)</f>
        <v>0</v>
      </c>
      <c r="EJ1039" s="29">
        <f>IF(COUNT(I1039:BE1039)&lt;5,DZ1039,SUMPRODUCT(LARGE(I1039:BE1039,{1,2,3,4,5}))/5)</f>
        <v>0</v>
      </c>
      <c r="EK1039" s="29">
        <f t="shared" si="275"/>
        <v>0</v>
      </c>
      <c r="EL1039" s="29">
        <f t="shared" si="265"/>
        <v>0</v>
      </c>
      <c r="EM1039" s="116">
        <f t="shared" si="274"/>
        <v>0</v>
      </c>
    </row>
    <row r="1040" spans="1:147" x14ac:dyDescent="0.25">
      <c r="A1040" s="59"/>
      <c r="B1040" s="54"/>
      <c r="C1040" s="55"/>
      <c r="D1040" s="55"/>
      <c r="E1040" s="6"/>
      <c r="F1040" s="6"/>
      <c r="G1040" s="5"/>
      <c r="H1040" s="37"/>
      <c r="I1040" s="36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227"/>
      <c r="Z1040" s="228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4"/>
      <c r="AP1040" s="7"/>
      <c r="AQ1040" s="74"/>
      <c r="AR1040" s="7"/>
      <c r="AS1040" s="70"/>
      <c r="AT1040" s="70"/>
      <c r="AU1040" s="7"/>
      <c r="AV1040" s="70"/>
      <c r="AW1040" s="7"/>
      <c r="AX1040" s="8"/>
      <c r="AY1040" s="36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4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7"/>
      <c r="CK1040" s="101"/>
      <c r="CL1040" s="74"/>
      <c r="CM1040" s="74"/>
      <c r="CN1040" s="74"/>
      <c r="CO1040" s="70"/>
      <c r="CP1040" s="101"/>
      <c r="CQ1040" s="7"/>
      <c r="CR1040" s="74"/>
      <c r="CS1040" s="74"/>
      <c r="CT1040" s="74"/>
      <c r="CU1040" s="74"/>
      <c r="CV1040" s="74"/>
      <c r="CW1040" s="7"/>
      <c r="CX1040" s="7"/>
      <c r="CY1040" s="7"/>
      <c r="CZ1040" s="7"/>
      <c r="DA1040" s="7"/>
      <c r="DB1040" s="7"/>
      <c r="DC1040" s="7"/>
      <c r="DD1040" s="7"/>
      <c r="DE1040" s="74"/>
      <c r="DF1040" s="74"/>
      <c r="DG1040" s="74"/>
      <c r="DH1040" s="74"/>
      <c r="DI1040" s="74"/>
      <c r="DJ1040" s="7"/>
      <c r="DK1040" s="7"/>
      <c r="DL1040" s="7"/>
      <c r="DM1040" s="7"/>
      <c r="DN1040" s="7"/>
      <c r="DO1040" s="7"/>
      <c r="DP1040" s="7"/>
      <c r="DQ1040" s="7"/>
      <c r="DR1040" s="7"/>
      <c r="DS1040" s="7"/>
      <c r="DT1040" s="7"/>
      <c r="DU1040" s="7"/>
      <c r="DV1040" s="7"/>
      <c r="DW1040" s="7"/>
      <c r="DX1040" s="7"/>
      <c r="DY1040" s="7"/>
      <c r="DZ1040" s="8">
        <f t="shared" si="266"/>
        <v>0</v>
      </c>
      <c r="EA1040" s="3">
        <f t="shared" si="267"/>
        <v>0</v>
      </c>
      <c r="EB1040" s="2">
        <f t="shared" si="268"/>
        <v>0</v>
      </c>
      <c r="EC1040" s="112">
        <f t="shared" si="276"/>
        <v>0</v>
      </c>
      <c r="ED1040" s="29">
        <f t="shared" si="269"/>
        <v>0</v>
      </c>
      <c r="EE1040" s="2">
        <f t="shared" si="270"/>
        <v>0</v>
      </c>
      <c r="EF1040" s="46">
        <f t="shared" si="271"/>
        <v>0</v>
      </c>
      <c r="EG1040" s="46">
        <f t="shared" si="272"/>
        <v>0</v>
      </c>
      <c r="EH1040" s="2">
        <f t="shared" si="273"/>
        <v>0</v>
      </c>
      <c r="EI1040" s="29">
        <f>IF(COUNT(I1040:AD1040)&lt;5,DZ1040,SUMPRODUCT(LARGE(I1040:AD1040,{1,2,3,4,5}))/5)</f>
        <v>0</v>
      </c>
      <c r="EJ1040" s="29">
        <f>IF(COUNT(I1040:BE1040)&lt;5,DZ1040,SUMPRODUCT(LARGE(I1040:BE1040,{1,2,3,4,5}))/5)</f>
        <v>0</v>
      </c>
      <c r="EK1040" s="29">
        <f t="shared" si="275"/>
        <v>0</v>
      </c>
      <c r="EL1040" s="29">
        <f t="shared" si="265"/>
        <v>0</v>
      </c>
      <c r="EM1040" s="116">
        <f t="shared" si="274"/>
        <v>0</v>
      </c>
    </row>
    <row r="1041" spans="1:143" x14ac:dyDescent="0.25">
      <c r="A1041" s="59"/>
      <c r="B1041" s="32"/>
      <c r="C1041" s="5"/>
      <c r="D1041" s="6"/>
      <c r="E1041" s="6"/>
      <c r="F1041" s="6"/>
      <c r="G1041" s="5"/>
      <c r="H1041" s="37"/>
      <c r="I1041" s="36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227"/>
      <c r="Z1041" s="228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4"/>
      <c r="AP1041" s="7"/>
      <c r="AQ1041" s="74"/>
      <c r="AR1041" s="7"/>
      <c r="AS1041" s="70"/>
      <c r="AT1041" s="70"/>
      <c r="AU1041" s="7"/>
      <c r="AV1041" s="70"/>
      <c r="AW1041" s="7"/>
      <c r="AX1041" s="183"/>
      <c r="AY1041" s="10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4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4"/>
      <c r="CG1041" s="7"/>
      <c r="CH1041" s="7"/>
      <c r="CI1041" s="7"/>
      <c r="CJ1041" s="7"/>
      <c r="CK1041" s="101"/>
      <c r="CL1041" s="74"/>
      <c r="CM1041" s="74"/>
      <c r="CN1041" s="74"/>
      <c r="CO1041" s="70"/>
      <c r="CP1041" s="101"/>
      <c r="CQ1041" s="7"/>
      <c r="CR1041" s="74"/>
      <c r="CS1041" s="74"/>
      <c r="CT1041" s="74"/>
      <c r="CU1041" s="74"/>
      <c r="CV1041" s="7"/>
      <c r="CW1041" s="7"/>
      <c r="CX1041" s="7"/>
      <c r="CY1041" s="7"/>
      <c r="CZ1041" s="7"/>
      <c r="DA1041" s="7"/>
      <c r="DB1041" s="7"/>
      <c r="DC1041" s="7"/>
      <c r="DD1041" s="7"/>
      <c r="DE1041" s="74"/>
      <c r="DF1041" s="74"/>
      <c r="DG1041" s="74"/>
      <c r="DH1041" s="7"/>
      <c r="DI1041" s="7"/>
      <c r="DJ1041" s="7"/>
      <c r="DK1041" s="7"/>
      <c r="DL1041" s="7"/>
      <c r="DM1041" s="7"/>
      <c r="DN1041" s="7"/>
      <c r="DO1041" s="7"/>
      <c r="DP1041" s="7"/>
      <c r="DQ1041" s="7"/>
      <c r="DR1041" s="7"/>
      <c r="DS1041" s="7"/>
      <c r="DT1041" s="7"/>
      <c r="DU1041" s="7"/>
      <c r="DV1041" s="7"/>
      <c r="DW1041" s="7"/>
      <c r="DX1041" s="7"/>
      <c r="DY1041" s="7"/>
      <c r="DZ1041" s="8">
        <f t="shared" si="266"/>
        <v>0</v>
      </c>
      <c r="EA1041" s="3">
        <f t="shared" si="267"/>
        <v>0</v>
      </c>
      <c r="EB1041" s="2">
        <f t="shared" si="268"/>
        <v>0</v>
      </c>
      <c r="EC1041" s="112">
        <f t="shared" si="276"/>
        <v>0</v>
      </c>
      <c r="ED1041" s="29">
        <f t="shared" si="269"/>
        <v>0</v>
      </c>
      <c r="EE1041" s="2">
        <f t="shared" si="270"/>
        <v>0</v>
      </c>
      <c r="EF1041" s="46">
        <f t="shared" si="271"/>
        <v>0</v>
      </c>
      <c r="EG1041" s="46">
        <f t="shared" si="272"/>
        <v>0</v>
      </c>
      <c r="EH1041" s="2">
        <f t="shared" si="273"/>
        <v>0</v>
      </c>
      <c r="EI1041" s="29">
        <f>IF(COUNT(I1041:AD1041)&lt;5,DZ1041,SUMPRODUCT(LARGE(I1041:AD1041,{1,2,3,4,5}))/5)</f>
        <v>0</v>
      </c>
      <c r="EJ1041" s="29">
        <f>IF(COUNT(I1041:BE1041)&lt;5,DZ1041,SUMPRODUCT(LARGE(I1041:BE1041,{1,2,3,4,5}))/5)</f>
        <v>0</v>
      </c>
      <c r="EK1041" s="29">
        <f t="shared" si="275"/>
        <v>0</v>
      </c>
      <c r="EL1041" s="29">
        <f>(EK1041*100)/101.59</f>
        <v>0</v>
      </c>
      <c r="EM1041" s="116">
        <f t="shared" si="274"/>
        <v>0</v>
      </c>
    </row>
    <row r="1042" spans="1:143" x14ac:dyDescent="0.25">
      <c r="A1042" s="59"/>
      <c r="B1042" s="32"/>
      <c r="C1042" s="5"/>
      <c r="D1042" s="6"/>
      <c r="E1042" s="6"/>
      <c r="F1042" s="6"/>
      <c r="G1042" s="5"/>
      <c r="H1042" s="37"/>
      <c r="I1042" s="36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227"/>
      <c r="Z1042" s="228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4"/>
      <c r="AP1042" s="7"/>
      <c r="AQ1042" s="74"/>
      <c r="AR1042" s="7"/>
      <c r="AS1042" s="70"/>
      <c r="AT1042" s="70"/>
      <c r="AU1042" s="7"/>
      <c r="AV1042" s="70"/>
      <c r="AW1042" s="7"/>
      <c r="AX1042" s="8"/>
      <c r="AY1042" s="36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4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7"/>
      <c r="CI1042" s="7"/>
      <c r="CJ1042" s="7"/>
      <c r="CK1042" s="101"/>
      <c r="CL1042" s="74"/>
      <c r="CM1042" s="74"/>
      <c r="CN1042" s="74"/>
      <c r="CO1042" s="70"/>
      <c r="CP1042" s="101"/>
      <c r="CQ1042" s="7"/>
      <c r="CR1042" s="74"/>
      <c r="CS1042" s="74"/>
      <c r="CT1042" s="74"/>
      <c r="CU1042" s="74"/>
      <c r="CV1042" s="7"/>
      <c r="CW1042" s="7"/>
      <c r="CX1042" s="7"/>
      <c r="CY1042" s="7"/>
      <c r="CZ1042" s="7"/>
      <c r="DA1042" s="7"/>
      <c r="DB1042" s="7"/>
      <c r="DC1042" s="7"/>
      <c r="DD1042" s="7"/>
      <c r="DE1042" s="74"/>
      <c r="DF1042" s="74"/>
      <c r="DG1042" s="74"/>
      <c r="DH1042" s="74"/>
      <c r="DI1042" s="74"/>
      <c r="DJ1042" s="7"/>
      <c r="DK1042" s="7"/>
      <c r="DL1042" s="7"/>
      <c r="DM1042" s="7"/>
      <c r="DN1042" s="7"/>
      <c r="DO1042" s="7"/>
      <c r="DP1042" s="7"/>
      <c r="DQ1042" s="74"/>
      <c r="DR1042" s="74"/>
      <c r="DS1042" s="7"/>
      <c r="DT1042" s="7"/>
      <c r="DU1042" s="7"/>
      <c r="DV1042" s="74"/>
      <c r="DW1042" s="7"/>
      <c r="DX1042" s="7"/>
      <c r="DY1042" s="7"/>
      <c r="DZ1042" s="8">
        <f t="shared" si="266"/>
        <v>0</v>
      </c>
      <c r="EA1042" s="3">
        <f t="shared" si="267"/>
        <v>0</v>
      </c>
      <c r="EB1042" s="2">
        <f t="shared" si="268"/>
        <v>0</v>
      </c>
      <c r="EC1042" s="112">
        <f t="shared" si="276"/>
        <v>0</v>
      </c>
      <c r="ED1042" s="29">
        <f t="shared" si="269"/>
        <v>0</v>
      </c>
      <c r="EE1042" s="2">
        <f t="shared" si="270"/>
        <v>0</v>
      </c>
      <c r="EF1042" s="46">
        <f t="shared" si="271"/>
        <v>0</v>
      </c>
      <c r="EG1042" s="46">
        <f t="shared" si="272"/>
        <v>0</v>
      </c>
      <c r="EH1042" s="2">
        <f t="shared" si="273"/>
        <v>0</v>
      </c>
      <c r="EI1042" s="29">
        <f>IF(COUNT(I1042:AD1042)&lt;5,DZ1042,SUMPRODUCT(LARGE(I1042:AD1042,{1,2,3,4,5}))/5)</f>
        <v>0</v>
      </c>
      <c r="EJ1042" s="29">
        <f>IF(COUNT(I1042:BE1042)&lt;5,DZ1042,SUMPRODUCT(LARGE(I1042:BE1042,{1,2,3,4,5}))/5)</f>
        <v>0</v>
      </c>
      <c r="EK1042" s="29">
        <f t="shared" si="275"/>
        <v>0</v>
      </c>
      <c r="EL1042" s="29">
        <f>(EK1042*100)/101.59</f>
        <v>0</v>
      </c>
      <c r="EM1042" s="116">
        <f t="shared" si="274"/>
        <v>0</v>
      </c>
    </row>
    <row r="1043" spans="1:143" x14ac:dyDescent="0.25">
      <c r="A1043" s="59"/>
      <c r="B1043" s="32"/>
      <c r="C1043" s="5"/>
      <c r="D1043" s="6"/>
      <c r="E1043" s="6"/>
      <c r="F1043" s="6"/>
      <c r="G1043" s="5"/>
      <c r="H1043" s="99"/>
      <c r="I1043" s="36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227"/>
      <c r="Z1043" s="228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4"/>
      <c r="AP1043" s="7"/>
      <c r="AQ1043" s="74"/>
      <c r="AR1043" s="7"/>
      <c r="AS1043" s="70"/>
      <c r="AT1043" s="70"/>
      <c r="AU1043" s="7"/>
      <c r="AV1043" s="70"/>
      <c r="AW1043" s="7"/>
      <c r="AX1043" s="8"/>
      <c r="AY1043" s="36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4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7"/>
      <c r="CI1043" s="7"/>
      <c r="CJ1043" s="7"/>
      <c r="CK1043" s="101"/>
      <c r="CL1043" s="74"/>
      <c r="CM1043" s="74"/>
      <c r="CN1043" s="74"/>
      <c r="CO1043" s="70"/>
      <c r="CP1043" s="101"/>
      <c r="CQ1043" s="7"/>
      <c r="CR1043" s="74"/>
      <c r="CS1043" s="74"/>
      <c r="CT1043" s="74"/>
      <c r="CU1043" s="74"/>
      <c r="CV1043" s="7"/>
      <c r="CW1043" s="7"/>
      <c r="CX1043" s="7"/>
      <c r="CY1043" s="7"/>
      <c r="CZ1043" s="7"/>
      <c r="DA1043" s="7"/>
      <c r="DB1043" s="7"/>
      <c r="DC1043" s="7"/>
      <c r="DD1043" s="7"/>
      <c r="DE1043" s="74"/>
      <c r="DF1043" s="74"/>
      <c r="DG1043" s="74"/>
      <c r="DH1043" s="7"/>
      <c r="DI1043" s="74"/>
      <c r="DJ1043" s="7"/>
      <c r="DK1043" s="7"/>
      <c r="DL1043" s="7"/>
      <c r="DM1043" s="7"/>
      <c r="DN1043" s="7"/>
      <c r="DO1043" s="7"/>
      <c r="DP1043" s="7"/>
      <c r="DQ1043" s="7"/>
      <c r="DR1043" s="7"/>
      <c r="DS1043" s="7"/>
      <c r="DT1043" s="7"/>
      <c r="DU1043" s="7"/>
      <c r="DV1043" s="7"/>
      <c r="DW1043" s="7"/>
      <c r="DX1043" s="7"/>
      <c r="DY1043" s="7"/>
      <c r="DZ1043" s="8">
        <f t="shared" si="266"/>
        <v>0</v>
      </c>
      <c r="EA1043" s="3">
        <f t="shared" si="267"/>
        <v>0</v>
      </c>
      <c r="EB1043" s="2">
        <f t="shared" si="268"/>
        <v>0</v>
      </c>
      <c r="EC1043" s="112">
        <f t="shared" si="276"/>
        <v>0</v>
      </c>
      <c r="ED1043" s="29">
        <f t="shared" si="269"/>
        <v>0</v>
      </c>
      <c r="EE1043" s="2">
        <f t="shared" si="270"/>
        <v>0</v>
      </c>
      <c r="EF1043" s="46">
        <f t="shared" si="271"/>
        <v>0</v>
      </c>
      <c r="EG1043" s="46">
        <f t="shared" si="272"/>
        <v>0</v>
      </c>
      <c r="EH1043" s="2">
        <f t="shared" si="273"/>
        <v>0</v>
      </c>
      <c r="EI1043" s="29">
        <f>IF(COUNT(I1043:AD1043)&lt;5,DZ1043,SUMPRODUCT(LARGE(I1043:AD1043,{1,2,3,4,5}))/5)</f>
        <v>0</v>
      </c>
      <c r="EJ1043" s="29">
        <f>IF(COUNT(I1043:BE1043)&lt;5,DZ1043,SUMPRODUCT(LARGE(I1043:BE1043,{1,2,3,4,5}))/5)</f>
        <v>0</v>
      </c>
      <c r="EK1043" s="29">
        <f t="shared" si="275"/>
        <v>0</v>
      </c>
      <c r="EL1043" s="29">
        <f>(EK1043*100)/101.28</f>
        <v>0</v>
      </c>
      <c r="EM1043" s="116">
        <f t="shared" si="274"/>
        <v>0</v>
      </c>
    </row>
    <row r="1044" spans="1:143" x14ac:dyDescent="0.25">
      <c r="A1044" s="59"/>
      <c r="B1044" s="32"/>
      <c r="C1044" s="5"/>
      <c r="D1044" s="6"/>
      <c r="E1044" s="6"/>
      <c r="F1044" s="6"/>
      <c r="G1044" s="5"/>
      <c r="H1044" s="37"/>
      <c r="I1044" s="36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227"/>
      <c r="Z1044" s="228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4"/>
      <c r="AP1044" s="7"/>
      <c r="AQ1044" s="74"/>
      <c r="AR1044" s="7"/>
      <c r="AS1044" s="70"/>
      <c r="AT1044" s="7"/>
      <c r="AU1044" s="7"/>
      <c r="AV1044" s="7"/>
      <c r="AW1044" s="7"/>
      <c r="AX1044" s="8"/>
      <c r="AY1044" s="36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4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7"/>
      <c r="CI1044" s="7"/>
      <c r="CJ1044" s="7"/>
      <c r="CK1044" s="101"/>
      <c r="CL1044" s="74"/>
      <c r="CM1044" s="74"/>
      <c r="CN1044" s="74"/>
      <c r="CO1044" s="70"/>
      <c r="CP1044" s="101"/>
      <c r="CQ1044" s="7"/>
      <c r="CR1044" s="74"/>
      <c r="CS1044" s="74"/>
      <c r="CT1044" s="74"/>
      <c r="CU1044" s="74"/>
      <c r="CV1044" s="7"/>
      <c r="CW1044" s="7"/>
      <c r="CX1044" s="7"/>
      <c r="CY1044" s="7"/>
      <c r="CZ1044" s="7"/>
      <c r="DA1044" s="7"/>
      <c r="DB1044" s="7"/>
      <c r="DC1044" s="7"/>
      <c r="DD1044" s="7"/>
      <c r="DE1044" s="74"/>
      <c r="DF1044" s="74"/>
      <c r="DG1044" s="74"/>
      <c r="DH1044" s="7"/>
      <c r="DI1044" s="7"/>
      <c r="DJ1044" s="7"/>
      <c r="DK1044" s="7"/>
      <c r="DL1044" s="7"/>
      <c r="DM1044" s="7"/>
      <c r="DN1044" s="7"/>
      <c r="DO1044" s="7"/>
      <c r="DP1044" s="7"/>
      <c r="DQ1044" s="74"/>
      <c r="DR1044" s="74"/>
      <c r="DS1044" s="7"/>
      <c r="DT1044" s="7"/>
      <c r="DU1044" s="7"/>
      <c r="DV1044" s="74"/>
      <c r="DW1044" s="7"/>
      <c r="DX1044" s="7"/>
      <c r="DY1044" s="7"/>
      <c r="DZ1044" s="8">
        <f t="shared" si="266"/>
        <v>0</v>
      </c>
      <c r="EA1044" s="3">
        <f t="shared" si="267"/>
        <v>0</v>
      </c>
      <c r="EB1044" s="2">
        <f t="shared" si="268"/>
        <v>0</v>
      </c>
      <c r="EC1044" s="112">
        <f t="shared" si="276"/>
        <v>0</v>
      </c>
      <c r="ED1044" s="29">
        <f t="shared" si="269"/>
        <v>0</v>
      </c>
      <c r="EE1044" s="2">
        <f t="shared" si="270"/>
        <v>0</v>
      </c>
      <c r="EF1044" s="46">
        <f t="shared" si="271"/>
        <v>0</v>
      </c>
      <c r="EG1044" s="46">
        <f t="shared" si="272"/>
        <v>0</v>
      </c>
      <c r="EH1044" s="2">
        <f t="shared" si="273"/>
        <v>0</v>
      </c>
      <c r="EI1044" s="29">
        <f>IF(COUNT(I1044:AD1044)&lt;5,DZ1044,SUMPRODUCT(LARGE(I1044:AD1044,{1,2,3,4,5}))/5)</f>
        <v>0</v>
      </c>
      <c r="EJ1044" s="29">
        <f>IF(COUNT(I1044:BE1044)&lt;5,DZ1044,SUMPRODUCT(LARGE(I1044:BE1044,{1,2,3,4,5}))/5)</f>
        <v>0</v>
      </c>
      <c r="EK1044" s="29">
        <f t="shared" si="275"/>
        <v>0</v>
      </c>
      <c r="EL1044" s="29">
        <f>(EK1044*100)/101.28</f>
        <v>0</v>
      </c>
      <c r="EM1044" s="116">
        <f t="shared" si="274"/>
        <v>0</v>
      </c>
    </row>
    <row r="1045" spans="1:143" x14ac:dyDescent="0.25">
      <c r="A1045" s="59"/>
      <c r="B1045" s="32"/>
      <c r="C1045" s="5"/>
      <c r="D1045" s="6"/>
      <c r="E1045" s="6"/>
      <c r="F1045" s="6"/>
      <c r="G1045" s="5"/>
      <c r="H1045" s="99"/>
      <c r="I1045" s="107"/>
      <c r="J1045" s="7"/>
      <c r="K1045" s="74"/>
      <c r="L1045" s="7"/>
      <c r="M1045" s="74"/>
      <c r="N1045" s="74"/>
      <c r="O1045" s="7"/>
      <c r="P1045" s="74"/>
      <c r="Q1045" s="7"/>
      <c r="R1045" s="74"/>
      <c r="S1045" s="74"/>
      <c r="T1045" s="7"/>
      <c r="U1045" s="7"/>
      <c r="V1045" s="74"/>
      <c r="W1045" s="7"/>
      <c r="X1045" s="74"/>
      <c r="Y1045" s="227"/>
      <c r="Z1045" s="228"/>
      <c r="AA1045" s="74"/>
      <c r="AB1045" s="74"/>
      <c r="AC1045" s="74"/>
      <c r="AD1045" s="74"/>
      <c r="AE1045" s="7"/>
      <c r="AF1045" s="74"/>
      <c r="AG1045" s="74"/>
      <c r="AH1045" s="7"/>
      <c r="AI1045" s="7"/>
      <c r="AJ1045" s="7"/>
      <c r="AK1045" s="7"/>
      <c r="AL1045" s="7"/>
      <c r="AM1045" s="7"/>
      <c r="AN1045" s="7"/>
      <c r="AO1045" s="74"/>
      <c r="AP1045" s="7"/>
      <c r="AQ1045" s="74"/>
      <c r="AR1045" s="74"/>
      <c r="AS1045" s="70"/>
      <c r="AT1045" s="74"/>
      <c r="AU1045" s="7"/>
      <c r="AV1045" s="74"/>
      <c r="AW1045" s="7"/>
      <c r="AX1045" s="8"/>
      <c r="AY1045" s="36"/>
      <c r="AZ1045" s="74"/>
      <c r="BA1045" s="74"/>
      <c r="BB1045" s="74"/>
      <c r="BC1045" s="74"/>
      <c r="BD1045" s="74"/>
      <c r="BE1045" s="74"/>
      <c r="BF1045" s="74"/>
      <c r="BG1045" s="74"/>
      <c r="BH1045" s="74"/>
      <c r="BI1045" s="74"/>
      <c r="BJ1045" s="74"/>
      <c r="BK1045" s="7"/>
      <c r="BL1045" s="74"/>
      <c r="BM1045" s="7"/>
      <c r="BN1045" s="74"/>
      <c r="BO1045" s="74"/>
      <c r="BP1045" s="74"/>
      <c r="BQ1045" s="74"/>
      <c r="BR1045" s="74"/>
      <c r="BS1045" s="74"/>
      <c r="BT1045" s="74"/>
      <c r="BU1045" s="74"/>
      <c r="BV1045" s="74"/>
      <c r="BW1045" s="74"/>
      <c r="BX1045" s="74"/>
      <c r="BY1045" s="74"/>
      <c r="BZ1045" s="74"/>
      <c r="CA1045" s="74"/>
      <c r="CB1045" s="74"/>
      <c r="CC1045" s="74"/>
      <c r="CD1045" s="74"/>
      <c r="CE1045" s="7"/>
      <c r="CF1045" s="74"/>
      <c r="CG1045" s="74"/>
      <c r="CH1045" s="7"/>
      <c r="CI1045" s="74"/>
      <c r="CJ1045" s="74"/>
      <c r="CK1045" s="101"/>
      <c r="CL1045" s="74"/>
      <c r="CM1045" s="74"/>
      <c r="CN1045" s="74"/>
      <c r="CO1045" s="101"/>
      <c r="CP1045" s="101"/>
      <c r="CQ1045" s="74"/>
      <c r="CR1045" s="74"/>
      <c r="CS1045" s="74"/>
      <c r="CT1045" s="74"/>
      <c r="CU1045" s="74"/>
      <c r="CV1045" s="74"/>
      <c r="CW1045" s="74"/>
      <c r="CX1045" s="74"/>
      <c r="CY1045" s="7"/>
      <c r="CZ1045" s="74"/>
      <c r="DA1045" s="74"/>
      <c r="DB1045" s="74"/>
      <c r="DC1045" s="74"/>
      <c r="DD1045" s="74"/>
      <c r="DE1045" s="74"/>
      <c r="DF1045" s="74"/>
      <c r="DG1045" s="74"/>
      <c r="DH1045" s="74"/>
      <c r="DI1045" s="74"/>
      <c r="DJ1045" s="74"/>
      <c r="DK1045" s="74"/>
      <c r="DL1045" s="74"/>
      <c r="DM1045" s="74"/>
      <c r="DN1045" s="74"/>
      <c r="DO1045" s="74"/>
      <c r="DP1045" s="74"/>
      <c r="DQ1045" s="74"/>
      <c r="DR1045" s="74"/>
      <c r="DS1045" s="74"/>
      <c r="DT1045" s="74"/>
      <c r="DU1045" s="74"/>
      <c r="DV1045" s="74"/>
      <c r="DW1045" s="74"/>
      <c r="DX1045" s="74"/>
      <c r="DY1045" s="74"/>
      <c r="DZ1045" s="8">
        <f t="shared" si="266"/>
        <v>0</v>
      </c>
      <c r="EA1045" s="3">
        <f t="shared" si="267"/>
        <v>0</v>
      </c>
      <c r="EB1045" s="2">
        <f t="shared" si="268"/>
        <v>0</v>
      </c>
      <c r="EC1045" s="112">
        <f t="shared" si="276"/>
        <v>0</v>
      </c>
      <c r="ED1045" s="29">
        <f t="shared" si="269"/>
        <v>0</v>
      </c>
      <c r="EE1045" s="2">
        <f t="shared" si="270"/>
        <v>0</v>
      </c>
      <c r="EF1045" s="46">
        <f t="shared" si="271"/>
        <v>0</v>
      </c>
      <c r="EG1045" s="46">
        <f t="shared" si="272"/>
        <v>0</v>
      </c>
      <c r="EH1045" s="29">
        <f t="shared" si="273"/>
        <v>0</v>
      </c>
      <c r="EI1045" s="29">
        <f>IF(COUNT(I1045:AD1045)&lt;5,DZ1045,SUMPRODUCT(LARGE(I1045:AD1045,{1,2,3,4,5}))/5)</f>
        <v>0</v>
      </c>
      <c r="EJ1045" s="29">
        <f>IF(COUNT(I1045:BE1045)&lt;5,DZ1045,SUMPRODUCT(LARGE(I1045:BE1045,{1,2,3,4,5}))/5)</f>
        <v>0</v>
      </c>
      <c r="EK1045" s="29">
        <f t="shared" si="275"/>
        <v>0</v>
      </c>
      <c r="EL1045" s="29">
        <f>(EK1045*100)/101.28</f>
        <v>0</v>
      </c>
      <c r="EM1045" s="116">
        <f t="shared" si="274"/>
        <v>0</v>
      </c>
    </row>
    <row r="1046" spans="1:143" x14ac:dyDescent="0.25">
      <c r="A1046" s="59"/>
      <c r="B1046" s="32"/>
      <c r="C1046" s="5"/>
      <c r="D1046" s="6"/>
      <c r="E1046" s="6"/>
      <c r="F1046" s="6"/>
      <c r="G1046" s="5"/>
      <c r="H1046" s="37"/>
      <c r="I1046" s="36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227"/>
      <c r="Z1046" s="228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4"/>
      <c r="AP1046" s="7"/>
      <c r="AQ1046" s="74"/>
      <c r="AR1046" s="7"/>
      <c r="AS1046" s="70"/>
      <c r="AT1046" s="7"/>
      <c r="AU1046" s="7"/>
      <c r="AV1046" s="7"/>
      <c r="AW1046" s="7"/>
      <c r="AX1046" s="8"/>
      <c r="AY1046" s="36"/>
      <c r="AZ1046" s="7"/>
      <c r="BA1046" s="7"/>
      <c r="BB1046" s="7"/>
      <c r="BC1046" s="74"/>
      <c r="BD1046" s="7"/>
      <c r="BE1046" s="74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7"/>
      <c r="CI1046" s="7"/>
      <c r="CJ1046" s="7"/>
      <c r="CK1046" s="101"/>
      <c r="CL1046" s="74"/>
      <c r="CM1046" s="74"/>
      <c r="CN1046" s="74"/>
      <c r="CO1046" s="70"/>
      <c r="CP1046" s="101"/>
      <c r="CQ1046" s="7"/>
      <c r="CR1046" s="74"/>
      <c r="CS1046" s="74"/>
      <c r="CT1046" s="74"/>
      <c r="CU1046" s="74"/>
      <c r="CV1046" s="74"/>
      <c r="CW1046" s="7"/>
      <c r="CX1046" s="7"/>
      <c r="CY1046" s="7"/>
      <c r="CZ1046" s="7"/>
      <c r="DA1046" s="7"/>
      <c r="DB1046" s="7"/>
      <c r="DC1046" s="7"/>
      <c r="DD1046" s="7"/>
      <c r="DE1046" s="74"/>
      <c r="DF1046" s="74"/>
      <c r="DG1046" s="74"/>
      <c r="DH1046" s="74"/>
      <c r="DI1046" s="74"/>
      <c r="DJ1046" s="7"/>
      <c r="DK1046" s="7"/>
      <c r="DL1046" s="7"/>
      <c r="DM1046" s="7"/>
      <c r="DN1046" s="7"/>
      <c r="DO1046" s="7"/>
      <c r="DP1046" s="7"/>
      <c r="DQ1046" s="7"/>
      <c r="DR1046" s="7"/>
      <c r="DS1046" s="7"/>
      <c r="DT1046" s="7"/>
      <c r="DU1046" s="7"/>
      <c r="DV1046" s="7"/>
      <c r="DW1046" s="7"/>
      <c r="DX1046" s="7"/>
      <c r="DY1046" s="7"/>
      <c r="DZ1046" s="8">
        <f t="shared" si="266"/>
        <v>0</v>
      </c>
      <c r="EA1046" s="3">
        <f t="shared" si="267"/>
        <v>0</v>
      </c>
      <c r="EB1046" s="2">
        <f t="shared" si="268"/>
        <v>0</v>
      </c>
      <c r="EC1046" s="112">
        <f t="shared" si="276"/>
        <v>0</v>
      </c>
      <c r="ED1046" s="29">
        <f t="shared" si="269"/>
        <v>0</v>
      </c>
      <c r="EE1046" s="2">
        <f t="shared" si="270"/>
        <v>0</v>
      </c>
      <c r="EF1046" s="46">
        <f t="shared" si="271"/>
        <v>0</v>
      </c>
      <c r="EG1046" s="46">
        <f t="shared" si="272"/>
        <v>0</v>
      </c>
      <c r="EH1046" s="2">
        <f t="shared" si="273"/>
        <v>0</v>
      </c>
      <c r="EI1046" s="29">
        <f>IF(COUNT(I1046:AD1046)&lt;5,DZ1046,SUMPRODUCT(LARGE(I1046:AD1046,{1,2,3,4,5}))/5)</f>
        <v>0</v>
      </c>
      <c r="EJ1046" s="29">
        <f>IF(COUNT(I1046:BE1046)&lt;5,DZ1046,SUMPRODUCT(LARGE(I1046:BE1046,{1,2,3,4,5}))/5)</f>
        <v>0</v>
      </c>
      <c r="EK1046" s="29">
        <f t="shared" si="275"/>
        <v>0</v>
      </c>
      <c r="EL1046" s="29">
        <f>(EK1046*100)/101.28</f>
        <v>0</v>
      </c>
      <c r="EM1046" s="116">
        <f t="shared" si="274"/>
        <v>0</v>
      </c>
    </row>
    <row r="1047" spans="1:143" x14ac:dyDescent="0.25">
      <c r="A1047" s="59"/>
      <c r="B1047" s="32"/>
      <c r="C1047" s="5"/>
      <c r="D1047" s="6"/>
      <c r="E1047" s="6"/>
      <c r="F1047" s="6"/>
      <c r="G1047" s="5"/>
      <c r="H1047" s="37"/>
      <c r="I1047" s="107"/>
      <c r="J1047" s="7"/>
      <c r="K1047" s="74"/>
      <c r="L1047" s="7"/>
      <c r="M1047" s="74"/>
      <c r="N1047" s="74"/>
      <c r="O1047" s="7"/>
      <c r="P1047" s="74"/>
      <c r="Q1047" s="74"/>
      <c r="R1047" s="74"/>
      <c r="S1047" s="74"/>
      <c r="T1047" s="7"/>
      <c r="U1047" s="7"/>
      <c r="V1047" s="74"/>
      <c r="W1047" s="7"/>
      <c r="X1047" s="74"/>
      <c r="Y1047" s="227"/>
      <c r="Z1047" s="228"/>
      <c r="AA1047" s="74"/>
      <c r="AB1047" s="74"/>
      <c r="AC1047" s="74"/>
      <c r="AD1047" s="74"/>
      <c r="AE1047" s="7"/>
      <c r="AF1047" s="74"/>
      <c r="AG1047" s="74"/>
      <c r="AH1047" s="7"/>
      <c r="AI1047" s="7"/>
      <c r="AJ1047" s="7"/>
      <c r="AK1047" s="7"/>
      <c r="AL1047" s="7"/>
      <c r="AM1047" s="7"/>
      <c r="AN1047" s="7"/>
      <c r="AO1047" s="74"/>
      <c r="AP1047" s="7"/>
      <c r="AQ1047" s="74"/>
      <c r="AR1047" s="74"/>
      <c r="AS1047" s="70"/>
      <c r="AT1047" s="74"/>
      <c r="AU1047" s="7"/>
      <c r="AV1047" s="74"/>
      <c r="AW1047" s="7"/>
      <c r="AX1047" s="8"/>
      <c r="AY1047" s="36"/>
      <c r="AZ1047" s="74"/>
      <c r="BA1047" s="74"/>
      <c r="BB1047" s="74"/>
      <c r="BC1047" s="74"/>
      <c r="BD1047" s="74"/>
      <c r="BE1047" s="74"/>
      <c r="BF1047" s="74"/>
      <c r="BG1047" s="74"/>
      <c r="BH1047" s="74"/>
      <c r="BI1047" s="74"/>
      <c r="BJ1047" s="74"/>
      <c r="BK1047" s="7"/>
      <c r="BL1047" s="74"/>
      <c r="BM1047" s="7"/>
      <c r="BN1047" s="74"/>
      <c r="BO1047" s="74"/>
      <c r="BP1047" s="74"/>
      <c r="BQ1047" s="74"/>
      <c r="BR1047" s="74"/>
      <c r="BS1047" s="74"/>
      <c r="BT1047" s="74"/>
      <c r="BU1047" s="74"/>
      <c r="BV1047" s="74"/>
      <c r="BW1047" s="74"/>
      <c r="BX1047" s="74"/>
      <c r="BY1047" s="74"/>
      <c r="BZ1047" s="74"/>
      <c r="CA1047" s="74"/>
      <c r="CB1047" s="74"/>
      <c r="CC1047" s="74"/>
      <c r="CD1047" s="74"/>
      <c r="CE1047" s="7"/>
      <c r="CF1047" s="74"/>
      <c r="CG1047" s="74"/>
      <c r="CH1047" s="7"/>
      <c r="CI1047" s="74"/>
      <c r="CJ1047" s="74"/>
      <c r="CK1047" s="101"/>
      <c r="CL1047" s="74"/>
      <c r="CM1047" s="74"/>
      <c r="CN1047" s="74"/>
      <c r="CO1047" s="101"/>
      <c r="CP1047" s="101"/>
      <c r="CQ1047" s="74"/>
      <c r="CR1047" s="74"/>
      <c r="CS1047" s="74"/>
      <c r="CT1047" s="74"/>
      <c r="CU1047" s="74"/>
      <c r="CV1047" s="74"/>
      <c r="CW1047" s="74"/>
      <c r="CX1047" s="74"/>
      <c r="CY1047" s="74"/>
      <c r="CZ1047" s="74"/>
      <c r="DA1047" s="74"/>
      <c r="DB1047" s="74"/>
      <c r="DC1047" s="74"/>
      <c r="DD1047" s="74"/>
      <c r="DE1047" s="74"/>
      <c r="DF1047" s="74"/>
      <c r="DG1047" s="74"/>
      <c r="DH1047" s="74"/>
      <c r="DI1047" s="74"/>
      <c r="DJ1047" s="74"/>
      <c r="DK1047" s="74"/>
      <c r="DL1047" s="74"/>
      <c r="DM1047" s="74"/>
      <c r="DN1047" s="74"/>
      <c r="DO1047" s="74"/>
      <c r="DP1047" s="74"/>
      <c r="DQ1047" s="74"/>
      <c r="DR1047" s="74"/>
      <c r="DS1047" s="74"/>
      <c r="DT1047" s="74"/>
      <c r="DU1047" s="74"/>
      <c r="DV1047" s="74"/>
      <c r="DW1047" s="74"/>
      <c r="DX1047" s="74"/>
      <c r="DY1047" s="74"/>
      <c r="DZ1047" s="8">
        <f t="shared" si="266"/>
        <v>0</v>
      </c>
      <c r="EA1047" s="3">
        <f t="shared" si="267"/>
        <v>0</v>
      </c>
      <c r="EB1047" s="2">
        <f t="shared" si="268"/>
        <v>0</v>
      </c>
      <c r="EC1047" s="112">
        <f t="shared" si="276"/>
        <v>0</v>
      </c>
      <c r="ED1047" s="29">
        <f t="shared" si="269"/>
        <v>0</v>
      </c>
      <c r="EE1047" s="2">
        <f t="shared" si="270"/>
        <v>0</v>
      </c>
      <c r="EF1047" s="46">
        <f t="shared" si="271"/>
        <v>0</v>
      </c>
      <c r="EG1047" s="46">
        <f t="shared" si="272"/>
        <v>0</v>
      </c>
      <c r="EH1047" s="29">
        <f t="shared" si="273"/>
        <v>0</v>
      </c>
      <c r="EI1047" s="29">
        <f>IF(COUNT(I1047:AD1047)&lt;5,DZ1047,SUMPRODUCT(LARGE(I1047:AD1047,{1,2,3,4,5}))/5)</f>
        <v>0</v>
      </c>
      <c r="EJ1047" s="29">
        <f>IF(COUNT(I1047:BE1047)&lt;5,DZ1047,SUMPRODUCT(LARGE(I1047:BE1047,{1,2,3,4,5}))/5)</f>
        <v>0</v>
      </c>
      <c r="EK1047" s="29">
        <f t="shared" si="275"/>
        <v>0</v>
      </c>
      <c r="EL1047" s="29">
        <f>(EK1047*100)/101.28</f>
        <v>0</v>
      </c>
      <c r="EM1047" s="116">
        <f t="shared" si="274"/>
        <v>0</v>
      </c>
    </row>
    <row r="1048" spans="1:143" x14ac:dyDescent="0.25">
      <c r="A1048" s="59"/>
      <c r="B1048" s="32"/>
      <c r="C1048" s="5"/>
      <c r="D1048" s="6"/>
      <c r="E1048" s="6"/>
      <c r="F1048" s="6"/>
      <c r="G1048" s="5"/>
      <c r="H1048" s="37"/>
      <c r="I1048" s="36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227"/>
      <c r="Z1048" s="228"/>
      <c r="AA1048" s="7"/>
      <c r="AB1048" s="7"/>
      <c r="AC1048" s="7"/>
      <c r="AD1048" s="74"/>
      <c r="AE1048" s="74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4"/>
      <c r="AP1048" s="7"/>
      <c r="AQ1048" s="74"/>
      <c r="AR1048" s="7"/>
      <c r="AS1048" s="70"/>
      <c r="AT1048" s="7"/>
      <c r="AU1048" s="7"/>
      <c r="AV1048" s="7"/>
      <c r="AW1048" s="7"/>
      <c r="AX1048" s="183"/>
      <c r="AY1048" s="10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4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4"/>
      <c r="CG1048" s="7"/>
      <c r="CH1048" s="7"/>
      <c r="CI1048" s="7"/>
      <c r="CJ1048" s="7"/>
      <c r="CK1048" s="101"/>
      <c r="CL1048" s="74"/>
      <c r="CM1048" s="74"/>
      <c r="CN1048" s="74"/>
      <c r="CO1048" s="70"/>
      <c r="CP1048" s="101"/>
      <c r="CQ1048" s="7"/>
      <c r="CR1048" s="74"/>
      <c r="CS1048" s="74"/>
      <c r="CT1048" s="74"/>
      <c r="CU1048" s="74"/>
      <c r="CV1048" s="7"/>
      <c r="CW1048" s="7"/>
      <c r="CX1048" s="7"/>
      <c r="CY1048" s="7"/>
      <c r="CZ1048" s="7"/>
      <c r="DA1048" s="7"/>
      <c r="DB1048" s="7"/>
      <c r="DC1048" s="7"/>
      <c r="DD1048" s="7"/>
      <c r="DE1048" s="74"/>
      <c r="DF1048" s="74"/>
      <c r="DG1048" s="74"/>
      <c r="DH1048" s="7"/>
      <c r="DI1048" s="7"/>
      <c r="DJ1048" s="7"/>
      <c r="DK1048" s="7"/>
      <c r="DL1048" s="7"/>
      <c r="DM1048" s="7"/>
      <c r="DN1048" s="7"/>
      <c r="DO1048" s="7"/>
      <c r="DP1048" s="7"/>
      <c r="DQ1048" s="7"/>
      <c r="DR1048" s="7"/>
      <c r="DS1048" s="7"/>
      <c r="DT1048" s="7"/>
      <c r="DU1048" s="7"/>
      <c r="DV1048" s="7"/>
      <c r="DW1048" s="7"/>
      <c r="DX1048" s="7"/>
      <c r="DY1048" s="7"/>
      <c r="DZ1048" s="8">
        <f t="shared" si="266"/>
        <v>0</v>
      </c>
      <c r="EA1048" s="3">
        <f t="shared" si="267"/>
        <v>0</v>
      </c>
      <c r="EB1048" s="2">
        <f t="shared" si="268"/>
        <v>0</v>
      </c>
      <c r="EC1048" s="112">
        <f t="shared" si="276"/>
        <v>0</v>
      </c>
      <c r="ED1048" s="29">
        <f t="shared" si="269"/>
        <v>0</v>
      </c>
      <c r="EE1048" s="2">
        <f t="shared" si="270"/>
        <v>0</v>
      </c>
      <c r="EF1048" s="46">
        <f t="shared" si="271"/>
        <v>0</v>
      </c>
      <c r="EG1048" s="46">
        <f t="shared" si="272"/>
        <v>0</v>
      </c>
      <c r="EH1048" s="2">
        <f t="shared" si="273"/>
        <v>0</v>
      </c>
      <c r="EI1048" s="29">
        <f>IF(COUNT(I1048:AD1048)&lt;5,DZ1048,SUMPRODUCT(LARGE(I1048:AD1048,{1,2,3,4,5}))/5)</f>
        <v>0</v>
      </c>
      <c r="EJ1048" s="29">
        <f>IF(COUNT(I1048:BE1048)&lt;5,DZ1048,SUMPRODUCT(LARGE(I1048:BE1048,{1,2,3,4,5}))/5)</f>
        <v>0</v>
      </c>
      <c r="EK1048" s="29">
        <f t="shared" si="275"/>
        <v>0</v>
      </c>
      <c r="EL1048" s="29">
        <f>(EK1048*100)/101.59</f>
        <v>0</v>
      </c>
      <c r="EM1048" s="116">
        <f t="shared" si="274"/>
        <v>0</v>
      </c>
    </row>
    <row r="1049" spans="1:143" x14ac:dyDescent="0.25">
      <c r="A1049" s="59"/>
      <c r="B1049" s="32"/>
      <c r="C1049" s="5"/>
      <c r="D1049" s="6"/>
      <c r="E1049" s="6"/>
      <c r="F1049" s="6"/>
      <c r="G1049" s="5"/>
      <c r="H1049" s="37"/>
      <c r="I1049" s="107"/>
      <c r="J1049" s="7"/>
      <c r="K1049" s="74"/>
      <c r="L1049" s="7"/>
      <c r="M1049" s="74"/>
      <c r="N1049" s="74"/>
      <c r="O1049" s="7"/>
      <c r="P1049" s="74"/>
      <c r="Q1049" s="7"/>
      <c r="R1049" s="74"/>
      <c r="S1049" s="74"/>
      <c r="T1049" s="7"/>
      <c r="U1049" s="7"/>
      <c r="V1049" s="74"/>
      <c r="W1049" s="7"/>
      <c r="X1049" s="74"/>
      <c r="Y1049" s="227"/>
      <c r="Z1049" s="228"/>
      <c r="AA1049" s="74"/>
      <c r="AB1049" s="74"/>
      <c r="AC1049" s="74"/>
      <c r="AD1049" s="74"/>
      <c r="AE1049" s="7"/>
      <c r="AF1049" s="74"/>
      <c r="AG1049" s="74"/>
      <c r="AH1049" s="7"/>
      <c r="AI1049" s="7"/>
      <c r="AJ1049" s="7"/>
      <c r="AK1049" s="7"/>
      <c r="AL1049" s="7"/>
      <c r="AM1049" s="7"/>
      <c r="AN1049" s="7"/>
      <c r="AO1049" s="74"/>
      <c r="AP1049" s="7"/>
      <c r="AQ1049" s="74"/>
      <c r="AR1049" s="74"/>
      <c r="AS1049" s="70"/>
      <c r="AT1049" s="74"/>
      <c r="AU1049" s="7"/>
      <c r="AV1049" s="74"/>
      <c r="AW1049" s="7"/>
      <c r="AX1049" s="8"/>
      <c r="AY1049" s="36"/>
      <c r="AZ1049" s="74"/>
      <c r="BA1049" s="74"/>
      <c r="BB1049" s="74"/>
      <c r="BC1049" s="74"/>
      <c r="BD1049" s="74"/>
      <c r="BE1049" s="74"/>
      <c r="BF1049" s="74"/>
      <c r="BG1049" s="74"/>
      <c r="BH1049" s="74"/>
      <c r="BI1049" s="74"/>
      <c r="BJ1049" s="74"/>
      <c r="BK1049" s="7"/>
      <c r="BL1049" s="74"/>
      <c r="BM1049" s="7"/>
      <c r="BN1049" s="74"/>
      <c r="BO1049" s="74"/>
      <c r="BP1049" s="74"/>
      <c r="BQ1049" s="74"/>
      <c r="BR1049" s="74"/>
      <c r="BS1049" s="74"/>
      <c r="BT1049" s="74"/>
      <c r="BU1049" s="74"/>
      <c r="BV1049" s="74"/>
      <c r="BW1049" s="74"/>
      <c r="BX1049" s="74"/>
      <c r="BY1049" s="74"/>
      <c r="BZ1049" s="74"/>
      <c r="CA1049" s="74"/>
      <c r="CB1049" s="74"/>
      <c r="CC1049" s="74"/>
      <c r="CD1049" s="74"/>
      <c r="CE1049" s="7"/>
      <c r="CF1049" s="74"/>
      <c r="CG1049" s="74"/>
      <c r="CH1049" s="7"/>
      <c r="CI1049" s="74"/>
      <c r="CJ1049" s="74"/>
      <c r="CK1049" s="101"/>
      <c r="CL1049" s="74"/>
      <c r="CM1049" s="74"/>
      <c r="CN1049" s="74"/>
      <c r="CO1049" s="101"/>
      <c r="CP1049" s="101"/>
      <c r="CQ1049" s="74"/>
      <c r="CR1049" s="74"/>
      <c r="CS1049" s="74"/>
      <c r="CT1049" s="74"/>
      <c r="CU1049" s="74"/>
      <c r="CV1049" s="74"/>
      <c r="CW1049" s="74"/>
      <c r="CX1049" s="74"/>
      <c r="CY1049" s="74"/>
      <c r="CZ1049" s="74"/>
      <c r="DA1049" s="74"/>
      <c r="DB1049" s="74"/>
      <c r="DC1049" s="74"/>
      <c r="DD1049" s="74"/>
      <c r="DE1049" s="74"/>
      <c r="DF1049" s="74"/>
      <c r="DG1049" s="74"/>
      <c r="DH1049" s="74"/>
      <c r="DI1049" s="74"/>
      <c r="DJ1049" s="74"/>
      <c r="DK1049" s="74"/>
      <c r="DL1049" s="74"/>
      <c r="DM1049" s="74"/>
      <c r="DN1049" s="74"/>
      <c r="DO1049" s="74"/>
      <c r="DP1049" s="74"/>
      <c r="DQ1049" s="74"/>
      <c r="DR1049" s="74"/>
      <c r="DS1049" s="74"/>
      <c r="DT1049" s="74"/>
      <c r="DU1049" s="74"/>
      <c r="DV1049" s="74"/>
      <c r="DW1049" s="74"/>
      <c r="DX1049" s="74"/>
      <c r="DY1049" s="74"/>
      <c r="DZ1049" s="8">
        <f t="shared" si="266"/>
        <v>0</v>
      </c>
      <c r="EA1049" s="3">
        <f t="shared" si="267"/>
        <v>0</v>
      </c>
      <c r="EB1049" s="2">
        <f t="shared" si="268"/>
        <v>0</v>
      </c>
      <c r="EC1049" s="112">
        <f t="shared" si="276"/>
        <v>0</v>
      </c>
      <c r="ED1049" s="29">
        <f t="shared" si="269"/>
        <v>0</v>
      </c>
      <c r="EE1049" s="2">
        <f t="shared" si="270"/>
        <v>0</v>
      </c>
      <c r="EF1049" s="46">
        <f t="shared" si="271"/>
        <v>0</v>
      </c>
      <c r="EG1049" s="46">
        <f t="shared" si="272"/>
        <v>0</v>
      </c>
      <c r="EH1049" s="29">
        <f t="shared" si="273"/>
        <v>0</v>
      </c>
      <c r="EI1049" s="29">
        <f>IF(COUNT(I1049:AD1049)&lt;5,DZ1049,SUMPRODUCT(LARGE(I1049:AD1049,{1,2,3,4,5}))/5)</f>
        <v>0</v>
      </c>
      <c r="EJ1049" s="29">
        <f>IF(COUNT(I1049:BE1049)&lt;5,DZ1049,SUMPRODUCT(LARGE(I1049:BE1049,{1,2,3,4,5}))/5)</f>
        <v>0</v>
      </c>
      <c r="EK1049" s="29">
        <f t="shared" si="275"/>
        <v>0</v>
      </c>
      <c r="EL1049" s="29">
        <f>(EK1049*100)/101.28</f>
        <v>0</v>
      </c>
      <c r="EM1049" s="116">
        <f t="shared" si="274"/>
        <v>0</v>
      </c>
    </row>
    <row r="1050" spans="1:143" x14ac:dyDescent="0.25">
      <c r="A1050" s="59"/>
      <c r="B1050" s="32"/>
      <c r="C1050" s="5"/>
      <c r="D1050" s="6"/>
      <c r="E1050" s="6"/>
      <c r="F1050" s="6"/>
      <c r="G1050" s="5"/>
      <c r="H1050" s="37"/>
      <c r="I1050" s="36"/>
      <c r="J1050" s="7"/>
      <c r="K1050" s="7"/>
      <c r="L1050" s="7"/>
      <c r="M1050" s="74"/>
      <c r="N1050" s="74"/>
      <c r="O1050" s="7"/>
      <c r="P1050" s="74"/>
      <c r="Q1050" s="7"/>
      <c r="R1050" s="74"/>
      <c r="S1050" s="74"/>
      <c r="T1050" s="7"/>
      <c r="U1050" s="7"/>
      <c r="V1050" s="74"/>
      <c r="W1050" s="7"/>
      <c r="X1050" s="74"/>
      <c r="Y1050" s="227"/>
      <c r="Z1050" s="228"/>
      <c r="AA1050" s="74"/>
      <c r="AB1050" s="74"/>
      <c r="AC1050" s="74"/>
      <c r="AD1050" s="74"/>
      <c r="AE1050" s="7"/>
      <c r="AF1050" s="74"/>
      <c r="AG1050" s="74"/>
      <c r="AH1050" s="7"/>
      <c r="AI1050" s="7"/>
      <c r="AJ1050" s="7"/>
      <c r="AK1050" s="7"/>
      <c r="AL1050" s="7"/>
      <c r="AM1050" s="7"/>
      <c r="AN1050" s="7"/>
      <c r="AO1050" s="74"/>
      <c r="AP1050" s="7"/>
      <c r="AQ1050" s="74"/>
      <c r="AR1050" s="74"/>
      <c r="AS1050" s="70"/>
      <c r="AT1050" s="101"/>
      <c r="AU1050" s="7"/>
      <c r="AV1050" s="101"/>
      <c r="AW1050" s="7"/>
      <c r="AX1050" s="183"/>
      <c r="AY1050" s="107"/>
      <c r="AZ1050" s="74"/>
      <c r="BA1050" s="74"/>
      <c r="BB1050" s="74"/>
      <c r="BC1050" s="74"/>
      <c r="BD1050" s="74"/>
      <c r="BE1050" s="74"/>
      <c r="BF1050" s="74"/>
      <c r="BG1050" s="74"/>
      <c r="BH1050" s="74"/>
      <c r="BI1050" s="74"/>
      <c r="BJ1050" s="74"/>
      <c r="BK1050" s="7"/>
      <c r="BL1050" s="74"/>
      <c r="BM1050" s="7"/>
      <c r="BN1050" s="74"/>
      <c r="BO1050" s="74"/>
      <c r="BP1050" s="74"/>
      <c r="BQ1050" s="74"/>
      <c r="BR1050" s="74"/>
      <c r="BS1050" s="74"/>
      <c r="BT1050" s="74"/>
      <c r="BU1050" s="74"/>
      <c r="BV1050" s="74"/>
      <c r="BW1050" s="74"/>
      <c r="BX1050" s="74"/>
      <c r="BY1050" s="74"/>
      <c r="BZ1050" s="74"/>
      <c r="CA1050" s="74"/>
      <c r="CB1050" s="74"/>
      <c r="CC1050" s="74"/>
      <c r="CD1050" s="74"/>
      <c r="CE1050" s="7"/>
      <c r="CF1050" s="74"/>
      <c r="CG1050" s="74"/>
      <c r="CH1050" s="7"/>
      <c r="CI1050" s="74"/>
      <c r="CJ1050" s="74"/>
      <c r="CK1050" s="101"/>
      <c r="CL1050" s="74"/>
      <c r="CM1050" s="74"/>
      <c r="CN1050" s="74"/>
      <c r="CO1050" s="101"/>
      <c r="CP1050" s="101"/>
      <c r="CQ1050" s="74"/>
      <c r="CR1050" s="74"/>
      <c r="CS1050" s="74"/>
      <c r="CT1050" s="74"/>
      <c r="CU1050" s="74"/>
      <c r="CV1050" s="74"/>
      <c r="CW1050" s="74"/>
      <c r="CX1050" s="74"/>
      <c r="CY1050" s="74"/>
      <c r="CZ1050" s="74"/>
      <c r="DA1050" s="74"/>
      <c r="DB1050" s="74"/>
      <c r="DC1050" s="74"/>
      <c r="DD1050" s="74"/>
      <c r="DE1050" s="74"/>
      <c r="DF1050" s="74"/>
      <c r="DG1050" s="74"/>
      <c r="DH1050" s="74"/>
      <c r="DI1050" s="74"/>
      <c r="DJ1050" s="74"/>
      <c r="DK1050" s="74"/>
      <c r="DL1050" s="74"/>
      <c r="DM1050" s="74"/>
      <c r="DN1050" s="74"/>
      <c r="DO1050" s="74"/>
      <c r="DP1050" s="74"/>
      <c r="DQ1050" s="74"/>
      <c r="DR1050" s="74"/>
      <c r="DS1050" s="74"/>
      <c r="DT1050" s="74"/>
      <c r="DU1050" s="74"/>
      <c r="DV1050" s="74"/>
      <c r="DW1050" s="74"/>
      <c r="DX1050" s="74"/>
      <c r="DY1050" s="74"/>
      <c r="DZ1050" s="8">
        <f t="shared" si="266"/>
        <v>0</v>
      </c>
      <c r="EA1050" s="3">
        <f t="shared" si="267"/>
        <v>0</v>
      </c>
      <c r="EB1050" s="2">
        <f t="shared" si="268"/>
        <v>0</v>
      </c>
      <c r="EC1050" s="112">
        <f t="shared" si="276"/>
        <v>0</v>
      </c>
      <c r="ED1050" s="29">
        <f t="shared" si="269"/>
        <v>0</v>
      </c>
      <c r="EE1050" s="2">
        <f t="shared" si="270"/>
        <v>0</v>
      </c>
      <c r="EF1050" s="46">
        <f t="shared" si="271"/>
        <v>0</v>
      </c>
      <c r="EG1050" s="46">
        <f t="shared" si="272"/>
        <v>0</v>
      </c>
      <c r="EH1050" s="2">
        <f t="shared" si="273"/>
        <v>0</v>
      </c>
      <c r="EI1050" s="29">
        <f>IF(COUNT(I1050:AD1050)&lt;5,DZ1050,SUMPRODUCT(LARGE(I1050:AD1050,{1,2,3,4,5}))/5)</f>
        <v>0</v>
      </c>
      <c r="EJ1050" s="29">
        <f>IF(COUNT(I1050:BE1050)&lt;5,DZ1050,SUMPRODUCT(LARGE(I1050:BE1050,{1,2,3,4,5}))/5)</f>
        <v>0</v>
      </c>
      <c r="EK1050" s="29">
        <f t="shared" si="275"/>
        <v>0</v>
      </c>
      <c r="EL1050" s="29">
        <f>(EK1050*100)/101.28</f>
        <v>0</v>
      </c>
      <c r="EM1050" s="116">
        <f t="shared" si="274"/>
        <v>0</v>
      </c>
    </row>
    <row r="1051" spans="1:143" x14ac:dyDescent="0.25">
      <c r="A1051" s="59"/>
      <c r="B1051" s="32"/>
      <c r="C1051" s="5"/>
      <c r="D1051" s="6"/>
      <c r="E1051" s="6"/>
      <c r="F1051" s="6"/>
      <c r="G1051" s="5"/>
      <c r="H1051" s="37"/>
      <c r="I1051" s="36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227"/>
      <c r="Z1051" s="228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4"/>
      <c r="AP1051" s="7"/>
      <c r="AQ1051" s="74"/>
      <c r="AR1051" s="7"/>
      <c r="AS1051" s="70"/>
      <c r="AT1051" s="70"/>
      <c r="AU1051" s="7"/>
      <c r="AV1051" s="70"/>
      <c r="AW1051" s="7"/>
      <c r="AX1051" s="8"/>
      <c r="AY1051" s="36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4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7"/>
      <c r="CI1051" s="7"/>
      <c r="CJ1051" s="7"/>
      <c r="CK1051" s="101"/>
      <c r="CL1051" s="74"/>
      <c r="CM1051" s="74"/>
      <c r="CN1051" s="74"/>
      <c r="CO1051" s="70"/>
      <c r="CP1051" s="101"/>
      <c r="CQ1051" s="7"/>
      <c r="CR1051" s="74"/>
      <c r="CS1051" s="74"/>
      <c r="CT1051" s="74"/>
      <c r="CU1051" s="74"/>
      <c r="CV1051" s="7"/>
      <c r="CW1051" s="7"/>
      <c r="CX1051" s="7"/>
      <c r="CY1051" s="7"/>
      <c r="CZ1051" s="7"/>
      <c r="DA1051" s="7"/>
      <c r="DB1051" s="7"/>
      <c r="DC1051" s="7"/>
      <c r="DD1051" s="7"/>
      <c r="DE1051" s="74"/>
      <c r="DF1051" s="74"/>
      <c r="DG1051" s="74"/>
      <c r="DH1051" s="7"/>
      <c r="DI1051" s="74"/>
      <c r="DJ1051" s="7"/>
      <c r="DK1051" s="7"/>
      <c r="DL1051" s="7"/>
      <c r="DM1051" s="7"/>
      <c r="DN1051" s="7"/>
      <c r="DO1051" s="7"/>
      <c r="DP1051" s="7"/>
      <c r="DQ1051" s="7"/>
      <c r="DR1051" s="7"/>
      <c r="DS1051" s="7"/>
      <c r="DT1051" s="7"/>
      <c r="DU1051" s="7"/>
      <c r="DV1051" s="7"/>
      <c r="DW1051" s="7"/>
      <c r="DX1051" s="7"/>
      <c r="DY1051" s="7"/>
      <c r="DZ1051" s="8">
        <f t="shared" si="266"/>
        <v>0</v>
      </c>
      <c r="EA1051" s="3">
        <f t="shared" si="267"/>
        <v>0</v>
      </c>
      <c r="EB1051" s="2">
        <f t="shared" si="268"/>
        <v>0</v>
      </c>
      <c r="EC1051" s="112">
        <f t="shared" si="276"/>
        <v>0</v>
      </c>
      <c r="ED1051" s="29">
        <f t="shared" si="269"/>
        <v>0</v>
      </c>
      <c r="EE1051" s="2">
        <f t="shared" si="270"/>
        <v>0</v>
      </c>
      <c r="EF1051" s="46">
        <f t="shared" si="271"/>
        <v>0</v>
      </c>
      <c r="EG1051" s="46">
        <f t="shared" si="272"/>
        <v>0</v>
      </c>
      <c r="EH1051" s="2">
        <f t="shared" si="273"/>
        <v>0</v>
      </c>
      <c r="EI1051" s="29">
        <f>IF(COUNT(I1051:AD1051)&lt;5,DZ1051,SUMPRODUCT(LARGE(I1051:AD1051,{1,2,3,4,5}))/5)</f>
        <v>0</v>
      </c>
      <c r="EJ1051" s="29">
        <f>IF(COUNT(I1051:BE1051)&lt;5,DZ1051,SUMPRODUCT(LARGE(I1051:BE1051,{1,2,3,4,5}))/5)</f>
        <v>0</v>
      </c>
      <c r="EK1051" s="29">
        <f t="shared" si="275"/>
        <v>0</v>
      </c>
      <c r="EL1051" s="29">
        <f>(EK1051*100)/101.28</f>
        <v>0</v>
      </c>
      <c r="EM1051" s="116">
        <f t="shared" si="274"/>
        <v>0</v>
      </c>
    </row>
    <row r="1052" spans="1:143" x14ac:dyDescent="0.25">
      <c r="A1052" s="59"/>
      <c r="B1052" s="4"/>
      <c r="C1052" s="5"/>
      <c r="D1052" s="6"/>
      <c r="E1052" s="6"/>
      <c r="F1052" s="6"/>
      <c r="G1052" s="5"/>
      <c r="H1052" s="37"/>
      <c r="I1052" s="107"/>
      <c r="J1052" s="7"/>
      <c r="K1052" s="74"/>
      <c r="L1052" s="7"/>
      <c r="M1052" s="74"/>
      <c r="N1052" s="74"/>
      <c r="O1052" s="7"/>
      <c r="P1052" s="74"/>
      <c r="Q1052" s="7"/>
      <c r="R1052" s="74"/>
      <c r="S1052" s="74"/>
      <c r="T1052" s="7"/>
      <c r="U1052" s="7"/>
      <c r="V1052" s="74"/>
      <c r="W1052" s="7"/>
      <c r="X1052" s="74"/>
      <c r="Y1052" s="227"/>
      <c r="Z1052" s="228"/>
      <c r="AA1052" s="74"/>
      <c r="AB1052" s="74"/>
      <c r="AC1052" s="74"/>
      <c r="AD1052" s="74"/>
      <c r="AE1052" s="7"/>
      <c r="AF1052" s="74"/>
      <c r="AG1052" s="74"/>
      <c r="AH1052" s="7"/>
      <c r="AI1052" s="7"/>
      <c r="AJ1052" s="7"/>
      <c r="AK1052" s="7"/>
      <c r="AL1052" s="7"/>
      <c r="AM1052" s="7"/>
      <c r="AN1052" s="7"/>
      <c r="AO1052" s="74"/>
      <c r="AP1052" s="7"/>
      <c r="AQ1052" s="74"/>
      <c r="AR1052" s="101"/>
      <c r="AS1052" s="70"/>
      <c r="AT1052" s="101"/>
      <c r="AU1052" s="7"/>
      <c r="AV1052" s="101"/>
      <c r="AW1052" s="7"/>
      <c r="AX1052" s="183"/>
      <c r="AY1052" s="107"/>
      <c r="AZ1052" s="74"/>
      <c r="BA1052" s="74"/>
      <c r="BB1052" s="74"/>
      <c r="BC1052" s="74"/>
      <c r="BD1052" s="74"/>
      <c r="BE1052" s="74"/>
      <c r="BF1052" s="74"/>
      <c r="BG1052" s="74"/>
      <c r="BH1052" s="74"/>
      <c r="BI1052" s="74"/>
      <c r="BJ1052" s="74"/>
      <c r="BK1052" s="7"/>
      <c r="BL1052" s="74"/>
      <c r="BM1052" s="7"/>
      <c r="BN1052" s="74"/>
      <c r="BO1052" s="74"/>
      <c r="BP1052" s="74"/>
      <c r="BQ1052" s="74"/>
      <c r="BR1052" s="74"/>
      <c r="BS1052" s="74"/>
      <c r="BT1052" s="74"/>
      <c r="BU1052" s="74"/>
      <c r="BV1052" s="74"/>
      <c r="BW1052" s="74"/>
      <c r="BX1052" s="74"/>
      <c r="BY1052" s="74"/>
      <c r="BZ1052" s="74"/>
      <c r="CA1052" s="74"/>
      <c r="CB1052" s="74"/>
      <c r="CC1052" s="74"/>
      <c r="CD1052" s="74"/>
      <c r="CE1052" s="7"/>
      <c r="CF1052" s="74"/>
      <c r="CG1052" s="74"/>
      <c r="CH1052" s="7"/>
      <c r="CI1052" s="74"/>
      <c r="CJ1052" s="74"/>
      <c r="CK1052" s="101"/>
      <c r="CL1052" s="74"/>
      <c r="CM1052" s="74"/>
      <c r="CN1052" s="74"/>
      <c r="CO1052" s="101"/>
      <c r="CP1052" s="101"/>
      <c r="CQ1052" s="74"/>
      <c r="CR1052" s="74"/>
      <c r="CS1052" s="74"/>
      <c r="CT1052" s="74"/>
      <c r="CU1052" s="74"/>
      <c r="CV1052" s="74"/>
      <c r="CW1052" s="74"/>
      <c r="CX1052" s="74"/>
      <c r="CY1052" s="74"/>
      <c r="CZ1052" s="74"/>
      <c r="DA1052" s="74"/>
      <c r="DB1052" s="74"/>
      <c r="DC1052" s="74"/>
      <c r="DD1052" s="74"/>
      <c r="DE1052" s="74"/>
      <c r="DF1052" s="74"/>
      <c r="DG1052" s="74"/>
      <c r="DH1052" s="74"/>
      <c r="DI1052" s="74"/>
      <c r="DJ1052" s="74"/>
      <c r="DK1052" s="74"/>
      <c r="DL1052" s="74"/>
      <c r="DM1052" s="74"/>
      <c r="DN1052" s="74"/>
      <c r="DO1052" s="74"/>
      <c r="DP1052" s="74"/>
      <c r="DQ1052" s="74"/>
      <c r="DR1052" s="74"/>
      <c r="DS1052" s="74"/>
      <c r="DT1052" s="74"/>
      <c r="DU1052" s="74"/>
      <c r="DV1052" s="74"/>
      <c r="DW1052" s="74"/>
      <c r="DX1052" s="74"/>
      <c r="DY1052" s="74"/>
      <c r="DZ1052" s="8">
        <f t="shared" si="266"/>
        <v>0</v>
      </c>
      <c r="EA1052" s="3">
        <f t="shared" si="267"/>
        <v>0</v>
      </c>
      <c r="EB1052" s="2">
        <f t="shared" si="268"/>
        <v>0</v>
      </c>
      <c r="EC1052" s="112">
        <f t="shared" si="276"/>
        <v>0</v>
      </c>
      <c r="ED1052" s="29">
        <f t="shared" si="269"/>
        <v>0</v>
      </c>
      <c r="EE1052" s="2">
        <f t="shared" si="270"/>
        <v>0</v>
      </c>
      <c r="EF1052" s="46">
        <f t="shared" si="271"/>
        <v>0</v>
      </c>
      <c r="EG1052" s="46">
        <f t="shared" si="272"/>
        <v>0</v>
      </c>
      <c r="EH1052" s="2">
        <f t="shared" si="273"/>
        <v>0</v>
      </c>
      <c r="EI1052" s="29">
        <f>IF(COUNT(I1052:AD1052)&lt;5,DZ1052,SUMPRODUCT(LARGE(I1052:AD1052,{1,2,3,4,5}))/5)</f>
        <v>0</v>
      </c>
      <c r="EJ1052" s="29">
        <f>IF(COUNT(I1052:BE1052)&lt;5,DZ1052,SUMPRODUCT(LARGE(I1052:BE1052,{1,2,3,4,5}))/5)</f>
        <v>0</v>
      </c>
      <c r="EK1052" s="29">
        <f t="shared" si="275"/>
        <v>0</v>
      </c>
      <c r="EL1052" s="29">
        <f>(EK1052*100)/101.28</f>
        <v>0</v>
      </c>
      <c r="EM1052" s="116">
        <f t="shared" si="274"/>
        <v>0</v>
      </c>
    </row>
    <row r="1053" spans="1:143" x14ac:dyDescent="0.25">
      <c r="A1053" s="59"/>
      <c r="B1053" s="32"/>
      <c r="C1053" s="5"/>
      <c r="D1053" s="6"/>
      <c r="E1053" s="6"/>
      <c r="F1053" s="6"/>
      <c r="G1053" s="5"/>
      <c r="H1053" s="37"/>
      <c r="I1053" s="36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227"/>
      <c r="Z1053" s="228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4"/>
      <c r="AP1053" s="7"/>
      <c r="AQ1053" s="74"/>
      <c r="AR1053" s="70"/>
      <c r="AS1053" s="70"/>
      <c r="AT1053" s="70"/>
      <c r="AU1053" s="7"/>
      <c r="AV1053" s="70"/>
      <c r="AW1053" s="7"/>
      <c r="AX1053" s="183"/>
      <c r="AY1053" s="10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4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7"/>
      <c r="CK1053" s="101"/>
      <c r="CL1053" s="74"/>
      <c r="CM1053" s="74"/>
      <c r="CN1053" s="74"/>
      <c r="CO1053" s="70"/>
      <c r="CP1053" s="101"/>
      <c r="CQ1053" s="7"/>
      <c r="CR1053" s="74"/>
      <c r="CS1053" s="74"/>
      <c r="CT1053" s="74"/>
      <c r="CU1053" s="74"/>
      <c r="CV1053" s="7"/>
      <c r="CW1053" s="7"/>
      <c r="CX1053" s="7"/>
      <c r="CY1053" s="7"/>
      <c r="CZ1053" s="7"/>
      <c r="DA1053" s="7"/>
      <c r="DB1053" s="7"/>
      <c r="DC1053" s="7"/>
      <c r="DD1053" s="7"/>
      <c r="DE1053" s="74"/>
      <c r="DF1053" s="74"/>
      <c r="DG1053" s="74"/>
      <c r="DH1053" s="7"/>
      <c r="DI1053" s="7"/>
      <c r="DJ1053" s="7"/>
      <c r="DK1053" s="7"/>
      <c r="DL1053" s="7"/>
      <c r="DM1053" s="7"/>
      <c r="DN1053" s="7"/>
      <c r="DO1053" s="7"/>
      <c r="DP1053" s="7"/>
      <c r="DQ1053" s="7"/>
      <c r="DR1053" s="7"/>
      <c r="DS1053" s="7"/>
      <c r="DT1053" s="7"/>
      <c r="DU1053" s="7"/>
      <c r="DV1053" s="7"/>
      <c r="DW1053" s="7"/>
      <c r="DX1053" s="7"/>
      <c r="DY1053" s="7"/>
      <c r="DZ1053" s="8">
        <f t="shared" si="266"/>
        <v>0</v>
      </c>
      <c r="EA1053" s="3">
        <f t="shared" si="267"/>
        <v>0</v>
      </c>
      <c r="EB1053" s="2">
        <f t="shared" si="268"/>
        <v>0</v>
      </c>
      <c r="EC1053" s="112">
        <f t="shared" si="276"/>
        <v>0</v>
      </c>
      <c r="ED1053" s="29">
        <f t="shared" si="269"/>
        <v>0</v>
      </c>
      <c r="EE1053" s="2">
        <f t="shared" si="270"/>
        <v>0</v>
      </c>
      <c r="EF1053" s="46">
        <f t="shared" si="271"/>
        <v>0</v>
      </c>
      <c r="EG1053" s="46">
        <f t="shared" si="272"/>
        <v>0</v>
      </c>
      <c r="EH1053" s="2">
        <f t="shared" si="273"/>
        <v>0</v>
      </c>
      <c r="EI1053" s="29">
        <f>IF(COUNT(I1053:AD1053)&lt;5,DZ1053,SUMPRODUCT(LARGE(I1053:AD1053,{1,2,3,4,5}))/5)</f>
        <v>0</v>
      </c>
      <c r="EJ1053" s="29">
        <f>IF(COUNT(I1053:BE1053)&lt;5,DZ1053,SUMPRODUCT(LARGE(I1053:BE1053,{1,2,3,4,5}))/5)</f>
        <v>0</v>
      </c>
      <c r="EK1053" s="29">
        <f t="shared" si="275"/>
        <v>0</v>
      </c>
      <c r="EL1053" s="29">
        <f>(EK1053*100)/101.59</f>
        <v>0</v>
      </c>
      <c r="EM1053" s="116">
        <f t="shared" si="274"/>
        <v>0</v>
      </c>
    </row>
    <row r="1054" spans="1:143" x14ac:dyDescent="0.25">
      <c r="A1054" s="59"/>
      <c r="B1054" s="32"/>
      <c r="C1054" s="5"/>
      <c r="D1054" s="6"/>
      <c r="E1054" s="6"/>
      <c r="F1054" s="6"/>
      <c r="G1054" s="5"/>
      <c r="H1054" s="37"/>
      <c r="I1054" s="36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227"/>
      <c r="Z1054" s="228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4"/>
      <c r="AP1054" s="7"/>
      <c r="AQ1054" s="74"/>
      <c r="AR1054" s="70"/>
      <c r="AS1054" s="70"/>
      <c r="AT1054" s="70"/>
      <c r="AU1054" s="7"/>
      <c r="AV1054" s="70"/>
      <c r="AW1054" s="7"/>
      <c r="AX1054" s="8"/>
      <c r="AY1054" s="36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4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101"/>
      <c r="CL1054" s="74"/>
      <c r="CM1054" s="74"/>
      <c r="CN1054" s="74"/>
      <c r="CO1054" s="70"/>
      <c r="CP1054" s="101"/>
      <c r="CQ1054" s="7"/>
      <c r="CR1054" s="74"/>
      <c r="CS1054" s="74"/>
      <c r="CT1054" s="74"/>
      <c r="CU1054" s="74"/>
      <c r="CV1054" s="74"/>
      <c r="CW1054" s="7"/>
      <c r="CX1054" s="7"/>
      <c r="CY1054" s="7"/>
      <c r="CZ1054" s="7"/>
      <c r="DA1054" s="7"/>
      <c r="DB1054" s="7"/>
      <c r="DC1054" s="7"/>
      <c r="DD1054" s="7"/>
      <c r="DE1054" s="74"/>
      <c r="DF1054" s="74"/>
      <c r="DG1054" s="74"/>
      <c r="DH1054" s="74"/>
      <c r="DI1054" s="74"/>
      <c r="DJ1054" s="7"/>
      <c r="DK1054" s="7"/>
      <c r="DL1054" s="7"/>
      <c r="DM1054" s="7"/>
      <c r="DN1054" s="7"/>
      <c r="DO1054" s="7"/>
      <c r="DP1054" s="7"/>
      <c r="DQ1054" s="7"/>
      <c r="DR1054" s="7"/>
      <c r="DS1054" s="7"/>
      <c r="DT1054" s="7"/>
      <c r="DU1054" s="7"/>
      <c r="DV1054" s="7"/>
      <c r="DW1054" s="7"/>
      <c r="DX1054" s="7"/>
      <c r="DY1054" s="7"/>
      <c r="DZ1054" s="8">
        <f t="shared" si="266"/>
        <v>0</v>
      </c>
      <c r="EA1054" s="3">
        <f t="shared" si="267"/>
        <v>0</v>
      </c>
      <c r="EB1054" s="2">
        <f t="shared" si="268"/>
        <v>0</v>
      </c>
      <c r="EC1054" s="112">
        <f t="shared" si="276"/>
        <v>0</v>
      </c>
      <c r="ED1054" s="29">
        <f t="shared" si="269"/>
        <v>0</v>
      </c>
      <c r="EE1054" s="2">
        <f t="shared" si="270"/>
        <v>0</v>
      </c>
      <c r="EF1054" s="46">
        <f t="shared" si="271"/>
        <v>0</v>
      </c>
      <c r="EG1054" s="46">
        <f t="shared" si="272"/>
        <v>0</v>
      </c>
      <c r="EH1054" s="2">
        <f t="shared" si="273"/>
        <v>0</v>
      </c>
      <c r="EI1054" s="29">
        <f>IF(COUNT(I1054:AD1054)&lt;5,DZ1054,SUMPRODUCT(LARGE(I1054:AD1054,{1,2,3,4,5}))/5)</f>
        <v>0</v>
      </c>
      <c r="EJ1054" s="29">
        <f>IF(COUNT(I1054:BE1054)&lt;5,DZ1054,SUMPRODUCT(LARGE(I1054:BE1054,{1,2,3,4,5}))/5)</f>
        <v>0</v>
      </c>
      <c r="EK1054" s="29">
        <f t="shared" si="275"/>
        <v>0</v>
      </c>
      <c r="EL1054" s="29">
        <f t="shared" ref="EL1054:EL1062" si="277">(EK1054*100)/101.28</f>
        <v>0</v>
      </c>
      <c r="EM1054" s="116">
        <f t="shared" si="274"/>
        <v>0</v>
      </c>
    </row>
    <row r="1055" spans="1:143" x14ac:dyDescent="0.25">
      <c r="A1055" s="59"/>
      <c r="B1055" s="32"/>
      <c r="C1055" s="5"/>
      <c r="D1055" s="6"/>
      <c r="E1055" s="6"/>
      <c r="F1055" s="6"/>
      <c r="G1055" s="5"/>
      <c r="H1055" s="37"/>
      <c r="I1055" s="36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227"/>
      <c r="Z1055" s="228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4"/>
      <c r="AP1055" s="7"/>
      <c r="AQ1055" s="74"/>
      <c r="AR1055" s="70"/>
      <c r="AS1055" s="70"/>
      <c r="AT1055" s="70"/>
      <c r="AU1055" s="7"/>
      <c r="AV1055" s="70"/>
      <c r="AW1055" s="7"/>
      <c r="AX1055" s="183"/>
      <c r="AY1055" s="10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4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101"/>
      <c r="CL1055" s="74"/>
      <c r="CM1055" s="74"/>
      <c r="CN1055" s="74"/>
      <c r="CO1055" s="70"/>
      <c r="CP1055" s="101"/>
      <c r="CQ1055" s="7"/>
      <c r="CR1055" s="74"/>
      <c r="CS1055" s="74"/>
      <c r="CT1055" s="74"/>
      <c r="CU1055" s="74"/>
      <c r="CV1055" s="74"/>
      <c r="CW1055" s="7"/>
      <c r="CX1055" s="7"/>
      <c r="CY1055" s="74"/>
      <c r="CZ1055" s="7"/>
      <c r="DA1055" s="7"/>
      <c r="DB1055" s="7"/>
      <c r="DC1055" s="7"/>
      <c r="DD1055" s="7"/>
      <c r="DE1055" s="74"/>
      <c r="DF1055" s="74"/>
      <c r="DG1055" s="74"/>
      <c r="DH1055" s="74"/>
      <c r="DI1055" s="74"/>
      <c r="DJ1055" s="7"/>
      <c r="DK1055" s="7"/>
      <c r="DL1055" s="7"/>
      <c r="DM1055" s="7"/>
      <c r="DN1055" s="7"/>
      <c r="DO1055" s="7"/>
      <c r="DP1055" s="7"/>
      <c r="DQ1055" s="7"/>
      <c r="DR1055" s="7"/>
      <c r="DS1055" s="7"/>
      <c r="DT1055" s="7"/>
      <c r="DU1055" s="7"/>
      <c r="DV1055" s="7"/>
      <c r="DW1055" s="7"/>
      <c r="DX1055" s="7"/>
      <c r="DY1055" s="7"/>
      <c r="DZ1055" s="8">
        <f t="shared" si="266"/>
        <v>0</v>
      </c>
      <c r="EA1055" s="3">
        <f t="shared" si="267"/>
        <v>0</v>
      </c>
      <c r="EB1055" s="2">
        <f t="shared" si="268"/>
        <v>0</v>
      </c>
      <c r="EC1055" s="112">
        <f t="shared" si="276"/>
        <v>0</v>
      </c>
      <c r="ED1055" s="29">
        <f t="shared" si="269"/>
        <v>0</v>
      </c>
      <c r="EE1055" s="2">
        <f t="shared" si="270"/>
        <v>0</v>
      </c>
      <c r="EF1055" s="46">
        <f t="shared" si="271"/>
        <v>0</v>
      </c>
      <c r="EG1055" s="46">
        <f t="shared" si="272"/>
        <v>0</v>
      </c>
      <c r="EH1055" s="2">
        <f t="shared" si="273"/>
        <v>0</v>
      </c>
      <c r="EI1055" s="29">
        <f>IF(COUNT(I1055:AD1055)&lt;5,DZ1055,SUMPRODUCT(LARGE(I1055:AD1055,{1,2,3,4,5}))/5)</f>
        <v>0</v>
      </c>
      <c r="EJ1055" s="29">
        <f>IF(COUNT(I1055:BE1055)&lt;5,DZ1055,SUMPRODUCT(LARGE(I1055:BE1055,{1,2,3,4,5}))/5)</f>
        <v>0</v>
      </c>
      <c r="EK1055" s="29">
        <f t="shared" si="275"/>
        <v>0</v>
      </c>
      <c r="EL1055" s="29">
        <f t="shared" si="277"/>
        <v>0</v>
      </c>
      <c r="EM1055" s="116">
        <f t="shared" si="274"/>
        <v>0</v>
      </c>
    </row>
    <row r="1056" spans="1:143" x14ac:dyDescent="0.25">
      <c r="A1056" s="59"/>
      <c r="B1056" s="32"/>
      <c r="C1056" s="5"/>
      <c r="D1056" s="6"/>
      <c r="E1056" s="6"/>
      <c r="F1056" s="6"/>
      <c r="G1056" s="5"/>
      <c r="H1056" s="37"/>
      <c r="I1056" s="36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227"/>
      <c r="Z1056" s="228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4"/>
      <c r="AP1056" s="7"/>
      <c r="AQ1056" s="74"/>
      <c r="AR1056" s="70"/>
      <c r="AS1056" s="70"/>
      <c r="AT1056" s="70"/>
      <c r="AU1056" s="7"/>
      <c r="AV1056" s="70"/>
      <c r="AW1056" s="7"/>
      <c r="AX1056" s="8"/>
      <c r="AY1056" s="36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4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7"/>
      <c r="CI1056" s="7"/>
      <c r="CJ1056" s="7"/>
      <c r="CK1056" s="101"/>
      <c r="CL1056" s="74"/>
      <c r="CM1056" s="74"/>
      <c r="CN1056" s="74"/>
      <c r="CO1056" s="70"/>
      <c r="CP1056" s="101"/>
      <c r="CQ1056" s="7"/>
      <c r="CR1056" s="74"/>
      <c r="CS1056" s="74"/>
      <c r="CT1056" s="74"/>
      <c r="CU1056" s="74"/>
      <c r="CV1056" s="74"/>
      <c r="CW1056" s="7"/>
      <c r="CX1056" s="7"/>
      <c r="CY1056" s="7"/>
      <c r="CZ1056" s="7"/>
      <c r="DA1056" s="7"/>
      <c r="DB1056" s="7"/>
      <c r="DC1056" s="7"/>
      <c r="DD1056" s="7"/>
      <c r="DE1056" s="74"/>
      <c r="DF1056" s="74"/>
      <c r="DG1056" s="74"/>
      <c r="DH1056" s="74"/>
      <c r="DI1056" s="74"/>
      <c r="DJ1056" s="7"/>
      <c r="DK1056" s="7"/>
      <c r="DL1056" s="7"/>
      <c r="DM1056" s="7"/>
      <c r="DN1056" s="7"/>
      <c r="DO1056" s="7"/>
      <c r="DP1056" s="7"/>
      <c r="DQ1056" s="7"/>
      <c r="DR1056" s="7"/>
      <c r="DS1056" s="7"/>
      <c r="DT1056" s="7"/>
      <c r="DU1056" s="7"/>
      <c r="DV1056" s="7"/>
      <c r="DW1056" s="7"/>
      <c r="DX1056" s="7"/>
      <c r="DY1056" s="7"/>
      <c r="DZ1056" s="8">
        <f t="shared" si="266"/>
        <v>0</v>
      </c>
      <c r="EA1056" s="3">
        <f t="shared" si="267"/>
        <v>0</v>
      </c>
      <c r="EB1056" s="2">
        <f t="shared" si="268"/>
        <v>0</v>
      </c>
      <c r="EC1056" s="112">
        <f t="shared" si="276"/>
        <v>0</v>
      </c>
      <c r="ED1056" s="29">
        <f t="shared" si="269"/>
        <v>0</v>
      </c>
      <c r="EE1056" s="2">
        <f t="shared" si="270"/>
        <v>0</v>
      </c>
      <c r="EF1056" s="46">
        <f t="shared" si="271"/>
        <v>0</v>
      </c>
      <c r="EG1056" s="46">
        <f t="shared" si="272"/>
        <v>0</v>
      </c>
      <c r="EH1056" s="2">
        <f t="shared" si="273"/>
        <v>0</v>
      </c>
      <c r="EI1056" s="29">
        <f>IF(COUNT(I1056:AD1056)&lt;5,DZ1056,SUMPRODUCT(LARGE(I1056:AD1056,{1,2,3,4,5}))/5)</f>
        <v>0</v>
      </c>
      <c r="EJ1056" s="29">
        <f>IF(COUNT(I1056:BE1056)&lt;5,DZ1056,SUMPRODUCT(LARGE(I1056:BE1056,{1,2,3,4,5}))/5)</f>
        <v>0</v>
      </c>
      <c r="EK1056" s="29">
        <f t="shared" si="275"/>
        <v>0</v>
      </c>
      <c r="EL1056" s="29">
        <f t="shared" si="277"/>
        <v>0</v>
      </c>
      <c r="EM1056" s="116">
        <f t="shared" si="274"/>
        <v>0</v>
      </c>
    </row>
    <row r="1057" spans="1:143" x14ac:dyDescent="0.25">
      <c r="A1057" s="59"/>
      <c r="B1057" s="32"/>
      <c r="C1057" s="5"/>
      <c r="D1057" s="6"/>
      <c r="E1057" s="6"/>
      <c r="F1057" s="6"/>
      <c r="G1057" s="5"/>
      <c r="H1057" s="37"/>
      <c r="I1057" s="36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227"/>
      <c r="Z1057" s="228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4"/>
      <c r="AP1057" s="7"/>
      <c r="AQ1057" s="74"/>
      <c r="AR1057" s="70"/>
      <c r="AS1057" s="70"/>
      <c r="AT1057" s="70"/>
      <c r="AU1057" s="7"/>
      <c r="AV1057" s="70"/>
      <c r="AW1057" s="7"/>
      <c r="AX1057" s="8"/>
      <c r="AY1057" s="36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4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7"/>
      <c r="CK1057" s="101"/>
      <c r="CL1057" s="74"/>
      <c r="CM1057" s="74"/>
      <c r="CN1057" s="74"/>
      <c r="CO1057" s="70"/>
      <c r="CP1057" s="101"/>
      <c r="CQ1057" s="7"/>
      <c r="CR1057" s="74"/>
      <c r="CS1057" s="74"/>
      <c r="CT1057" s="74"/>
      <c r="CU1057" s="74"/>
      <c r="CV1057" s="7"/>
      <c r="CW1057" s="7"/>
      <c r="CX1057" s="7"/>
      <c r="CY1057" s="7"/>
      <c r="CZ1057" s="7"/>
      <c r="DA1057" s="7"/>
      <c r="DB1057" s="7"/>
      <c r="DC1057" s="7"/>
      <c r="DD1057" s="7"/>
      <c r="DE1057" s="74"/>
      <c r="DF1057" s="74"/>
      <c r="DG1057" s="74"/>
      <c r="DH1057" s="7"/>
      <c r="DI1057" s="74"/>
      <c r="DJ1057" s="7"/>
      <c r="DK1057" s="7"/>
      <c r="DL1057" s="7"/>
      <c r="DM1057" s="7"/>
      <c r="DN1057" s="7"/>
      <c r="DO1057" s="7"/>
      <c r="DP1057" s="7"/>
      <c r="DQ1057" s="7"/>
      <c r="DR1057" s="7"/>
      <c r="DS1057" s="7"/>
      <c r="DT1057" s="7"/>
      <c r="DU1057" s="7"/>
      <c r="DV1057" s="7"/>
      <c r="DW1057" s="7"/>
      <c r="DX1057" s="7"/>
      <c r="DY1057" s="7"/>
      <c r="DZ1057" s="8">
        <f t="shared" si="266"/>
        <v>0</v>
      </c>
      <c r="EA1057" s="3">
        <f t="shared" si="267"/>
        <v>0</v>
      </c>
      <c r="EB1057" s="2">
        <f t="shared" si="268"/>
        <v>0</v>
      </c>
      <c r="EC1057" s="112">
        <f t="shared" si="276"/>
        <v>0</v>
      </c>
      <c r="ED1057" s="29">
        <f t="shared" si="269"/>
        <v>0</v>
      </c>
      <c r="EE1057" s="2">
        <f t="shared" si="270"/>
        <v>0</v>
      </c>
      <c r="EF1057" s="46">
        <f t="shared" si="271"/>
        <v>0</v>
      </c>
      <c r="EG1057" s="46">
        <f t="shared" si="272"/>
        <v>0</v>
      </c>
      <c r="EH1057" s="2">
        <f t="shared" si="273"/>
        <v>0</v>
      </c>
      <c r="EI1057" s="29">
        <f>IF(COUNT(I1057:AD1057)&lt;5,DZ1057,SUMPRODUCT(LARGE(I1057:AD1057,{1,2,3,4,5}))/5)</f>
        <v>0</v>
      </c>
      <c r="EJ1057" s="29">
        <f>IF(COUNT(I1057:BE1057)&lt;5,DZ1057,SUMPRODUCT(LARGE(I1057:BE1057,{1,2,3,4,5}))/5)</f>
        <v>0</v>
      </c>
      <c r="EK1057" s="29">
        <f t="shared" si="275"/>
        <v>0</v>
      </c>
      <c r="EL1057" s="29">
        <f t="shared" si="277"/>
        <v>0</v>
      </c>
      <c r="EM1057" s="116">
        <f t="shared" si="274"/>
        <v>0</v>
      </c>
    </row>
    <row r="1058" spans="1:143" x14ac:dyDescent="0.25">
      <c r="A1058" s="59"/>
      <c r="B1058" s="32"/>
      <c r="C1058" s="5"/>
      <c r="D1058" s="6"/>
      <c r="E1058" s="6"/>
      <c r="F1058" s="6"/>
      <c r="G1058" s="5"/>
      <c r="H1058" s="37"/>
      <c r="I1058" s="36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227"/>
      <c r="Z1058" s="228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4"/>
      <c r="AP1058" s="7"/>
      <c r="AQ1058" s="74"/>
      <c r="AR1058" s="70"/>
      <c r="AS1058" s="70"/>
      <c r="AT1058" s="70"/>
      <c r="AU1058" s="7"/>
      <c r="AV1058" s="70"/>
      <c r="AW1058" s="7"/>
      <c r="AX1058" s="8"/>
      <c r="AY1058" s="36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4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  <c r="BZ1058" s="7"/>
      <c r="CA1058" s="7"/>
      <c r="CB1058" s="7"/>
      <c r="CC1058" s="7"/>
      <c r="CD1058" s="7"/>
      <c r="CE1058" s="7"/>
      <c r="CF1058" s="7"/>
      <c r="CG1058" s="7"/>
      <c r="CH1058" s="7"/>
      <c r="CI1058" s="7"/>
      <c r="CJ1058" s="7"/>
      <c r="CK1058" s="101"/>
      <c r="CL1058" s="74"/>
      <c r="CM1058" s="74"/>
      <c r="CN1058" s="74"/>
      <c r="CO1058" s="70"/>
      <c r="CP1058" s="101"/>
      <c r="CQ1058" s="7"/>
      <c r="CR1058" s="74"/>
      <c r="CS1058" s="74"/>
      <c r="CT1058" s="74"/>
      <c r="CU1058" s="74"/>
      <c r="CV1058" s="74"/>
      <c r="CW1058" s="7"/>
      <c r="CX1058" s="7"/>
      <c r="CY1058" s="7"/>
      <c r="CZ1058" s="7"/>
      <c r="DA1058" s="7"/>
      <c r="DB1058" s="7"/>
      <c r="DC1058" s="7"/>
      <c r="DD1058" s="7"/>
      <c r="DE1058" s="74"/>
      <c r="DF1058" s="74"/>
      <c r="DG1058" s="74"/>
      <c r="DH1058" s="74"/>
      <c r="DI1058" s="74"/>
      <c r="DJ1058" s="7"/>
      <c r="DK1058" s="7"/>
      <c r="DL1058" s="7"/>
      <c r="DM1058" s="7"/>
      <c r="DN1058" s="7"/>
      <c r="DO1058" s="7"/>
      <c r="DP1058" s="7"/>
      <c r="DQ1058" s="7"/>
      <c r="DR1058" s="7"/>
      <c r="DS1058" s="7"/>
      <c r="DT1058" s="7"/>
      <c r="DU1058" s="7"/>
      <c r="DV1058" s="7"/>
      <c r="DW1058" s="7"/>
      <c r="DX1058" s="7"/>
      <c r="DY1058" s="7"/>
      <c r="DZ1058" s="8">
        <f t="shared" si="266"/>
        <v>0</v>
      </c>
      <c r="EA1058" s="3">
        <f t="shared" si="267"/>
        <v>0</v>
      </c>
      <c r="EB1058" s="2">
        <f t="shared" si="268"/>
        <v>0</v>
      </c>
      <c r="EC1058" s="112">
        <f t="shared" si="276"/>
        <v>0</v>
      </c>
      <c r="ED1058" s="29">
        <f t="shared" si="269"/>
        <v>0</v>
      </c>
      <c r="EE1058" s="2">
        <f t="shared" si="270"/>
        <v>0</v>
      </c>
      <c r="EF1058" s="46">
        <f t="shared" si="271"/>
        <v>0</v>
      </c>
      <c r="EG1058" s="46">
        <f t="shared" si="272"/>
        <v>0</v>
      </c>
      <c r="EH1058" s="2">
        <f t="shared" si="273"/>
        <v>0</v>
      </c>
      <c r="EI1058" s="29">
        <f>IF(COUNT(I1058:AD1058)&lt;5,DZ1058,SUMPRODUCT(LARGE(I1058:AD1058,{1,2,3,4,5}))/5)</f>
        <v>0</v>
      </c>
      <c r="EJ1058" s="29">
        <f>IF(COUNT(I1058:BE1058)&lt;5,DZ1058,SUMPRODUCT(LARGE(I1058:BE1058,{1,2,3,4,5}))/5)</f>
        <v>0</v>
      </c>
      <c r="EK1058" s="29">
        <f t="shared" si="275"/>
        <v>0</v>
      </c>
      <c r="EL1058" s="29">
        <f t="shared" si="277"/>
        <v>0</v>
      </c>
      <c r="EM1058" s="116">
        <f t="shared" si="274"/>
        <v>0</v>
      </c>
    </row>
    <row r="1059" spans="1:143" x14ac:dyDescent="0.25">
      <c r="A1059" s="59"/>
      <c r="B1059" s="32"/>
      <c r="C1059" s="5"/>
      <c r="D1059" s="6"/>
      <c r="E1059" s="6"/>
      <c r="F1059" s="6"/>
      <c r="G1059" s="5"/>
      <c r="H1059" s="37"/>
      <c r="I1059" s="36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227"/>
      <c r="Z1059" s="228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4"/>
      <c r="AP1059" s="7"/>
      <c r="AQ1059" s="74"/>
      <c r="AR1059" s="70"/>
      <c r="AS1059" s="70"/>
      <c r="AT1059" s="70"/>
      <c r="AU1059" s="7"/>
      <c r="AV1059" s="70"/>
      <c r="AW1059" s="7"/>
      <c r="AX1059" s="8"/>
      <c r="AY1059" s="36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4"/>
      <c r="BO1059" s="7"/>
      <c r="BP1059" s="7"/>
      <c r="BQ1059" s="7"/>
      <c r="BR1059" s="74"/>
      <c r="BS1059" s="7"/>
      <c r="BT1059" s="74"/>
      <c r="BU1059" s="7"/>
      <c r="BV1059" s="7"/>
      <c r="BW1059" s="74"/>
      <c r="BX1059" s="7"/>
      <c r="BY1059" s="7"/>
      <c r="BZ1059" s="7"/>
      <c r="CA1059" s="7"/>
      <c r="CB1059" s="7"/>
      <c r="CC1059" s="7"/>
      <c r="CD1059" s="7"/>
      <c r="CE1059" s="7"/>
      <c r="CF1059" s="7"/>
      <c r="CG1059" s="7"/>
      <c r="CH1059" s="7"/>
      <c r="CI1059" s="7"/>
      <c r="CJ1059" s="7"/>
      <c r="CK1059" s="101"/>
      <c r="CL1059" s="74"/>
      <c r="CM1059" s="74"/>
      <c r="CN1059" s="74"/>
      <c r="CO1059" s="101"/>
      <c r="CP1059" s="101"/>
      <c r="CQ1059" s="7"/>
      <c r="CR1059" s="74"/>
      <c r="CS1059" s="74"/>
      <c r="CT1059" s="74"/>
      <c r="CU1059" s="74"/>
      <c r="CV1059" s="7"/>
      <c r="CW1059" s="7"/>
      <c r="CX1059" s="7"/>
      <c r="CY1059" s="7"/>
      <c r="CZ1059" s="7"/>
      <c r="DA1059" s="7"/>
      <c r="DB1059" s="7"/>
      <c r="DC1059" s="7"/>
      <c r="DD1059" s="7"/>
      <c r="DE1059" s="74"/>
      <c r="DF1059" s="74"/>
      <c r="DG1059" s="74"/>
      <c r="DH1059" s="7"/>
      <c r="DI1059" s="74"/>
      <c r="DJ1059" s="7"/>
      <c r="DK1059" s="7"/>
      <c r="DL1059" s="7"/>
      <c r="DM1059" s="7"/>
      <c r="DN1059" s="7"/>
      <c r="DO1059" s="7"/>
      <c r="DP1059" s="7"/>
      <c r="DQ1059" s="7"/>
      <c r="DR1059" s="7"/>
      <c r="DS1059" s="7"/>
      <c r="DT1059" s="7"/>
      <c r="DU1059" s="7"/>
      <c r="DV1059" s="7"/>
      <c r="DW1059" s="7"/>
      <c r="DX1059" s="7"/>
      <c r="DY1059" s="7"/>
      <c r="DZ1059" s="8">
        <f t="shared" si="266"/>
        <v>0</v>
      </c>
      <c r="EA1059" s="3">
        <f t="shared" si="267"/>
        <v>0</v>
      </c>
      <c r="EB1059" s="2">
        <f t="shared" si="268"/>
        <v>0</v>
      </c>
      <c r="EC1059" s="112">
        <f t="shared" si="276"/>
        <v>0</v>
      </c>
      <c r="ED1059" s="29">
        <f t="shared" si="269"/>
        <v>0</v>
      </c>
      <c r="EE1059" s="2">
        <f t="shared" si="270"/>
        <v>0</v>
      </c>
      <c r="EF1059" s="46">
        <f t="shared" si="271"/>
        <v>0</v>
      </c>
      <c r="EG1059" s="46">
        <f t="shared" si="272"/>
        <v>0</v>
      </c>
      <c r="EH1059" s="2">
        <f t="shared" si="273"/>
        <v>0</v>
      </c>
      <c r="EI1059" s="29">
        <f>IF(COUNT(I1059:AD1059)&lt;5,DZ1059,SUMPRODUCT(LARGE(I1059:AD1059,{1,2,3,4,5}))/5)</f>
        <v>0</v>
      </c>
      <c r="EJ1059" s="29">
        <f>IF(COUNT(I1059:BE1059)&lt;5,DZ1059,SUMPRODUCT(LARGE(I1059:BE1059,{1,2,3,4,5}))/5)</f>
        <v>0</v>
      </c>
      <c r="EK1059" s="29">
        <f t="shared" si="275"/>
        <v>0</v>
      </c>
      <c r="EL1059" s="29">
        <f t="shared" si="277"/>
        <v>0</v>
      </c>
      <c r="EM1059" s="116">
        <f t="shared" si="274"/>
        <v>0</v>
      </c>
    </row>
    <row r="1060" spans="1:143" x14ac:dyDescent="0.25">
      <c r="A1060" s="59"/>
      <c r="B1060" s="32"/>
      <c r="C1060" s="5"/>
      <c r="D1060" s="6"/>
      <c r="E1060" s="6"/>
      <c r="F1060" s="6"/>
      <c r="G1060" s="5"/>
      <c r="H1060" s="99"/>
      <c r="I1060" s="36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227"/>
      <c r="Z1060" s="228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4"/>
      <c r="AP1060" s="7"/>
      <c r="AQ1060" s="74"/>
      <c r="AR1060" s="70"/>
      <c r="AS1060" s="70"/>
      <c r="AT1060" s="70"/>
      <c r="AU1060" s="7"/>
      <c r="AV1060" s="70"/>
      <c r="AW1060" s="7"/>
      <c r="AX1060" s="8"/>
      <c r="AY1060" s="36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4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7"/>
      <c r="CI1060" s="7"/>
      <c r="CJ1060" s="7"/>
      <c r="CK1060" s="101"/>
      <c r="CL1060" s="74"/>
      <c r="CM1060" s="74"/>
      <c r="CN1060" s="74"/>
      <c r="CO1060" s="70"/>
      <c r="CP1060" s="101"/>
      <c r="CQ1060" s="7"/>
      <c r="CR1060" s="74"/>
      <c r="CS1060" s="74"/>
      <c r="CT1060" s="74"/>
      <c r="CU1060" s="74"/>
      <c r="CV1060" s="7"/>
      <c r="CW1060" s="7"/>
      <c r="CX1060" s="7"/>
      <c r="CY1060" s="7"/>
      <c r="CZ1060" s="7"/>
      <c r="DA1060" s="7"/>
      <c r="DB1060" s="7"/>
      <c r="DC1060" s="7"/>
      <c r="DD1060" s="7"/>
      <c r="DE1060" s="74"/>
      <c r="DF1060" s="74"/>
      <c r="DG1060" s="74"/>
      <c r="DH1060" s="7"/>
      <c r="DI1060" s="74"/>
      <c r="DJ1060" s="7"/>
      <c r="DK1060" s="7"/>
      <c r="DL1060" s="7"/>
      <c r="DM1060" s="7"/>
      <c r="DN1060" s="7"/>
      <c r="DO1060" s="7"/>
      <c r="DP1060" s="7"/>
      <c r="DQ1060" s="7"/>
      <c r="DR1060" s="7"/>
      <c r="DS1060" s="7"/>
      <c r="DT1060" s="7"/>
      <c r="DU1060" s="7"/>
      <c r="DV1060" s="7"/>
      <c r="DW1060" s="7"/>
      <c r="DX1060" s="7"/>
      <c r="DY1060" s="7"/>
      <c r="DZ1060" s="8">
        <f t="shared" si="266"/>
        <v>0</v>
      </c>
      <c r="EA1060" s="3">
        <f t="shared" si="267"/>
        <v>0</v>
      </c>
      <c r="EB1060" s="2">
        <f t="shared" si="268"/>
        <v>0</v>
      </c>
      <c r="EC1060" s="112">
        <f t="shared" si="276"/>
        <v>0</v>
      </c>
      <c r="ED1060" s="29">
        <f t="shared" si="269"/>
        <v>0</v>
      </c>
      <c r="EE1060" s="2">
        <f t="shared" si="270"/>
        <v>0</v>
      </c>
      <c r="EF1060" s="46">
        <f t="shared" si="271"/>
        <v>0</v>
      </c>
      <c r="EG1060" s="46">
        <f t="shared" si="272"/>
        <v>0</v>
      </c>
      <c r="EH1060" s="2">
        <f t="shared" si="273"/>
        <v>0</v>
      </c>
      <c r="EI1060" s="29">
        <f>IF(COUNT(I1060:AD1060)&lt;5,DZ1060,SUMPRODUCT(LARGE(I1060:AD1060,{1,2,3,4,5}))/5)</f>
        <v>0</v>
      </c>
      <c r="EJ1060" s="29">
        <f>IF(COUNT(I1060:BE1060)&lt;5,DZ1060,SUMPRODUCT(LARGE(I1060:BE1060,{1,2,3,4,5}))/5)</f>
        <v>0</v>
      </c>
      <c r="EK1060" s="29">
        <f t="shared" si="275"/>
        <v>0</v>
      </c>
      <c r="EL1060" s="29">
        <f t="shared" si="277"/>
        <v>0</v>
      </c>
      <c r="EM1060" s="116">
        <f t="shared" si="274"/>
        <v>0</v>
      </c>
    </row>
    <row r="1061" spans="1:143" x14ac:dyDescent="0.25">
      <c r="A1061" s="59"/>
      <c r="B1061" s="4"/>
      <c r="C1061" s="5"/>
      <c r="D1061" s="5"/>
      <c r="E1061" s="6"/>
      <c r="F1061" s="6"/>
      <c r="G1061" s="5"/>
      <c r="H1061" s="99"/>
      <c r="I1061" s="36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227"/>
      <c r="Z1061" s="228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4"/>
      <c r="AP1061" s="7"/>
      <c r="AQ1061" s="74"/>
      <c r="AR1061" s="70"/>
      <c r="AS1061" s="70"/>
      <c r="AT1061" s="70"/>
      <c r="AU1061" s="7"/>
      <c r="AV1061" s="70"/>
      <c r="AW1061" s="7"/>
      <c r="AX1061" s="8"/>
      <c r="AY1061" s="36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4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  <c r="BZ1061" s="7"/>
      <c r="CA1061" s="7"/>
      <c r="CB1061" s="7"/>
      <c r="CC1061" s="7"/>
      <c r="CD1061" s="7"/>
      <c r="CE1061" s="7"/>
      <c r="CF1061" s="7"/>
      <c r="CG1061" s="7"/>
      <c r="CH1061" s="7"/>
      <c r="CI1061" s="7"/>
      <c r="CJ1061" s="7"/>
      <c r="CK1061" s="101"/>
      <c r="CL1061" s="74"/>
      <c r="CM1061" s="74"/>
      <c r="CN1061" s="74"/>
      <c r="CO1061" s="70"/>
      <c r="CP1061" s="101"/>
      <c r="CQ1061" s="7"/>
      <c r="CR1061" s="74"/>
      <c r="CS1061" s="74"/>
      <c r="CT1061" s="74"/>
      <c r="CU1061" s="74"/>
      <c r="CV1061" s="74"/>
      <c r="CW1061" s="7"/>
      <c r="CX1061" s="7"/>
      <c r="CY1061" s="7"/>
      <c r="CZ1061" s="7"/>
      <c r="DA1061" s="7"/>
      <c r="DB1061" s="7"/>
      <c r="DC1061" s="7"/>
      <c r="DD1061" s="7"/>
      <c r="DE1061" s="74"/>
      <c r="DF1061" s="74"/>
      <c r="DG1061" s="74"/>
      <c r="DH1061" s="74"/>
      <c r="DI1061" s="74"/>
      <c r="DJ1061" s="7"/>
      <c r="DK1061" s="7"/>
      <c r="DL1061" s="7"/>
      <c r="DM1061" s="7"/>
      <c r="DN1061" s="7"/>
      <c r="DO1061" s="7"/>
      <c r="DP1061" s="7"/>
      <c r="DQ1061" s="7"/>
      <c r="DR1061" s="7"/>
      <c r="DS1061" s="7"/>
      <c r="DT1061" s="7"/>
      <c r="DU1061" s="7"/>
      <c r="DV1061" s="7"/>
      <c r="DW1061" s="7"/>
      <c r="DX1061" s="7"/>
      <c r="DY1061" s="7"/>
      <c r="DZ1061" s="8">
        <f t="shared" si="266"/>
        <v>0</v>
      </c>
      <c r="EA1061" s="3">
        <f t="shared" si="267"/>
        <v>0</v>
      </c>
      <c r="EB1061" s="2">
        <f t="shared" si="268"/>
        <v>0</v>
      </c>
      <c r="EC1061" s="112">
        <f t="shared" si="276"/>
        <v>0</v>
      </c>
      <c r="ED1061" s="29">
        <f t="shared" si="269"/>
        <v>0</v>
      </c>
      <c r="EE1061" s="2">
        <f t="shared" si="270"/>
        <v>0</v>
      </c>
      <c r="EF1061" s="46">
        <f t="shared" si="271"/>
        <v>0</v>
      </c>
      <c r="EG1061" s="46">
        <f t="shared" si="272"/>
        <v>0</v>
      </c>
      <c r="EH1061" s="2">
        <f t="shared" si="273"/>
        <v>0</v>
      </c>
      <c r="EI1061" s="29">
        <f>IF(COUNT(I1061:AD1061)&lt;5,DZ1061,SUMPRODUCT(LARGE(I1061:AD1061,{1,2,3,4,5}))/5)</f>
        <v>0</v>
      </c>
      <c r="EJ1061" s="29">
        <f>IF(COUNT(I1061:BE1061)&lt;5,DZ1061,SUMPRODUCT(LARGE(I1061:BE1061,{1,2,3,4,5}))/5)</f>
        <v>0</v>
      </c>
      <c r="EK1061" s="29">
        <f t="shared" si="275"/>
        <v>0</v>
      </c>
      <c r="EL1061" s="29">
        <f t="shared" si="277"/>
        <v>0</v>
      </c>
      <c r="EM1061" s="116">
        <f t="shared" si="274"/>
        <v>0</v>
      </c>
    </row>
    <row r="1062" spans="1:143" x14ac:dyDescent="0.25">
      <c r="A1062" s="59"/>
      <c r="B1062" s="32"/>
      <c r="C1062" s="5"/>
      <c r="D1062" s="6"/>
      <c r="E1062" s="6"/>
      <c r="F1062" s="6"/>
      <c r="G1062" s="5"/>
      <c r="H1062" s="99"/>
      <c r="I1062" s="36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227"/>
      <c r="Z1062" s="228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4"/>
      <c r="AP1062" s="7"/>
      <c r="AQ1062" s="74"/>
      <c r="AR1062" s="70"/>
      <c r="AS1062" s="70"/>
      <c r="AT1062" s="70"/>
      <c r="AU1062" s="7"/>
      <c r="AV1062" s="70"/>
      <c r="AW1062" s="7"/>
      <c r="AX1062" s="8"/>
      <c r="AY1062" s="36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4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  <c r="BZ1062" s="7"/>
      <c r="CA1062" s="7"/>
      <c r="CB1062" s="7"/>
      <c r="CC1062" s="7"/>
      <c r="CD1062" s="7"/>
      <c r="CE1062" s="7"/>
      <c r="CF1062" s="7"/>
      <c r="CG1062" s="7"/>
      <c r="CH1062" s="7"/>
      <c r="CI1062" s="7"/>
      <c r="CJ1062" s="7"/>
      <c r="CK1062" s="101"/>
      <c r="CL1062" s="74"/>
      <c r="CM1062" s="7"/>
      <c r="CN1062" s="74"/>
      <c r="CO1062" s="70"/>
      <c r="CP1062" s="101"/>
      <c r="CQ1062" s="7"/>
      <c r="CR1062" s="74"/>
      <c r="CS1062" s="74"/>
      <c r="CT1062" s="74"/>
      <c r="CU1062" s="74"/>
      <c r="CV1062" s="74"/>
      <c r="CW1062" s="7"/>
      <c r="CX1062" s="7"/>
      <c r="CY1062" s="7"/>
      <c r="CZ1062" s="7"/>
      <c r="DA1062" s="7"/>
      <c r="DB1062" s="7"/>
      <c r="DC1062" s="7"/>
      <c r="DD1062" s="7"/>
      <c r="DE1062" s="74"/>
      <c r="DF1062" s="74"/>
      <c r="DG1062" s="74"/>
      <c r="DH1062" s="74"/>
      <c r="DI1062" s="74"/>
      <c r="DJ1062" s="7"/>
      <c r="DK1062" s="7"/>
      <c r="DL1062" s="7"/>
      <c r="DM1062" s="7"/>
      <c r="DN1062" s="7"/>
      <c r="DO1062" s="7"/>
      <c r="DP1062" s="7"/>
      <c r="DQ1062" s="7"/>
      <c r="DR1062" s="7"/>
      <c r="DS1062" s="7"/>
      <c r="DT1062" s="7"/>
      <c r="DU1062" s="7"/>
      <c r="DV1062" s="7"/>
      <c r="DW1062" s="7"/>
      <c r="DX1062" s="7"/>
      <c r="DY1062" s="7"/>
      <c r="DZ1062" s="8">
        <f t="shared" si="266"/>
        <v>0</v>
      </c>
      <c r="EA1062" s="3">
        <f t="shared" si="267"/>
        <v>0</v>
      </c>
      <c r="EB1062" s="2">
        <f t="shared" si="268"/>
        <v>0</v>
      </c>
      <c r="EC1062" s="112">
        <f t="shared" si="276"/>
        <v>0</v>
      </c>
      <c r="ED1062" s="29">
        <f t="shared" si="269"/>
        <v>0</v>
      </c>
      <c r="EE1062" s="2">
        <f t="shared" si="270"/>
        <v>0</v>
      </c>
      <c r="EF1062" s="46">
        <f t="shared" si="271"/>
        <v>0</v>
      </c>
      <c r="EG1062" s="46">
        <f t="shared" si="272"/>
        <v>0</v>
      </c>
      <c r="EH1062" s="2">
        <f t="shared" si="273"/>
        <v>0</v>
      </c>
      <c r="EI1062" s="29">
        <f>IF(COUNT(I1062:AD1062)&lt;5,DZ1062,SUMPRODUCT(LARGE(I1062:AD1062,{1,2,3,4,5}))/5)</f>
        <v>0</v>
      </c>
      <c r="EJ1062" s="29">
        <f>IF(COUNT(I1062:BE1062)&lt;5,DZ1062,SUMPRODUCT(LARGE(I1062:BE1062,{1,2,3,4,5}))/5)</f>
        <v>0</v>
      </c>
      <c r="EK1062" s="29">
        <f t="shared" si="275"/>
        <v>0</v>
      </c>
      <c r="EL1062" s="29">
        <f t="shared" si="277"/>
        <v>0</v>
      </c>
      <c r="EM1062" s="116">
        <f t="shared" si="274"/>
        <v>0</v>
      </c>
    </row>
    <row r="1063" spans="1:143" x14ac:dyDescent="0.25">
      <c r="A1063" s="59"/>
      <c r="B1063" s="32"/>
      <c r="C1063" s="5"/>
      <c r="D1063" s="6"/>
      <c r="E1063" s="6"/>
      <c r="F1063" s="6"/>
      <c r="G1063" s="5"/>
      <c r="H1063" s="37"/>
      <c r="I1063" s="107"/>
      <c r="J1063" s="7"/>
      <c r="K1063" s="74"/>
      <c r="L1063" s="7"/>
      <c r="M1063" s="74"/>
      <c r="N1063" s="74"/>
      <c r="O1063" s="7"/>
      <c r="P1063" s="74"/>
      <c r="Q1063" s="74"/>
      <c r="R1063" s="74"/>
      <c r="S1063" s="74"/>
      <c r="T1063" s="7"/>
      <c r="U1063" s="7"/>
      <c r="V1063" s="74"/>
      <c r="W1063" s="7"/>
      <c r="X1063" s="74"/>
      <c r="Y1063" s="227"/>
      <c r="Z1063" s="228"/>
      <c r="AA1063" s="74"/>
      <c r="AB1063" s="74"/>
      <c r="AC1063" s="74"/>
      <c r="AD1063" s="74"/>
      <c r="AE1063" s="7"/>
      <c r="AF1063" s="74"/>
      <c r="AG1063" s="74"/>
      <c r="AH1063" s="7"/>
      <c r="AI1063" s="7"/>
      <c r="AJ1063" s="7"/>
      <c r="AK1063" s="7"/>
      <c r="AL1063" s="7"/>
      <c r="AM1063" s="7"/>
      <c r="AN1063" s="7"/>
      <c r="AO1063" s="74"/>
      <c r="AP1063" s="7"/>
      <c r="AQ1063" s="74"/>
      <c r="AR1063" s="101"/>
      <c r="AS1063" s="70"/>
      <c r="AT1063" s="101"/>
      <c r="AU1063" s="7"/>
      <c r="AV1063" s="101"/>
      <c r="AW1063" s="7"/>
      <c r="AX1063" s="8"/>
      <c r="AY1063" s="36"/>
      <c r="AZ1063" s="74"/>
      <c r="BA1063" s="74"/>
      <c r="BB1063" s="74"/>
      <c r="BC1063" s="74"/>
      <c r="BD1063" s="74"/>
      <c r="BE1063" s="74"/>
      <c r="BF1063" s="74"/>
      <c r="BG1063" s="74"/>
      <c r="BH1063" s="74"/>
      <c r="BI1063" s="74"/>
      <c r="BJ1063" s="74"/>
      <c r="BK1063" s="7"/>
      <c r="BL1063" s="74"/>
      <c r="BM1063" s="7"/>
      <c r="BN1063" s="74"/>
      <c r="BO1063" s="74"/>
      <c r="BP1063" s="74"/>
      <c r="BQ1063" s="74"/>
      <c r="BR1063" s="74"/>
      <c r="BS1063" s="74"/>
      <c r="BT1063" s="74"/>
      <c r="BU1063" s="74"/>
      <c r="BV1063" s="74"/>
      <c r="BW1063" s="74"/>
      <c r="BX1063" s="74"/>
      <c r="BY1063" s="74"/>
      <c r="BZ1063" s="74"/>
      <c r="CA1063" s="7"/>
      <c r="CB1063" s="74"/>
      <c r="CC1063" s="74"/>
      <c r="CD1063" s="74"/>
      <c r="CE1063" s="7"/>
      <c r="CF1063" s="74"/>
      <c r="CG1063" s="74"/>
      <c r="CH1063" s="7"/>
      <c r="CI1063" s="74"/>
      <c r="CJ1063" s="74"/>
      <c r="CK1063" s="101"/>
      <c r="CL1063" s="74"/>
      <c r="CM1063" s="74"/>
      <c r="CN1063" s="74"/>
      <c r="CO1063" s="101"/>
      <c r="CP1063" s="101"/>
      <c r="CQ1063" s="74"/>
      <c r="CR1063" s="74"/>
      <c r="CS1063" s="74"/>
      <c r="CT1063" s="74"/>
      <c r="CU1063" s="74"/>
      <c r="CV1063" s="74"/>
      <c r="CW1063" s="74"/>
      <c r="CX1063" s="74"/>
      <c r="CY1063" s="7"/>
      <c r="CZ1063" s="74"/>
      <c r="DA1063" s="74"/>
      <c r="DB1063" s="74"/>
      <c r="DC1063" s="74"/>
      <c r="DD1063" s="74"/>
      <c r="DE1063" s="74"/>
      <c r="DF1063" s="74"/>
      <c r="DG1063" s="74"/>
      <c r="DH1063" s="74"/>
      <c r="DI1063" s="74"/>
      <c r="DJ1063" s="74"/>
      <c r="DK1063" s="74"/>
      <c r="DL1063" s="74"/>
      <c r="DM1063" s="74"/>
      <c r="DN1063" s="74"/>
      <c r="DO1063" s="74"/>
      <c r="DP1063" s="74"/>
      <c r="DQ1063" s="74"/>
      <c r="DR1063" s="74"/>
      <c r="DS1063" s="74"/>
      <c r="DT1063" s="74"/>
      <c r="DU1063" s="74"/>
      <c r="DV1063" s="74"/>
      <c r="DW1063" s="74"/>
      <c r="DX1063" s="74"/>
      <c r="DY1063" s="74"/>
      <c r="DZ1063" s="8">
        <f t="shared" si="266"/>
        <v>0</v>
      </c>
      <c r="EA1063" s="3">
        <f t="shared" si="267"/>
        <v>0</v>
      </c>
      <c r="EB1063" s="2">
        <f t="shared" si="268"/>
        <v>0</v>
      </c>
      <c r="EC1063" s="112">
        <f t="shared" si="276"/>
        <v>0</v>
      </c>
      <c r="ED1063" s="29">
        <f t="shared" si="269"/>
        <v>0</v>
      </c>
      <c r="EE1063" s="2">
        <f t="shared" si="270"/>
        <v>0</v>
      </c>
      <c r="EF1063" s="46">
        <f t="shared" si="271"/>
        <v>0</v>
      </c>
      <c r="EG1063" s="46">
        <f t="shared" si="272"/>
        <v>0</v>
      </c>
      <c r="EH1063" s="29">
        <f t="shared" si="273"/>
        <v>0</v>
      </c>
      <c r="EI1063" s="29">
        <f>IF(COUNT(I1063:AD1063)&lt;5,DZ1063,SUMPRODUCT(LARGE(I1063:AD1063,{1,2,3,4,5}))/5)</f>
        <v>0</v>
      </c>
      <c r="EJ1063" s="29">
        <f>IF(COUNT(I1063:BE1063)&lt;5,DZ1063,SUMPRODUCT(LARGE(I1063:BE1063,{1,2,3,4,5}))/5)</f>
        <v>0</v>
      </c>
      <c r="EK1063" s="29">
        <f t="shared" si="275"/>
        <v>0</v>
      </c>
      <c r="EL1063" s="29">
        <f>(EK1063*100)/101.59</f>
        <v>0</v>
      </c>
      <c r="EM1063" s="116">
        <f t="shared" si="274"/>
        <v>0</v>
      </c>
    </row>
    <row r="1064" spans="1:143" x14ac:dyDescent="0.25">
      <c r="A1064" s="59"/>
      <c r="B1064" s="32"/>
      <c r="C1064" s="5"/>
      <c r="D1064" s="6"/>
      <c r="E1064" s="6"/>
      <c r="F1064" s="6"/>
      <c r="G1064" s="5"/>
      <c r="H1064" s="37"/>
      <c r="I1064" s="107"/>
      <c r="J1064" s="7"/>
      <c r="K1064" s="74"/>
      <c r="L1064" s="7"/>
      <c r="M1064" s="74"/>
      <c r="N1064" s="74"/>
      <c r="O1064" s="7"/>
      <c r="P1064" s="74"/>
      <c r="Q1064" s="7"/>
      <c r="R1064" s="74"/>
      <c r="S1064" s="74"/>
      <c r="T1064" s="7"/>
      <c r="U1064" s="7"/>
      <c r="V1064" s="74"/>
      <c r="W1064" s="7"/>
      <c r="X1064" s="74"/>
      <c r="Y1064" s="227"/>
      <c r="Z1064" s="228"/>
      <c r="AA1064" s="74"/>
      <c r="AB1064" s="74"/>
      <c r="AC1064" s="74"/>
      <c r="AD1064" s="74"/>
      <c r="AE1064" s="7"/>
      <c r="AF1064" s="74"/>
      <c r="AG1064" s="74"/>
      <c r="AH1064" s="7"/>
      <c r="AI1064" s="7"/>
      <c r="AJ1064" s="7"/>
      <c r="AK1064" s="7"/>
      <c r="AL1064" s="7"/>
      <c r="AM1064" s="7"/>
      <c r="AN1064" s="7"/>
      <c r="AO1064" s="74"/>
      <c r="AP1064" s="7"/>
      <c r="AQ1064" s="74"/>
      <c r="AR1064" s="101"/>
      <c r="AS1064" s="70"/>
      <c r="AT1064" s="101"/>
      <c r="AU1064" s="7"/>
      <c r="AV1064" s="101"/>
      <c r="AW1064" s="7"/>
      <c r="AX1064" s="8"/>
      <c r="AY1064" s="36"/>
      <c r="AZ1064" s="74"/>
      <c r="BA1064" s="74"/>
      <c r="BB1064" s="74"/>
      <c r="BC1064" s="74"/>
      <c r="BD1064" s="74"/>
      <c r="BE1064" s="74"/>
      <c r="BF1064" s="74"/>
      <c r="BG1064" s="74"/>
      <c r="BH1064" s="74"/>
      <c r="BI1064" s="74"/>
      <c r="BJ1064" s="74"/>
      <c r="BK1064" s="7"/>
      <c r="BL1064" s="74"/>
      <c r="BM1064" s="7"/>
      <c r="BN1064" s="74"/>
      <c r="BO1064" s="74"/>
      <c r="BP1064" s="74"/>
      <c r="BQ1064" s="74"/>
      <c r="BR1064" s="74"/>
      <c r="BS1064" s="74"/>
      <c r="BT1064" s="74"/>
      <c r="BU1064" s="74"/>
      <c r="BV1064" s="74"/>
      <c r="BW1064" s="74"/>
      <c r="BX1064" s="74"/>
      <c r="BY1064" s="74"/>
      <c r="BZ1064" s="74"/>
      <c r="CA1064" s="74"/>
      <c r="CB1064" s="74"/>
      <c r="CC1064" s="74"/>
      <c r="CD1064" s="74"/>
      <c r="CE1064" s="7"/>
      <c r="CF1064" s="74"/>
      <c r="CG1064" s="74"/>
      <c r="CH1064" s="7"/>
      <c r="CI1064" s="74"/>
      <c r="CJ1064" s="74"/>
      <c r="CK1064" s="101"/>
      <c r="CL1064" s="74"/>
      <c r="CM1064" s="74"/>
      <c r="CN1064" s="74"/>
      <c r="CO1064" s="101"/>
      <c r="CP1064" s="101"/>
      <c r="CQ1064" s="74"/>
      <c r="CR1064" s="74"/>
      <c r="CS1064" s="74"/>
      <c r="CT1064" s="74"/>
      <c r="CU1064" s="74"/>
      <c r="CV1064" s="74"/>
      <c r="CW1064" s="74"/>
      <c r="CX1064" s="74"/>
      <c r="CY1064" s="74"/>
      <c r="CZ1064" s="74"/>
      <c r="DA1064" s="74"/>
      <c r="DB1064" s="74"/>
      <c r="DC1064" s="74"/>
      <c r="DD1064" s="74"/>
      <c r="DE1064" s="74"/>
      <c r="DF1064" s="74"/>
      <c r="DG1064" s="74"/>
      <c r="DH1064" s="74"/>
      <c r="DI1064" s="74"/>
      <c r="DJ1064" s="74"/>
      <c r="DK1064" s="74"/>
      <c r="DL1064" s="74"/>
      <c r="DM1064" s="74"/>
      <c r="DN1064" s="74"/>
      <c r="DO1064" s="74"/>
      <c r="DP1064" s="74"/>
      <c r="DQ1064" s="74"/>
      <c r="DR1064" s="74"/>
      <c r="DS1064" s="74"/>
      <c r="DT1064" s="74"/>
      <c r="DU1064" s="74"/>
      <c r="DV1064" s="74"/>
      <c r="DW1064" s="74"/>
      <c r="DX1064" s="74"/>
      <c r="DY1064" s="74"/>
      <c r="DZ1064" s="8">
        <f t="shared" si="266"/>
        <v>0</v>
      </c>
      <c r="EA1064" s="3">
        <f t="shared" si="267"/>
        <v>0</v>
      </c>
      <c r="EB1064" s="2">
        <f t="shared" si="268"/>
        <v>0</v>
      </c>
      <c r="EC1064" s="112">
        <f t="shared" si="276"/>
        <v>0</v>
      </c>
      <c r="ED1064" s="29">
        <f t="shared" si="269"/>
        <v>0</v>
      </c>
      <c r="EE1064" s="2">
        <f t="shared" si="270"/>
        <v>0</v>
      </c>
      <c r="EF1064" s="46">
        <f t="shared" si="271"/>
        <v>0</v>
      </c>
      <c r="EG1064" s="46">
        <f t="shared" si="272"/>
        <v>0</v>
      </c>
      <c r="EH1064" s="29">
        <f t="shared" si="273"/>
        <v>0</v>
      </c>
      <c r="EI1064" s="29">
        <f>IF(COUNT(I1064:AD1064)&lt;5,DZ1064,SUMPRODUCT(LARGE(I1064:AD1064,{1,2,3,4,5}))/5)</f>
        <v>0</v>
      </c>
      <c r="EJ1064" s="29">
        <f>IF(COUNT(I1064:BE1064)&lt;5,DZ1064,SUMPRODUCT(LARGE(I1064:BE1064,{1,2,3,4,5}))/5)</f>
        <v>0</v>
      </c>
      <c r="EK1064" s="29">
        <f t="shared" si="275"/>
        <v>0</v>
      </c>
      <c r="EL1064" s="29">
        <f t="shared" ref="EL1064:EL1076" si="278">(EK1064*100)/101.28</f>
        <v>0</v>
      </c>
      <c r="EM1064" s="116">
        <f t="shared" si="274"/>
        <v>0</v>
      </c>
    </row>
    <row r="1065" spans="1:143" x14ac:dyDescent="0.25">
      <c r="A1065" s="59"/>
      <c r="B1065" s="32"/>
      <c r="C1065" s="5"/>
      <c r="D1065" s="6"/>
      <c r="E1065" s="6"/>
      <c r="F1065" s="6"/>
      <c r="G1065" s="5"/>
      <c r="H1065" s="37"/>
      <c r="I1065" s="107"/>
      <c r="J1065" s="7"/>
      <c r="K1065" s="74"/>
      <c r="L1065" s="7"/>
      <c r="M1065" s="74"/>
      <c r="N1065" s="74"/>
      <c r="O1065" s="7"/>
      <c r="P1065" s="74"/>
      <c r="Q1065" s="7"/>
      <c r="R1065" s="74"/>
      <c r="S1065" s="74"/>
      <c r="T1065" s="7"/>
      <c r="U1065" s="7"/>
      <c r="V1065" s="74"/>
      <c r="W1065" s="7"/>
      <c r="X1065" s="74"/>
      <c r="Y1065" s="227"/>
      <c r="Z1065" s="228"/>
      <c r="AA1065" s="74"/>
      <c r="AB1065" s="74"/>
      <c r="AC1065" s="74"/>
      <c r="AD1065" s="74"/>
      <c r="AE1065" s="7"/>
      <c r="AF1065" s="74"/>
      <c r="AG1065" s="74"/>
      <c r="AH1065" s="7"/>
      <c r="AI1065" s="7"/>
      <c r="AJ1065" s="7"/>
      <c r="AK1065" s="7"/>
      <c r="AL1065" s="7"/>
      <c r="AM1065" s="7"/>
      <c r="AN1065" s="7"/>
      <c r="AO1065" s="74"/>
      <c r="AP1065" s="7"/>
      <c r="AQ1065" s="74"/>
      <c r="AR1065" s="101"/>
      <c r="AS1065" s="70"/>
      <c r="AT1065" s="101"/>
      <c r="AU1065" s="7"/>
      <c r="AV1065" s="101"/>
      <c r="AW1065" s="7"/>
      <c r="AX1065" s="8"/>
      <c r="AY1065" s="36"/>
      <c r="AZ1065" s="74"/>
      <c r="BA1065" s="74"/>
      <c r="BB1065" s="74"/>
      <c r="BC1065" s="74"/>
      <c r="BD1065" s="74"/>
      <c r="BE1065" s="74"/>
      <c r="BF1065" s="74"/>
      <c r="BG1065" s="74"/>
      <c r="BH1065" s="74"/>
      <c r="BI1065" s="74"/>
      <c r="BJ1065" s="74"/>
      <c r="BK1065" s="7"/>
      <c r="BL1065" s="74"/>
      <c r="BM1065" s="7"/>
      <c r="BN1065" s="74"/>
      <c r="BO1065" s="74"/>
      <c r="BP1065" s="74"/>
      <c r="BQ1065" s="74"/>
      <c r="BR1065" s="74"/>
      <c r="BS1065" s="74"/>
      <c r="BT1065" s="74"/>
      <c r="BU1065" s="74"/>
      <c r="BV1065" s="74"/>
      <c r="BW1065" s="74"/>
      <c r="BX1065" s="74"/>
      <c r="BY1065" s="74"/>
      <c r="BZ1065" s="74"/>
      <c r="CA1065" s="74"/>
      <c r="CB1065" s="74"/>
      <c r="CC1065" s="74"/>
      <c r="CD1065" s="74"/>
      <c r="CE1065" s="7"/>
      <c r="CF1065" s="74"/>
      <c r="CG1065" s="74"/>
      <c r="CH1065" s="7"/>
      <c r="CI1065" s="74"/>
      <c r="CJ1065" s="74"/>
      <c r="CK1065" s="101"/>
      <c r="CL1065" s="74"/>
      <c r="CM1065" s="74"/>
      <c r="CN1065" s="74"/>
      <c r="CO1065" s="101"/>
      <c r="CP1065" s="101"/>
      <c r="CQ1065" s="74"/>
      <c r="CR1065" s="74"/>
      <c r="CS1065" s="74"/>
      <c r="CT1065" s="74"/>
      <c r="CU1065" s="74"/>
      <c r="CV1065" s="74"/>
      <c r="CW1065" s="74"/>
      <c r="CX1065" s="74"/>
      <c r="CY1065" s="74"/>
      <c r="CZ1065" s="74"/>
      <c r="DA1065" s="74"/>
      <c r="DB1065" s="74"/>
      <c r="DC1065" s="74"/>
      <c r="DD1065" s="74"/>
      <c r="DE1065" s="74"/>
      <c r="DF1065" s="74"/>
      <c r="DG1065" s="74"/>
      <c r="DH1065" s="74"/>
      <c r="DI1065" s="74"/>
      <c r="DJ1065" s="74"/>
      <c r="DK1065" s="74"/>
      <c r="DL1065" s="74"/>
      <c r="DM1065" s="74"/>
      <c r="DN1065" s="74"/>
      <c r="DO1065" s="74"/>
      <c r="DP1065" s="74"/>
      <c r="DQ1065" s="74"/>
      <c r="DR1065" s="74"/>
      <c r="DS1065" s="74"/>
      <c r="DT1065" s="74"/>
      <c r="DU1065" s="74"/>
      <c r="DV1065" s="74"/>
      <c r="DW1065" s="74"/>
      <c r="DX1065" s="74"/>
      <c r="DY1065" s="74"/>
      <c r="DZ1065" s="8">
        <f t="shared" si="266"/>
        <v>0</v>
      </c>
      <c r="EA1065" s="3">
        <f t="shared" si="267"/>
        <v>0</v>
      </c>
      <c r="EB1065" s="2">
        <f t="shared" si="268"/>
        <v>0</v>
      </c>
      <c r="EC1065" s="112">
        <f t="shared" si="276"/>
        <v>0</v>
      </c>
      <c r="ED1065" s="29">
        <f t="shared" si="269"/>
        <v>0</v>
      </c>
      <c r="EE1065" s="2">
        <f t="shared" si="270"/>
        <v>0</v>
      </c>
      <c r="EF1065" s="46">
        <f t="shared" si="271"/>
        <v>0</v>
      </c>
      <c r="EG1065" s="46">
        <f t="shared" si="272"/>
        <v>0</v>
      </c>
      <c r="EH1065" s="29">
        <f t="shared" si="273"/>
        <v>0</v>
      </c>
      <c r="EI1065" s="29">
        <f>IF(COUNT(I1065:AD1065)&lt;5,DZ1065,SUMPRODUCT(LARGE(I1065:AD1065,{1,2,3,4,5}))/5)</f>
        <v>0</v>
      </c>
      <c r="EJ1065" s="29">
        <f>IF(COUNT(I1065:BE1065)&lt;5,DZ1065,SUMPRODUCT(LARGE(I1065:BE1065,{1,2,3,4,5}))/5)</f>
        <v>0</v>
      </c>
      <c r="EK1065" s="29">
        <f t="shared" si="275"/>
        <v>0</v>
      </c>
      <c r="EL1065" s="29">
        <f t="shared" si="278"/>
        <v>0</v>
      </c>
      <c r="EM1065" s="116">
        <f t="shared" si="274"/>
        <v>0</v>
      </c>
    </row>
    <row r="1066" spans="1:143" x14ac:dyDescent="0.25">
      <c r="A1066" s="59"/>
      <c r="B1066" s="32"/>
      <c r="C1066" s="5"/>
      <c r="D1066" s="6"/>
      <c r="E1066" s="6"/>
      <c r="F1066" s="6"/>
      <c r="G1066" s="5"/>
      <c r="H1066" s="99"/>
      <c r="I1066" s="36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227"/>
      <c r="Z1066" s="228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4"/>
      <c r="AP1066" s="7"/>
      <c r="AQ1066" s="74"/>
      <c r="AR1066" s="70"/>
      <c r="AS1066" s="70"/>
      <c r="AT1066" s="70"/>
      <c r="AU1066" s="7"/>
      <c r="AV1066" s="70"/>
      <c r="AW1066" s="7"/>
      <c r="AX1066" s="183"/>
      <c r="AY1066" s="10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4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  <c r="BZ1066" s="7"/>
      <c r="CA1066" s="7"/>
      <c r="CB1066" s="7"/>
      <c r="CC1066" s="7"/>
      <c r="CD1066" s="7"/>
      <c r="CE1066" s="7"/>
      <c r="CF1066" s="7"/>
      <c r="CG1066" s="7"/>
      <c r="CH1066" s="7"/>
      <c r="CI1066" s="7"/>
      <c r="CJ1066" s="7"/>
      <c r="CK1066" s="101"/>
      <c r="CL1066" s="74"/>
      <c r="CM1066" s="74"/>
      <c r="CN1066" s="74"/>
      <c r="CO1066" s="70"/>
      <c r="CP1066" s="101"/>
      <c r="CQ1066" s="7"/>
      <c r="CR1066" s="74"/>
      <c r="CS1066" s="74"/>
      <c r="CT1066" s="74"/>
      <c r="CU1066" s="74"/>
      <c r="CV1066" s="74"/>
      <c r="CW1066" s="7"/>
      <c r="CX1066" s="7"/>
      <c r="CY1066" s="7"/>
      <c r="CZ1066" s="7"/>
      <c r="DA1066" s="7"/>
      <c r="DB1066" s="7"/>
      <c r="DC1066" s="7"/>
      <c r="DD1066" s="7"/>
      <c r="DE1066" s="74"/>
      <c r="DF1066" s="74"/>
      <c r="DG1066" s="74"/>
      <c r="DH1066" s="74"/>
      <c r="DI1066" s="74"/>
      <c r="DJ1066" s="7"/>
      <c r="DK1066" s="7"/>
      <c r="DL1066" s="7"/>
      <c r="DM1066" s="7"/>
      <c r="DN1066" s="7"/>
      <c r="DO1066" s="7"/>
      <c r="DP1066" s="7"/>
      <c r="DQ1066" s="7"/>
      <c r="DR1066" s="7"/>
      <c r="DS1066" s="7"/>
      <c r="DT1066" s="7"/>
      <c r="DU1066" s="7"/>
      <c r="DV1066" s="7"/>
      <c r="DW1066" s="7"/>
      <c r="DX1066" s="7"/>
      <c r="DY1066" s="7"/>
      <c r="DZ1066" s="8">
        <f t="shared" si="266"/>
        <v>0</v>
      </c>
      <c r="EA1066" s="3">
        <f t="shared" si="267"/>
        <v>0</v>
      </c>
      <c r="EB1066" s="2">
        <f t="shared" si="268"/>
        <v>0</v>
      </c>
      <c r="EC1066" s="112">
        <f t="shared" si="276"/>
        <v>0</v>
      </c>
      <c r="ED1066" s="29">
        <f t="shared" si="269"/>
        <v>0</v>
      </c>
      <c r="EE1066" s="2">
        <f t="shared" si="270"/>
        <v>0</v>
      </c>
      <c r="EF1066" s="46">
        <f t="shared" si="271"/>
        <v>0</v>
      </c>
      <c r="EG1066" s="46">
        <f t="shared" si="272"/>
        <v>0</v>
      </c>
      <c r="EH1066" s="2">
        <f t="shared" si="273"/>
        <v>0</v>
      </c>
      <c r="EI1066" s="29">
        <f>IF(COUNT(I1066:AD1066)&lt;5,DZ1066,SUMPRODUCT(LARGE(I1066:AD1066,{1,2,3,4,5}))/5)</f>
        <v>0</v>
      </c>
      <c r="EJ1066" s="29">
        <f>IF(COUNT(I1066:BE1066)&lt;5,DZ1066,SUMPRODUCT(LARGE(I1066:BE1066,{1,2,3,4,5}))/5)</f>
        <v>0</v>
      </c>
      <c r="EK1066" s="29">
        <f t="shared" si="275"/>
        <v>0</v>
      </c>
      <c r="EL1066" s="29">
        <f t="shared" si="278"/>
        <v>0</v>
      </c>
      <c r="EM1066" s="116">
        <f t="shared" si="274"/>
        <v>0</v>
      </c>
    </row>
    <row r="1067" spans="1:143" x14ac:dyDescent="0.25">
      <c r="A1067" s="59"/>
      <c r="B1067" s="32"/>
      <c r="C1067" s="5"/>
      <c r="D1067" s="6"/>
      <c r="E1067" s="6"/>
      <c r="F1067" s="6"/>
      <c r="G1067" s="5"/>
      <c r="H1067" s="37"/>
      <c r="I1067" s="36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227"/>
      <c r="Z1067" s="228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4"/>
      <c r="AP1067" s="7"/>
      <c r="AQ1067" s="74"/>
      <c r="AR1067" s="70"/>
      <c r="AS1067" s="70"/>
      <c r="AT1067" s="70"/>
      <c r="AU1067" s="7"/>
      <c r="AV1067" s="70"/>
      <c r="AW1067" s="7"/>
      <c r="AX1067" s="183"/>
      <c r="AY1067" s="107"/>
      <c r="AZ1067" s="7"/>
      <c r="BA1067" s="7"/>
      <c r="BB1067" s="7"/>
      <c r="BC1067" s="74"/>
      <c r="BD1067" s="7"/>
      <c r="BE1067" s="74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  <c r="BZ1067" s="7"/>
      <c r="CA1067" s="7"/>
      <c r="CB1067" s="7"/>
      <c r="CC1067" s="7"/>
      <c r="CD1067" s="7"/>
      <c r="CE1067" s="7"/>
      <c r="CF1067" s="7"/>
      <c r="CG1067" s="7"/>
      <c r="CH1067" s="7"/>
      <c r="CI1067" s="7"/>
      <c r="CJ1067" s="7"/>
      <c r="CK1067" s="101"/>
      <c r="CL1067" s="74"/>
      <c r="CM1067" s="74"/>
      <c r="CN1067" s="74"/>
      <c r="CO1067" s="70"/>
      <c r="CP1067" s="101"/>
      <c r="CQ1067" s="7"/>
      <c r="CR1067" s="74"/>
      <c r="CS1067" s="74"/>
      <c r="CT1067" s="74"/>
      <c r="CU1067" s="74"/>
      <c r="CV1067" s="74"/>
      <c r="CW1067" s="7"/>
      <c r="CX1067" s="7"/>
      <c r="CY1067" s="7"/>
      <c r="CZ1067" s="7"/>
      <c r="DA1067" s="7"/>
      <c r="DB1067" s="7"/>
      <c r="DC1067" s="7"/>
      <c r="DD1067" s="7"/>
      <c r="DE1067" s="74"/>
      <c r="DF1067" s="74"/>
      <c r="DG1067" s="74"/>
      <c r="DH1067" s="74"/>
      <c r="DI1067" s="74"/>
      <c r="DJ1067" s="7"/>
      <c r="DK1067" s="7"/>
      <c r="DL1067" s="7"/>
      <c r="DM1067" s="7"/>
      <c r="DN1067" s="7"/>
      <c r="DO1067" s="7"/>
      <c r="DP1067" s="7"/>
      <c r="DQ1067" s="7"/>
      <c r="DR1067" s="7"/>
      <c r="DS1067" s="7"/>
      <c r="DT1067" s="7"/>
      <c r="DU1067" s="7"/>
      <c r="DV1067" s="7"/>
      <c r="DW1067" s="7"/>
      <c r="DX1067" s="7"/>
      <c r="DY1067" s="7"/>
      <c r="DZ1067" s="8">
        <f t="shared" si="266"/>
        <v>0</v>
      </c>
      <c r="EA1067" s="3">
        <f t="shared" si="267"/>
        <v>0</v>
      </c>
      <c r="EB1067" s="2">
        <f t="shared" si="268"/>
        <v>0</v>
      </c>
      <c r="EC1067" s="112">
        <f t="shared" si="276"/>
        <v>0</v>
      </c>
      <c r="ED1067" s="29">
        <f t="shared" si="269"/>
        <v>0</v>
      </c>
      <c r="EE1067" s="2">
        <f t="shared" si="270"/>
        <v>0</v>
      </c>
      <c r="EF1067" s="46">
        <f t="shared" si="271"/>
        <v>0</v>
      </c>
      <c r="EG1067" s="46">
        <f t="shared" si="272"/>
        <v>0</v>
      </c>
      <c r="EH1067" s="2">
        <f t="shared" si="273"/>
        <v>0</v>
      </c>
      <c r="EI1067" s="29">
        <f>IF(COUNT(I1067:AD1067)&lt;5,DZ1067,SUMPRODUCT(LARGE(I1067:AD1067,{1,2,3,4,5}))/5)</f>
        <v>0</v>
      </c>
      <c r="EJ1067" s="29">
        <f>IF(COUNT(I1067:BE1067)&lt;5,DZ1067,SUMPRODUCT(LARGE(I1067:BE1067,{1,2,3,4,5}))/5)</f>
        <v>0</v>
      </c>
      <c r="EK1067" s="29">
        <f t="shared" si="275"/>
        <v>0</v>
      </c>
      <c r="EL1067" s="29">
        <f t="shared" si="278"/>
        <v>0</v>
      </c>
      <c r="EM1067" s="116">
        <f t="shared" si="274"/>
        <v>0</v>
      </c>
    </row>
    <row r="1068" spans="1:143" x14ac:dyDescent="0.25">
      <c r="A1068" s="59"/>
      <c r="B1068" s="54"/>
      <c r="C1068" s="55"/>
      <c r="D1068" s="55"/>
      <c r="E1068" s="6"/>
      <c r="F1068" s="6"/>
      <c r="G1068" s="5"/>
      <c r="H1068" s="99"/>
      <c r="I1068" s="36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227"/>
      <c r="Z1068" s="228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4"/>
      <c r="AP1068" s="7"/>
      <c r="AQ1068" s="74"/>
      <c r="AR1068" s="70"/>
      <c r="AS1068" s="70"/>
      <c r="AT1068" s="70"/>
      <c r="AU1068" s="7"/>
      <c r="AV1068" s="70"/>
      <c r="AW1068" s="7"/>
      <c r="AX1068" s="183"/>
      <c r="AY1068" s="10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4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7"/>
      <c r="CI1068" s="7"/>
      <c r="CJ1068" s="7"/>
      <c r="CK1068" s="101"/>
      <c r="CL1068" s="74"/>
      <c r="CM1068" s="74"/>
      <c r="CN1068" s="74"/>
      <c r="CO1068" s="70"/>
      <c r="CP1068" s="101"/>
      <c r="CQ1068" s="7"/>
      <c r="CR1068" s="74"/>
      <c r="CS1068" s="74"/>
      <c r="CT1068" s="74"/>
      <c r="CU1068" s="74"/>
      <c r="CV1068" s="74"/>
      <c r="CW1068" s="7"/>
      <c r="CX1068" s="7"/>
      <c r="CY1068" s="7"/>
      <c r="CZ1068" s="7"/>
      <c r="DA1068" s="7"/>
      <c r="DB1068" s="7"/>
      <c r="DC1068" s="7"/>
      <c r="DD1068" s="7"/>
      <c r="DE1068" s="74"/>
      <c r="DF1068" s="74"/>
      <c r="DG1068" s="74"/>
      <c r="DH1068" s="74"/>
      <c r="DI1068" s="74"/>
      <c r="DJ1068" s="7"/>
      <c r="DK1068" s="7"/>
      <c r="DL1068" s="7"/>
      <c r="DM1068" s="7"/>
      <c r="DN1068" s="7"/>
      <c r="DO1068" s="7"/>
      <c r="DP1068" s="7"/>
      <c r="DQ1068" s="7"/>
      <c r="DR1068" s="7"/>
      <c r="DS1068" s="7"/>
      <c r="DT1068" s="7"/>
      <c r="DU1068" s="7"/>
      <c r="DV1068" s="7"/>
      <c r="DW1068" s="7"/>
      <c r="DX1068" s="7"/>
      <c r="DY1068" s="7"/>
      <c r="DZ1068" s="8">
        <f t="shared" si="266"/>
        <v>0</v>
      </c>
      <c r="EA1068" s="3">
        <f t="shared" si="267"/>
        <v>0</v>
      </c>
      <c r="EB1068" s="2">
        <f t="shared" si="268"/>
        <v>0</v>
      </c>
      <c r="EC1068" s="112">
        <f t="shared" si="276"/>
        <v>0</v>
      </c>
      <c r="ED1068" s="29">
        <f t="shared" si="269"/>
        <v>0</v>
      </c>
      <c r="EE1068" s="2">
        <f t="shared" si="270"/>
        <v>0</v>
      </c>
      <c r="EF1068" s="46">
        <f t="shared" si="271"/>
        <v>0</v>
      </c>
      <c r="EG1068" s="46">
        <f t="shared" si="272"/>
        <v>0</v>
      </c>
      <c r="EH1068" s="2">
        <f t="shared" si="273"/>
        <v>0</v>
      </c>
      <c r="EI1068" s="29">
        <f>IF(COUNT(I1068:AD1068)&lt;5,DZ1068,SUMPRODUCT(LARGE(I1068:AD1068,{1,2,3,4,5}))/5)</f>
        <v>0</v>
      </c>
      <c r="EJ1068" s="29">
        <f>IF(COUNT(I1068:BE1068)&lt;5,DZ1068,SUMPRODUCT(LARGE(I1068:BE1068,{1,2,3,4,5}))/5)</f>
        <v>0</v>
      </c>
      <c r="EK1068" s="29">
        <f t="shared" si="275"/>
        <v>0</v>
      </c>
      <c r="EL1068" s="29">
        <f t="shared" si="278"/>
        <v>0</v>
      </c>
      <c r="EM1068" s="116">
        <f t="shared" si="274"/>
        <v>0</v>
      </c>
    </row>
    <row r="1069" spans="1:143" x14ac:dyDescent="0.25">
      <c r="A1069" s="59"/>
      <c r="B1069" s="32"/>
      <c r="C1069" s="5"/>
      <c r="D1069" s="6"/>
      <c r="E1069" s="6"/>
      <c r="F1069" s="6"/>
      <c r="G1069" s="5"/>
      <c r="H1069" s="99"/>
      <c r="I1069" s="36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227"/>
      <c r="Z1069" s="228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4"/>
      <c r="AP1069" s="7"/>
      <c r="AQ1069" s="74"/>
      <c r="AR1069" s="70"/>
      <c r="AS1069" s="70"/>
      <c r="AT1069" s="70"/>
      <c r="AU1069" s="7"/>
      <c r="AV1069" s="70"/>
      <c r="AW1069" s="7"/>
      <c r="AX1069" s="8"/>
      <c r="AY1069" s="36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4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  <c r="BZ1069" s="7"/>
      <c r="CA1069" s="7"/>
      <c r="CB1069" s="7"/>
      <c r="CC1069" s="7"/>
      <c r="CD1069" s="7"/>
      <c r="CE1069" s="7"/>
      <c r="CF1069" s="7"/>
      <c r="CG1069" s="7"/>
      <c r="CH1069" s="7"/>
      <c r="CI1069" s="7"/>
      <c r="CJ1069" s="7"/>
      <c r="CK1069" s="101"/>
      <c r="CL1069" s="74"/>
      <c r="CM1069" s="74"/>
      <c r="CN1069" s="74"/>
      <c r="CO1069" s="70"/>
      <c r="CP1069" s="101"/>
      <c r="CQ1069" s="7"/>
      <c r="CR1069" s="74"/>
      <c r="CS1069" s="74"/>
      <c r="CT1069" s="74"/>
      <c r="CU1069" s="74"/>
      <c r="CV1069" s="74"/>
      <c r="CW1069" s="7"/>
      <c r="CX1069" s="7"/>
      <c r="CY1069" s="7"/>
      <c r="CZ1069" s="7"/>
      <c r="DA1069" s="7"/>
      <c r="DB1069" s="7"/>
      <c r="DC1069" s="7"/>
      <c r="DD1069" s="7"/>
      <c r="DE1069" s="74"/>
      <c r="DF1069" s="74"/>
      <c r="DG1069" s="74"/>
      <c r="DH1069" s="74"/>
      <c r="DI1069" s="74"/>
      <c r="DJ1069" s="7"/>
      <c r="DK1069" s="7"/>
      <c r="DL1069" s="7"/>
      <c r="DM1069" s="7"/>
      <c r="DN1069" s="7"/>
      <c r="DO1069" s="7"/>
      <c r="DP1069" s="7"/>
      <c r="DQ1069" s="7"/>
      <c r="DR1069" s="7"/>
      <c r="DS1069" s="7"/>
      <c r="DT1069" s="7"/>
      <c r="DU1069" s="7"/>
      <c r="DV1069" s="7"/>
      <c r="DW1069" s="7"/>
      <c r="DX1069" s="7"/>
      <c r="DY1069" s="7"/>
      <c r="DZ1069" s="8">
        <f t="shared" si="266"/>
        <v>0</v>
      </c>
      <c r="EA1069" s="3">
        <f t="shared" si="267"/>
        <v>0</v>
      </c>
      <c r="EB1069" s="2">
        <f t="shared" si="268"/>
        <v>0</v>
      </c>
      <c r="EC1069" s="112">
        <f t="shared" si="276"/>
        <v>0</v>
      </c>
      <c r="ED1069" s="29">
        <f t="shared" si="269"/>
        <v>0</v>
      </c>
      <c r="EE1069" s="2">
        <f t="shared" si="270"/>
        <v>0</v>
      </c>
      <c r="EF1069" s="46">
        <f t="shared" si="271"/>
        <v>0</v>
      </c>
      <c r="EG1069" s="46">
        <f t="shared" si="272"/>
        <v>0</v>
      </c>
      <c r="EH1069" s="2">
        <f t="shared" si="273"/>
        <v>0</v>
      </c>
      <c r="EI1069" s="29">
        <f>IF(COUNT(I1069:AD1069)&lt;5,DZ1069,SUMPRODUCT(LARGE(I1069:AD1069,{1,2,3,4,5}))/5)</f>
        <v>0</v>
      </c>
      <c r="EJ1069" s="29">
        <f>IF(COUNT(I1069:BE1069)&lt;5,DZ1069,SUMPRODUCT(LARGE(I1069:BE1069,{1,2,3,4,5}))/5)</f>
        <v>0</v>
      </c>
      <c r="EK1069" s="29">
        <f t="shared" si="275"/>
        <v>0</v>
      </c>
      <c r="EL1069" s="29">
        <f t="shared" si="278"/>
        <v>0</v>
      </c>
      <c r="EM1069" s="116">
        <f t="shared" si="274"/>
        <v>0</v>
      </c>
    </row>
    <row r="1070" spans="1:143" x14ac:dyDescent="0.25">
      <c r="A1070" s="59"/>
      <c r="B1070" s="32"/>
      <c r="C1070" s="5"/>
      <c r="D1070" s="6"/>
      <c r="E1070" s="6"/>
      <c r="F1070" s="6"/>
      <c r="G1070" s="5"/>
      <c r="H1070" s="37"/>
      <c r="I1070" s="36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227"/>
      <c r="Z1070" s="228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4"/>
      <c r="AP1070" s="7"/>
      <c r="AQ1070" s="74"/>
      <c r="AR1070" s="70"/>
      <c r="AS1070" s="70"/>
      <c r="AT1070" s="70"/>
      <c r="AU1070" s="7"/>
      <c r="AV1070" s="70"/>
      <c r="AW1070" s="7"/>
      <c r="AX1070" s="8"/>
      <c r="AY1070" s="36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4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7"/>
      <c r="CK1070" s="101"/>
      <c r="CL1070" s="74"/>
      <c r="CM1070" s="74"/>
      <c r="CN1070" s="74"/>
      <c r="CO1070" s="70"/>
      <c r="CP1070" s="101"/>
      <c r="CQ1070" s="7"/>
      <c r="CR1070" s="74"/>
      <c r="CS1070" s="74"/>
      <c r="CT1070" s="74"/>
      <c r="CU1070" s="74"/>
      <c r="CV1070" s="74"/>
      <c r="CW1070" s="7"/>
      <c r="CX1070" s="7"/>
      <c r="CY1070" s="7"/>
      <c r="CZ1070" s="7"/>
      <c r="DA1070" s="7"/>
      <c r="DB1070" s="7"/>
      <c r="DC1070" s="7"/>
      <c r="DD1070" s="7"/>
      <c r="DE1070" s="74"/>
      <c r="DF1070" s="74"/>
      <c r="DG1070" s="74"/>
      <c r="DH1070" s="74"/>
      <c r="DI1070" s="74"/>
      <c r="DJ1070" s="7"/>
      <c r="DK1070" s="7"/>
      <c r="DL1070" s="7"/>
      <c r="DM1070" s="7"/>
      <c r="DN1070" s="7"/>
      <c r="DO1070" s="7"/>
      <c r="DP1070" s="7"/>
      <c r="DQ1070" s="7"/>
      <c r="DR1070" s="7"/>
      <c r="DS1070" s="7"/>
      <c r="DT1070" s="7"/>
      <c r="DU1070" s="7"/>
      <c r="DV1070" s="7"/>
      <c r="DW1070" s="7"/>
      <c r="DX1070" s="7"/>
      <c r="DY1070" s="7"/>
      <c r="DZ1070" s="8">
        <f t="shared" si="266"/>
        <v>0</v>
      </c>
      <c r="EA1070" s="3">
        <f t="shared" si="267"/>
        <v>0</v>
      </c>
      <c r="EB1070" s="2">
        <f t="shared" si="268"/>
        <v>0</v>
      </c>
      <c r="EC1070" s="112">
        <f t="shared" si="276"/>
        <v>0</v>
      </c>
      <c r="ED1070" s="29">
        <f t="shared" si="269"/>
        <v>0</v>
      </c>
      <c r="EE1070" s="2">
        <f t="shared" si="270"/>
        <v>0</v>
      </c>
      <c r="EF1070" s="46">
        <f t="shared" si="271"/>
        <v>0</v>
      </c>
      <c r="EG1070" s="46">
        <f t="shared" si="272"/>
        <v>0</v>
      </c>
      <c r="EH1070" s="2">
        <f t="shared" si="273"/>
        <v>0</v>
      </c>
      <c r="EI1070" s="29">
        <f>IF(COUNT(I1070:AD1070)&lt;5,DZ1070,SUMPRODUCT(LARGE(I1070:AD1070,{1,2,3,4,5}))/5)</f>
        <v>0</v>
      </c>
      <c r="EJ1070" s="29">
        <f>IF(COUNT(I1070:BE1070)&lt;5,DZ1070,SUMPRODUCT(LARGE(I1070:BE1070,{1,2,3,4,5}))/5)</f>
        <v>0</v>
      </c>
      <c r="EK1070" s="29">
        <f t="shared" si="275"/>
        <v>0</v>
      </c>
      <c r="EL1070" s="29">
        <f t="shared" si="278"/>
        <v>0</v>
      </c>
      <c r="EM1070" s="116">
        <f t="shared" si="274"/>
        <v>0</v>
      </c>
    </row>
    <row r="1071" spans="1:143" x14ac:dyDescent="0.25">
      <c r="A1071" s="59"/>
      <c r="B1071" s="4"/>
      <c r="C1071" s="5"/>
      <c r="D1071" s="5"/>
      <c r="E1071" s="6"/>
      <c r="F1071" s="6"/>
      <c r="G1071" s="5"/>
      <c r="H1071" s="99"/>
      <c r="I1071" s="36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227"/>
      <c r="Z1071" s="228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4"/>
      <c r="AP1071" s="7"/>
      <c r="AQ1071" s="74"/>
      <c r="AR1071" s="70"/>
      <c r="AS1071" s="70"/>
      <c r="AT1071" s="70"/>
      <c r="AU1071" s="7"/>
      <c r="AV1071" s="70"/>
      <c r="AW1071" s="7"/>
      <c r="AX1071" s="8"/>
      <c r="AY1071" s="36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4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101"/>
      <c r="CL1071" s="74"/>
      <c r="CM1071" s="74"/>
      <c r="CN1071" s="74"/>
      <c r="CO1071" s="70"/>
      <c r="CP1071" s="101"/>
      <c r="CQ1071" s="7"/>
      <c r="CR1071" s="74"/>
      <c r="CS1071" s="74"/>
      <c r="CT1071" s="74"/>
      <c r="CU1071" s="74"/>
      <c r="CV1071" s="74"/>
      <c r="CW1071" s="7"/>
      <c r="CX1071" s="7"/>
      <c r="CY1071" s="7"/>
      <c r="CZ1071" s="7"/>
      <c r="DA1071" s="7"/>
      <c r="DB1071" s="7"/>
      <c r="DC1071" s="7"/>
      <c r="DD1071" s="7"/>
      <c r="DE1071" s="74"/>
      <c r="DF1071" s="74"/>
      <c r="DG1071" s="74"/>
      <c r="DH1071" s="74"/>
      <c r="DI1071" s="74"/>
      <c r="DJ1071" s="7"/>
      <c r="DK1071" s="7"/>
      <c r="DL1071" s="7"/>
      <c r="DM1071" s="7"/>
      <c r="DN1071" s="7"/>
      <c r="DO1071" s="7"/>
      <c r="DP1071" s="7"/>
      <c r="DQ1071" s="7"/>
      <c r="DR1071" s="7"/>
      <c r="DS1071" s="7"/>
      <c r="DT1071" s="7"/>
      <c r="DU1071" s="7"/>
      <c r="DV1071" s="7"/>
      <c r="DW1071" s="7"/>
      <c r="DX1071" s="7"/>
      <c r="DY1071" s="7"/>
      <c r="DZ1071" s="8">
        <f t="shared" si="266"/>
        <v>0</v>
      </c>
      <c r="EA1071" s="3">
        <f t="shared" si="267"/>
        <v>0</v>
      </c>
      <c r="EB1071" s="2">
        <f t="shared" si="268"/>
        <v>0</v>
      </c>
      <c r="EC1071" s="112">
        <f t="shared" si="276"/>
        <v>0</v>
      </c>
      <c r="ED1071" s="29">
        <f t="shared" si="269"/>
        <v>0</v>
      </c>
      <c r="EE1071" s="2">
        <f t="shared" si="270"/>
        <v>0</v>
      </c>
      <c r="EF1071" s="46">
        <f t="shared" si="271"/>
        <v>0</v>
      </c>
      <c r="EG1071" s="46">
        <f t="shared" si="272"/>
        <v>0</v>
      </c>
      <c r="EH1071" s="2">
        <f t="shared" si="273"/>
        <v>0</v>
      </c>
      <c r="EI1071" s="29">
        <f>IF(COUNT(I1071:AD1071)&lt;5,DZ1071,SUMPRODUCT(LARGE(I1071:AD1071,{1,2,3,4,5}))/5)</f>
        <v>0</v>
      </c>
      <c r="EJ1071" s="29">
        <f>IF(COUNT(I1071:BE1071)&lt;5,DZ1071,SUMPRODUCT(LARGE(I1071:BE1071,{1,2,3,4,5}))/5)</f>
        <v>0</v>
      </c>
      <c r="EK1071" s="29">
        <f t="shared" si="275"/>
        <v>0</v>
      </c>
      <c r="EL1071" s="29">
        <f t="shared" si="278"/>
        <v>0</v>
      </c>
      <c r="EM1071" s="116">
        <f t="shared" si="274"/>
        <v>0</v>
      </c>
    </row>
    <row r="1072" spans="1:143" x14ac:dyDescent="0.25">
      <c r="A1072" s="59"/>
      <c r="B1072" s="32"/>
      <c r="C1072" s="5"/>
      <c r="D1072" s="6"/>
      <c r="E1072" s="6"/>
      <c r="F1072" s="6"/>
      <c r="G1072" s="5"/>
      <c r="H1072" s="37"/>
      <c r="I1072" s="36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227"/>
      <c r="Z1072" s="228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4"/>
      <c r="AP1072" s="7"/>
      <c r="AQ1072" s="74"/>
      <c r="AR1072" s="70"/>
      <c r="AS1072" s="70"/>
      <c r="AT1072" s="70"/>
      <c r="AU1072" s="7"/>
      <c r="AV1072" s="70"/>
      <c r="AW1072" s="7"/>
      <c r="AX1072" s="8"/>
      <c r="AY1072" s="36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4"/>
      <c r="BK1072" s="7"/>
      <c r="BL1072" s="74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7"/>
      <c r="CK1072" s="101"/>
      <c r="CL1072" s="74"/>
      <c r="CM1072" s="74"/>
      <c r="CN1072" s="74"/>
      <c r="CO1072" s="70"/>
      <c r="CP1072" s="101"/>
      <c r="CQ1072" s="7"/>
      <c r="CR1072" s="74"/>
      <c r="CS1072" s="74"/>
      <c r="CT1072" s="74"/>
      <c r="CU1072" s="74"/>
      <c r="CV1072" s="74"/>
      <c r="CW1072" s="7"/>
      <c r="CX1072" s="7"/>
      <c r="CY1072" s="7"/>
      <c r="CZ1072" s="7"/>
      <c r="DA1072" s="7"/>
      <c r="DB1072" s="7"/>
      <c r="DC1072" s="7"/>
      <c r="DD1072" s="7"/>
      <c r="DE1072" s="74"/>
      <c r="DF1072" s="74"/>
      <c r="DG1072" s="74"/>
      <c r="DH1072" s="74"/>
      <c r="DI1072" s="74"/>
      <c r="DJ1072" s="7"/>
      <c r="DK1072" s="7"/>
      <c r="DL1072" s="7"/>
      <c r="DM1072" s="7"/>
      <c r="DN1072" s="7"/>
      <c r="DO1072" s="7"/>
      <c r="DP1072" s="7"/>
      <c r="DQ1072" s="7"/>
      <c r="DR1072" s="7"/>
      <c r="DS1072" s="7"/>
      <c r="DT1072" s="7"/>
      <c r="DU1072" s="7"/>
      <c r="DV1072" s="7"/>
      <c r="DW1072" s="7"/>
      <c r="DX1072" s="7"/>
      <c r="DY1072" s="7"/>
      <c r="DZ1072" s="8">
        <f t="shared" si="266"/>
        <v>0</v>
      </c>
      <c r="EA1072" s="3">
        <f t="shared" si="267"/>
        <v>0</v>
      </c>
      <c r="EB1072" s="2">
        <f t="shared" si="268"/>
        <v>0</v>
      </c>
      <c r="EC1072" s="112">
        <f t="shared" si="276"/>
        <v>0</v>
      </c>
      <c r="ED1072" s="29">
        <f t="shared" si="269"/>
        <v>0</v>
      </c>
      <c r="EE1072" s="2">
        <f t="shared" si="270"/>
        <v>0</v>
      </c>
      <c r="EF1072" s="46">
        <f t="shared" si="271"/>
        <v>0</v>
      </c>
      <c r="EG1072" s="46">
        <f t="shared" si="272"/>
        <v>0</v>
      </c>
      <c r="EH1072" s="2">
        <f t="shared" si="273"/>
        <v>0</v>
      </c>
      <c r="EI1072" s="29">
        <f>IF(COUNT(I1072:AD1072)&lt;5,DZ1072,SUMPRODUCT(LARGE(I1072:AD1072,{1,2,3,4,5}))/5)</f>
        <v>0</v>
      </c>
      <c r="EJ1072" s="29">
        <f>IF(COUNT(I1072:BE1072)&lt;5,DZ1072,SUMPRODUCT(LARGE(I1072:BE1072,{1,2,3,4,5}))/5)</f>
        <v>0</v>
      </c>
      <c r="EK1072" s="29">
        <f t="shared" si="275"/>
        <v>0</v>
      </c>
      <c r="EL1072" s="29">
        <f t="shared" si="278"/>
        <v>0</v>
      </c>
      <c r="EM1072" s="116">
        <f t="shared" si="274"/>
        <v>0</v>
      </c>
    </row>
    <row r="1073" spans="1:143" x14ac:dyDescent="0.25">
      <c r="A1073" s="59"/>
      <c r="B1073" s="32"/>
      <c r="C1073" s="5"/>
      <c r="D1073" s="6"/>
      <c r="E1073" s="6"/>
      <c r="F1073" s="6"/>
      <c r="G1073" s="5"/>
      <c r="H1073" s="37"/>
      <c r="I1073" s="36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227"/>
      <c r="Z1073" s="228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4"/>
      <c r="AP1073" s="7"/>
      <c r="AQ1073" s="74"/>
      <c r="AR1073" s="70"/>
      <c r="AS1073" s="70"/>
      <c r="AT1073" s="70"/>
      <c r="AU1073" s="7"/>
      <c r="AV1073" s="70"/>
      <c r="AW1073" s="7"/>
      <c r="AX1073" s="8"/>
      <c r="AY1073" s="36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4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7"/>
      <c r="CI1073" s="7"/>
      <c r="CJ1073" s="7"/>
      <c r="CK1073" s="101"/>
      <c r="CL1073" s="74"/>
      <c r="CM1073" s="74"/>
      <c r="CN1073" s="74"/>
      <c r="CO1073" s="70"/>
      <c r="CP1073" s="101"/>
      <c r="CQ1073" s="7"/>
      <c r="CR1073" s="74"/>
      <c r="CS1073" s="74"/>
      <c r="CT1073" s="74"/>
      <c r="CU1073" s="74"/>
      <c r="CV1073" s="7"/>
      <c r="CW1073" s="7"/>
      <c r="CX1073" s="7"/>
      <c r="CY1073" s="7"/>
      <c r="CZ1073" s="7"/>
      <c r="DA1073" s="7"/>
      <c r="DB1073" s="7"/>
      <c r="DC1073" s="7"/>
      <c r="DD1073" s="7"/>
      <c r="DE1073" s="74"/>
      <c r="DF1073" s="74"/>
      <c r="DG1073" s="74"/>
      <c r="DH1073" s="7"/>
      <c r="DI1073" s="74"/>
      <c r="DJ1073" s="7"/>
      <c r="DK1073" s="7"/>
      <c r="DL1073" s="7"/>
      <c r="DM1073" s="7"/>
      <c r="DN1073" s="7"/>
      <c r="DO1073" s="7"/>
      <c r="DP1073" s="7"/>
      <c r="DQ1073" s="7"/>
      <c r="DR1073" s="7"/>
      <c r="DS1073" s="7"/>
      <c r="DT1073" s="7"/>
      <c r="DU1073" s="7"/>
      <c r="DV1073" s="7"/>
      <c r="DW1073" s="7"/>
      <c r="DX1073" s="7"/>
      <c r="DY1073" s="7"/>
      <c r="DZ1073" s="8">
        <f t="shared" si="266"/>
        <v>0</v>
      </c>
      <c r="EA1073" s="3">
        <f t="shared" si="267"/>
        <v>0</v>
      </c>
      <c r="EB1073" s="2">
        <f t="shared" si="268"/>
        <v>0</v>
      </c>
      <c r="EC1073" s="112">
        <f t="shared" si="276"/>
        <v>0</v>
      </c>
      <c r="ED1073" s="29">
        <f t="shared" si="269"/>
        <v>0</v>
      </c>
      <c r="EE1073" s="2">
        <f t="shared" si="270"/>
        <v>0</v>
      </c>
      <c r="EF1073" s="46">
        <f t="shared" si="271"/>
        <v>0</v>
      </c>
      <c r="EG1073" s="46">
        <f t="shared" si="272"/>
        <v>0</v>
      </c>
      <c r="EH1073" s="2">
        <f t="shared" si="273"/>
        <v>0</v>
      </c>
      <c r="EI1073" s="29">
        <f>IF(COUNT(I1073:AD1073)&lt;5,DZ1073,SUMPRODUCT(LARGE(I1073:AD1073,{1,2,3,4,5}))/5)</f>
        <v>0</v>
      </c>
      <c r="EJ1073" s="29">
        <f>IF(COUNT(I1073:BE1073)&lt;5,DZ1073,SUMPRODUCT(LARGE(I1073:BE1073,{1,2,3,4,5}))/5)</f>
        <v>0</v>
      </c>
      <c r="EK1073" s="29">
        <f t="shared" si="275"/>
        <v>0</v>
      </c>
      <c r="EL1073" s="29">
        <f t="shared" si="278"/>
        <v>0</v>
      </c>
      <c r="EM1073" s="116">
        <f t="shared" si="274"/>
        <v>0</v>
      </c>
    </row>
    <row r="1074" spans="1:143" x14ac:dyDescent="0.25">
      <c r="A1074" s="59"/>
      <c r="B1074" s="4"/>
      <c r="C1074" s="5"/>
      <c r="D1074" s="5"/>
      <c r="E1074" s="6"/>
      <c r="F1074" s="6"/>
      <c r="G1074" s="5"/>
      <c r="H1074" s="37"/>
      <c r="I1074" s="36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227"/>
      <c r="Z1074" s="228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4"/>
      <c r="AP1074" s="7"/>
      <c r="AQ1074" s="74"/>
      <c r="AR1074" s="70"/>
      <c r="AS1074" s="70"/>
      <c r="AT1074" s="70"/>
      <c r="AU1074" s="7"/>
      <c r="AV1074" s="70"/>
      <c r="AW1074" s="7"/>
      <c r="AX1074" s="8"/>
      <c r="AY1074" s="36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4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  <c r="BZ1074" s="7"/>
      <c r="CA1074" s="7"/>
      <c r="CB1074" s="7"/>
      <c r="CC1074" s="7"/>
      <c r="CD1074" s="7"/>
      <c r="CE1074" s="7"/>
      <c r="CF1074" s="7"/>
      <c r="CG1074" s="7"/>
      <c r="CH1074" s="7"/>
      <c r="CI1074" s="7"/>
      <c r="CJ1074" s="7"/>
      <c r="CK1074" s="101"/>
      <c r="CL1074" s="74"/>
      <c r="CM1074" s="74"/>
      <c r="CN1074" s="74"/>
      <c r="CO1074" s="70"/>
      <c r="CP1074" s="101"/>
      <c r="CQ1074" s="7"/>
      <c r="CR1074" s="74"/>
      <c r="CS1074" s="74"/>
      <c r="CT1074" s="74"/>
      <c r="CU1074" s="74"/>
      <c r="CV1074" s="74"/>
      <c r="CW1074" s="7"/>
      <c r="CX1074" s="7"/>
      <c r="CY1074" s="7"/>
      <c r="CZ1074" s="7"/>
      <c r="DA1074" s="7"/>
      <c r="DB1074" s="7"/>
      <c r="DC1074" s="7"/>
      <c r="DD1074" s="7"/>
      <c r="DE1074" s="74"/>
      <c r="DF1074" s="74"/>
      <c r="DG1074" s="74"/>
      <c r="DH1074" s="74"/>
      <c r="DI1074" s="74"/>
      <c r="DJ1074" s="7"/>
      <c r="DK1074" s="7"/>
      <c r="DL1074" s="7"/>
      <c r="DM1074" s="7"/>
      <c r="DN1074" s="7"/>
      <c r="DO1074" s="7"/>
      <c r="DP1074" s="7"/>
      <c r="DQ1074" s="7"/>
      <c r="DR1074" s="7"/>
      <c r="DS1074" s="7"/>
      <c r="DT1074" s="7"/>
      <c r="DU1074" s="7"/>
      <c r="DV1074" s="7"/>
      <c r="DW1074" s="7"/>
      <c r="DX1074" s="7"/>
      <c r="DY1074" s="7"/>
      <c r="DZ1074" s="8">
        <f t="shared" si="266"/>
        <v>0</v>
      </c>
      <c r="EA1074" s="3">
        <f t="shared" si="267"/>
        <v>0</v>
      </c>
      <c r="EB1074" s="2">
        <f t="shared" si="268"/>
        <v>0</v>
      </c>
      <c r="EC1074" s="112">
        <f t="shared" si="276"/>
        <v>0</v>
      </c>
      <c r="ED1074" s="29">
        <f t="shared" si="269"/>
        <v>0</v>
      </c>
      <c r="EE1074" s="2">
        <f t="shared" si="270"/>
        <v>0</v>
      </c>
      <c r="EF1074" s="46">
        <f t="shared" si="271"/>
        <v>0</v>
      </c>
      <c r="EG1074" s="46">
        <f t="shared" si="272"/>
        <v>0</v>
      </c>
      <c r="EH1074" s="2">
        <f t="shared" si="273"/>
        <v>0</v>
      </c>
      <c r="EI1074" s="29">
        <f>IF(COUNT(I1074:AD1074)&lt;5,DZ1074,SUMPRODUCT(LARGE(I1074:AD1074,{1,2,3,4,5}))/5)</f>
        <v>0</v>
      </c>
      <c r="EJ1074" s="29">
        <f>IF(COUNT(I1074:BE1074)&lt;5,DZ1074,SUMPRODUCT(LARGE(I1074:BE1074,{1,2,3,4,5}))/5)</f>
        <v>0</v>
      </c>
      <c r="EK1074" s="29">
        <f t="shared" si="275"/>
        <v>0</v>
      </c>
      <c r="EL1074" s="29">
        <f t="shared" si="278"/>
        <v>0</v>
      </c>
      <c r="EM1074" s="116">
        <f t="shared" si="274"/>
        <v>0</v>
      </c>
    </row>
    <row r="1075" spans="1:143" x14ac:dyDescent="0.25">
      <c r="A1075" s="59"/>
      <c r="B1075" s="32"/>
      <c r="C1075" s="5"/>
      <c r="D1075" s="6"/>
      <c r="E1075" s="6"/>
      <c r="F1075" s="6"/>
      <c r="G1075" s="5"/>
      <c r="H1075" s="37"/>
      <c r="I1075" s="107"/>
      <c r="J1075" s="7"/>
      <c r="K1075" s="74"/>
      <c r="L1075" s="7"/>
      <c r="M1075" s="74"/>
      <c r="N1075" s="74"/>
      <c r="O1075" s="7"/>
      <c r="P1075" s="74"/>
      <c r="Q1075" s="7"/>
      <c r="R1075" s="74"/>
      <c r="S1075" s="74"/>
      <c r="T1075" s="7"/>
      <c r="U1075" s="7"/>
      <c r="V1075" s="74"/>
      <c r="W1075" s="7"/>
      <c r="X1075" s="74"/>
      <c r="Y1075" s="227"/>
      <c r="Z1075" s="228"/>
      <c r="AA1075" s="74"/>
      <c r="AB1075" s="74"/>
      <c r="AC1075" s="74"/>
      <c r="AD1075" s="74"/>
      <c r="AE1075" s="7"/>
      <c r="AF1075" s="74"/>
      <c r="AG1075" s="74"/>
      <c r="AH1075" s="7"/>
      <c r="AI1075" s="7"/>
      <c r="AJ1075" s="7"/>
      <c r="AK1075" s="7"/>
      <c r="AL1075" s="7"/>
      <c r="AM1075" s="7"/>
      <c r="AN1075" s="7"/>
      <c r="AO1075" s="74"/>
      <c r="AP1075" s="7"/>
      <c r="AQ1075" s="74"/>
      <c r="AR1075" s="101"/>
      <c r="AS1075" s="70"/>
      <c r="AT1075" s="101"/>
      <c r="AU1075" s="7"/>
      <c r="AV1075" s="101"/>
      <c r="AW1075" s="7"/>
      <c r="AX1075" s="8"/>
      <c r="AY1075" s="36"/>
      <c r="AZ1075" s="74"/>
      <c r="BA1075" s="74"/>
      <c r="BB1075" s="74"/>
      <c r="BC1075" s="74"/>
      <c r="BD1075" s="74"/>
      <c r="BE1075" s="74"/>
      <c r="BF1075" s="74"/>
      <c r="BG1075" s="74"/>
      <c r="BH1075" s="74"/>
      <c r="BI1075" s="74"/>
      <c r="BJ1075" s="74"/>
      <c r="BK1075" s="7"/>
      <c r="BL1075" s="74"/>
      <c r="BM1075" s="7"/>
      <c r="BN1075" s="74"/>
      <c r="BO1075" s="74"/>
      <c r="BP1075" s="74"/>
      <c r="BQ1075" s="74"/>
      <c r="BR1075" s="74"/>
      <c r="BS1075" s="74"/>
      <c r="BT1075" s="74"/>
      <c r="BU1075" s="74"/>
      <c r="BV1075" s="74"/>
      <c r="BW1075" s="74"/>
      <c r="BX1075" s="74"/>
      <c r="BY1075" s="74"/>
      <c r="BZ1075" s="74"/>
      <c r="CA1075" s="74"/>
      <c r="CB1075" s="74"/>
      <c r="CC1075" s="74"/>
      <c r="CD1075" s="74"/>
      <c r="CE1075" s="7"/>
      <c r="CF1075" s="74"/>
      <c r="CG1075" s="74"/>
      <c r="CH1075" s="7"/>
      <c r="CI1075" s="74"/>
      <c r="CJ1075" s="74"/>
      <c r="CK1075" s="101"/>
      <c r="CL1075" s="74"/>
      <c r="CM1075" s="74"/>
      <c r="CN1075" s="74"/>
      <c r="CO1075" s="101"/>
      <c r="CP1075" s="101"/>
      <c r="CQ1075" s="74"/>
      <c r="CR1075" s="74"/>
      <c r="CS1075" s="74"/>
      <c r="CT1075" s="74"/>
      <c r="CU1075" s="74"/>
      <c r="CV1075" s="74"/>
      <c r="CW1075" s="74"/>
      <c r="CX1075" s="74"/>
      <c r="CY1075" s="74"/>
      <c r="CZ1075" s="74"/>
      <c r="DA1075" s="74"/>
      <c r="DB1075" s="74"/>
      <c r="DC1075" s="74"/>
      <c r="DD1075" s="74"/>
      <c r="DE1075" s="74"/>
      <c r="DF1075" s="74"/>
      <c r="DG1075" s="74"/>
      <c r="DH1075" s="74"/>
      <c r="DI1075" s="74"/>
      <c r="DJ1075" s="74"/>
      <c r="DK1075" s="74"/>
      <c r="DL1075" s="74"/>
      <c r="DM1075" s="74"/>
      <c r="DN1075" s="74"/>
      <c r="DO1075" s="74"/>
      <c r="DP1075" s="74"/>
      <c r="DQ1075" s="74"/>
      <c r="DR1075" s="74"/>
      <c r="DS1075" s="74"/>
      <c r="DT1075" s="74"/>
      <c r="DU1075" s="74"/>
      <c r="DV1075" s="74"/>
      <c r="DW1075" s="74"/>
      <c r="DX1075" s="74"/>
      <c r="DY1075" s="74"/>
      <c r="DZ1075" s="8">
        <f t="shared" si="266"/>
        <v>0</v>
      </c>
      <c r="EA1075" s="3">
        <f t="shared" si="267"/>
        <v>0</v>
      </c>
      <c r="EB1075" s="2">
        <f t="shared" si="268"/>
        <v>0</v>
      </c>
      <c r="EC1075" s="112">
        <f t="shared" si="276"/>
        <v>0</v>
      </c>
      <c r="ED1075" s="29">
        <f t="shared" si="269"/>
        <v>0</v>
      </c>
      <c r="EE1075" s="2">
        <f t="shared" si="270"/>
        <v>0</v>
      </c>
      <c r="EF1075" s="46">
        <f t="shared" si="271"/>
        <v>0</v>
      </c>
      <c r="EG1075" s="46">
        <f t="shared" si="272"/>
        <v>0</v>
      </c>
      <c r="EH1075" s="2">
        <f t="shared" si="273"/>
        <v>0</v>
      </c>
      <c r="EI1075" s="29">
        <f>IF(COUNT(I1075:AD1075)&lt;5,DZ1075,SUMPRODUCT(LARGE(I1075:AD1075,{1,2,3,4,5}))/5)</f>
        <v>0</v>
      </c>
      <c r="EJ1075" s="29">
        <f>IF(COUNT(I1075:BE1075)&lt;5,DZ1075,SUMPRODUCT(LARGE(I1075:BE1075,{1,2,3,4,5}))/5)</f>
        <v>0</v>
      </c>
      <c r="EK1075" s="29">
        <f t="shared" si="275"/>
        <v>0</v>
      </c>
      <c r="EL1075" s="29">
        <f t="shared" si="278"/>
        <v>0</v>
      </c>
      <c r="EM1075" s="116">
        <f t="shared" si="274"/>
        <v>0</v>
      </c>
    </row>
    <row r="1076" spans="1:143" x14ac:dyDescent="0.25">
      <c r="A1076" s="59"/>
      <c r="B1076" s="32"/>
      <c r="C1076" s="5"/>
      <c r="D1076" s="6"/>
      <c r="E1076" s="6"/>
      <c r="F1076" s="6"/>
      <c r="G1076" s="5"/>
      <c r="H1076" s="37"/>
      <c r="I1076" s="36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227"/>
      <c r="Z1076" s="228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4"/>
      <c r="AP1076" s="7"/>
      <c r="AQ1076" s="74"/>
      <c r="AR1076" s="70"/>
      <c r="AS1076" s="70"/>
      <c r="AT1076" s="70"/>
      <c r="AU1076" s="7"/>
      <c r="AV1076" s="70"/>
      <c r="AW1076" s="7"/>
      <c r="AX1076" s="8"/>
      <c r="AY1076" s="36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4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  <c r="BZ1076" s="7"/>
      <c r="CA1076" s="7"/>
      <c r="CB1076" s="7"/>
      <c r="CC1076" s="7"/>
      <c r="CD1076" s="7"/>
      <c r="CE1076" s="7"/>
      <c r="CF1076" s="7"/>
      <c r="CG1076" s="7"/>
      <c r="CH1076" s="7"/>
      <c r="CI1076" s="7"/>
      <c r="CJ1076" s="7"/>
      <c r="CK1076" s="101"/>
      <c r="CL1076" s="74"/>
      <c r="CM1076" s="74"/>
      <c r="CN1076" s="74"/>
      <c r="CO1076" s="70"/>
      <c r="CP1076" s="101"/>
      <c r="CQ1076" s="7"/>
      <c r="CR1076" s="74"/>
      <c r="CS1076" s="74"/>
      <c r="CT1076" s="74"/>
      <c r="CU1076" s="74"/>
      <c r="CV1076" s="7"/>
      <c r="CW1076" s="7"/>
      <c r="CX1076" s="7"/>
      <c r="CY1076" s="7"/>
      <c r="CZ1076" s="7"/>
      <c r="DA1076" s="7"/>
      <c r="DB1076" s="7"/>
      <c r="DC1076" s="7"/>
      <c r="DD1076" s="7"/>
      <c r="DE1076" s="74"/>
      <c r="DF1076" s="74"/>
      <c r="DG1076" s="74"/>
      <c r="DH1076" s="7"/>
      <c r="DI1076" s="74"/>
      <c r="DJ1076" s="7"/>
      <c r="DK1076" s="7"/>
      <c r="DL1076" s="7"/>
      <c r="DM1076" s="7"/>
      <c r="DN1076" s="7"/>
      <c r="DO1076" s="7"/>
      <c r="DP1076" s="7"/>
      <c r="DQ1076" s="7"/>
      <c r="DR1076" s="7"/>
      <c r="DS1076" s="7"/>
      <c r="DT1076" s="7"/>
      <c r="DU1076" s="7"/>
      <c r="DV1076" s="7"/>
      <c r="DW1076" s="7"/>
      <c r="DX1076" s="7"/>
      <c r="DY1076" s="7"/>
      <c r="DZ1076" s="8">
        <f t="shared" si="266"/>
        <v>0</v>
      </c>
      <c r="EA1076" s="3">
        <f t="shared" si="267"/>
        <v>0</v>
      </c>
      <c r="EB1076" s="2">
        <f t="shared" si="268"/>
        <v>0</v>
      </c>
      <c r="EC1076" s="112">
        <f t="shared" si="276"/>
        <v>0</v>
      </c>
      <c r="ED1076" s="29">
        <f t="shared" si="269"/>
        <v>0</v>
      </c>
      <c r="EE1076" s="2">
        <f t="shared" si="270"/>
        <v>0</v>
      </c>
      <c r="EF1076" s="46">
        <f t="shared" si="271"/>
        <v>0</v>
      </c>
      <c r="EG1076" s="46">
        <f t="shared" si="272"/>
        <v>0</v>
      </c>
      <c r="EH1076" s="2">
        <f t="shared" si="273"/>
        <v>0</v>
      </c>
      <c r="EI1076" s="29">
        <f>IF(COUNT(I1076:AD1076)&lt;5,DZ1076,SUMPRODUCT(LARGE(I1076:AD1076,{1,2,3,4,5}))/5)</f>
        <v>0</v>
      </c>
      <c r="EJ1076" s="29">
        <f>IF(COUNT(I1076:BE1076)&lt;5,DZ1076,SUMPRODUCT(LARGE(I1076:BE1076,{1,2,3,4,5}))/5)</f>
        <v>0</v>
      </c>
      <c r="EK1076" s="29">
        <f t="shared" si="275"/>
        <v>0</v>
      </c>
      <c r="EL1076" s="29">
        <f t="shared" si="278"/>
        <v>0</v>
      </c>
      <c r="EM1076" s="116">
        <f t="shared" si="274"/>
        <v>0</v>
      </c>
    </row>
    <row r="1077" spans="1:143" x14ac:dyDescent="0.25">
      <c r="A1077" s="59"/>
      <c r="B1077" s="32"/>
      <c r="C1077" s="5"/>
      <c r="D1077" s="6"/>
      <c r="E1077" s="6"/>
      <c r="F1077" s="6"/>
      <c r="G1077" s="5"/>
      <c r="H1077" s="99"/>
      <c r="I1077" s="36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227"/>
      <c r="Z1077" s="228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4"/>
      <c r="AP1077" s="7"/>
      <c r="AQ1077" s="74"/>
      <c r="AR1077" s="70"/>
      <c r="AS1077" s="70"/>
      <c r="AT1077" s="70"/>
      <c r="AU1077" s="7"/>
      <c r="AV1077" s="70"/>
      <c r="AW1077" s="7"/>
      <c r="AX1077" s="8"/>
      <c r="AY1077" s="36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4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  <c r="BZ1077" s="7"/>
      <c r="CA1077" s="7"/>
      <c r="CB1077" s="7"/>
      <c r="CC1077" s="7"/>
      <c r="CD1077" s="7"/>
      <c r="CE1077" s="7"/>
      <c r="CF1077" s="7"/>
      <c r="CG1077" s="7"/>
      <c r="CH1077" s="7"/>
      <c r="CI1077" s="7"/>
      <c r="CJ1077" s="7"/>
      <c r="CK1077" s="101"/>
      <c r="CL1077" s="74"/>
      <c r="CM1077" s="74"/>
      <c r="CN1077" s="74"/>
      <c r="CO1077" s="70"/>
      <c r="CP1077" s="101"/>
      <c r="CQ1077" s="7"/>
      <c r="CR1077" s="74"/>
      <c r="CS1077" s="74"/>
      <c r="CT1077" s="74"/>
      <c r="CU1077" s="74"/>
      <c r="CV1077" s="7"/>
      <c r="CW1077" s="7"/>
      <c r="CX1077" s="7"/>
      <c r="CY1077" s="7"/>
      <c r="CZ1077" s="7"/>
      <c r="DA1077" s="7"/>
      <c r="DB1077" s="7"/>
      <c r="DC1077" s="7"/>
      <c r="DD1077" s="7"/>
      <c r="DE1077" s="74"/>
      <c r="DF1077" s="74"/>
      <c r="DG1077" s="74"/>
      <c r="DH1077" s="7"/>
      <c r="DI1077" s="74"/>
      <c r="DJ1077" s="7"/>
      <c r="DK1077" s="7"/>
      <c r="DL1077" s="7"/>
      <c r="DM1077" s="7"/>
      <c r="DN1077" s="7"/>
      <c r="DO1077" s="7"/>
      <c r="DP1077" s="7"/>
      <c r="DQ1077" s="7"/>
      <c r="DR1077" s="7"/>
      <c r="DS1077" s="7"/>
      <c r="DT1077" s="7"/>
      <c r="DU1077" s="7"/>
      <c r="DV1077" s="7"/>
      <c r="DW1077" s="7"/>
      <c r="DX1077" s="7"/>
      <c r="DY1077" s="7"/>
      <c r="DZ1077" s="8">
        <f t="shared" si="266"/>
        <v>0</v>
      </c>
      <c r="EA1077" s="3">
        <f t="shared" si="267"/>
        <v>0</v>
      </c>
      <c r="EB1077" s="2">
        <f t="shared" si="268"/>
        <v>0</v>
      </c>
      <c r="EC1077" s="112">
        <f t="shared" si="276"/>
        <v>0</v>
      </c>
      <c r="ED1077" s="29">
        <f t="shared" si="269"/>
        <v>0</v>
      </c>
      <c r="EE1077" s="2">
        <f t="shared" si="270"/>
        <v>0</v>
      </c>
      <c r="EF1077" s="46">
        <f t="shared" si="271"/>
        <v>0</v>
      </c>
      <c r="EG1077" s="46">
        <f t="shared" si="272"/>
        <v>0</v>
      </c>
      <c r="EH1077" s="2">
        <f t="shared" si="273"/>
        <v>0</v>
      </c>
      <c r="EI1077" s="29">
        <f>IF(COUNT(I1077:AD1077)&lt;5,DZ1077,SUMPRODUCT(LARGE(I1077:AD1077,{1,2,3,4,5}))/5)</f>
        <v>0</v>
      </c>
      <c r="EJ1077" s="29">
        <f>IF(COUNT(I1077:BE1077)&lt;5,DZ1077,SUMPRODUCT(LARGE(I1077:BE1077,{1,2,3,4,5}))/5)</f>
        <v>0</v>
      </c>
      <c r="EK1077" s="29">
        <f t="shared" si="275"/>
        <v>0</v>
      </c>
      <c r="EL1077" s="29">
        <f>(EK1077*100)/101.59</f>
        <v>0</v>
      </c>
      <c r="EM1077" s="116">
        <f t="shared" si="274"/>
        <v>0</v>
      </c>
    </row>
    <row r="1078" spans="1:143" x14ac:dyDescent="0.25">
      <c r="A1078" s="59"/>
      <c r="B1078" s="4"/>
      <c r="C1078" s="5"/>
      <c r="D1078" s="5"/>
      <c r="E1078" s="6"/>
      <c r="F1078" s="6"/>
      <c r="G1078" s="5"/>
      <c r="H1078" s="37"/>
      <c r="I1078" s="36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227"/>
      <c r="Z1078" s="228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4"/>
      <c r="AP1078" s="7"/>
      <c r="AQ1078" s="74"/>
      <c r="AR1078" s="70"/>
      <c r="AS1078" s="70"/>
      <c r="AT1078" s="70"/>
      <c r="AU1078" s="7"/>
      <c r="AV1078" s="70"/>
      <c r="AW1078" s="7"/>
      <c r="AX1078" s="183"/>
      <c r="AY1078" s="10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4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  <c r="BZ1078" s="7"/>
      <c r="CA1078" s="7"/>
      <c r="CB1078" s="7"/>
      <c r="CC1078" s="7"/>
      <c r="CD1078" s="7"/>
      <c r="CE1078" s="7"/>
      <c r="CF1078" s="7"/>
      <c r="CG1078" s="7"/>
      <c r="CH1078" s="7"/>
      <c r="CI1078" s="7"/>
      <c r="CJ1078" s="7"/>
      <c r="CK1078" s="101"/>
      <c r="CL1078" s="74"/>
      <c r="CM1078" s="74"/>
      <c r="CN1078" s="74"/>
      <c r="CO1078" s="70"/>
      <c r="CP1078" s="101"/>
      <c r="CQ1078" s="7"/>
      <c r="CR1078" s="74"/>
      <c r="CS1078" s="74"/>
      <c r="CT1078" s="74"/>
      <c r="CU1078" s="74"/>
      <c r="CV1078" s="74"/>
      <c r="CW1078" s="7"/>
      <c r="CX1078" s="7"/>
      <c r="CY1078" s="7"/>
      <c r="CZ1078" s="7"/>
      <c r="DA1078" s="7"/>
      <c r="DB1078" s="7"/>
      <c r="DC1078" s="7"/>
      <c r="DD1078" s="7"/>
      <c r="DE1078" s="74"/>
      <c r="DF1078" s="74"/>
      <c r="DG1078" s="74"/>
      <c r="DH1078" s="74"/>
      <c r="DI1078" s="74"/>
      <c r="DJ1078" s="7"/>
      <c r="DK1078" s="7"/>
      <c r="DL1078" s="7"/>
      <c r="DM1078" s="7"/>
      <c r="DN1078" s="7"/>
      <c r="DO1078" s="7"/>
      <c r="DP1078" s="7"/>
      <c r="DQ1078" s="7"/>
      <c r="DR1078" s="7"/>
      <c r="DS1078" s="7"/>
      <c r="DT1078" s="7"/>
      <c r="DU1078" s="7"/>
      <c r="DV1078" s="7"/>
      <c r="DW1078" s="7"/>
      <c r="DX1078" s="7"/>
      <c r="DY1078" s="7"/>
      <c r="DZ1078" s="8">
        <f t="shared" si="266"/>
        <v>0</v>
      </c>
      <c r="EA1078" s="3">
        <f t="shared" si="267"/>
        <v>0</v>
      </c>
      <c r="EB1078" s="2">
        <f t="shared" si="268"/>
        <v>0</v>
      </c>
      <c r="EC1078" s="112">
        <f t="shared" si="276"/>
        <v>0</v>
      </c>
      <c r="ED1078" s="29">
        <f t="shared" si="269"/>
        <v>0</v>
      </c>
      <c r="EE1078" s="2">
        <f t="shared" si="270"/>
        <v>0</v>
      </c>
      <c r="EF1078" s="46">
        <f t="shared" si="271"/>
        <v>0</v>
      </c>
      <c r="EG1078" s="46">
        <f t="shared" si="272"/>
        <v>0</v>
      </c>
      <c r="EH1078" s="2">
        <f t="shared" si="273"/>
        <v>0</v>
      </c>
      <c r="EI1078" s="29">
        <f>IF(COUNT(I1078:AD1078)&lt;5,DZ1078,SUMPRODUCT(LARGE(I1078:AD1078,{1,2,3,4,5}))/5)</f>
        <v>0</v>
      </c>
      <c r="EJ1078" s="29">
        <f>IF(COUNT(I1078:BE1078)&lt;5,DZ1078,SUMPRODUCT(LARGE(I1078:BE1078,{1,2,3,4,5}))/5)</f>
        <v>0</v>
      </c>
      <c r="EK1078" s="29">
        <f t="shared" si="275"/>
        <v>0</v>
      </c>
      <c r="EL1078" s="29">
        <f t="shared" ref="EL1078:EL1083" si="279">(EK1078*100)/101.28</f>
        <v>0</v>
      </c>
      <c r="EM1078" s="116">
        <f t="shared" si="274"/>
        <v>0</v>
      </c>
    </row>
    <row r="1079" spans="1:143" x14ac:dyDescent="0.25">
      <c r="A1079" s="59"/>
      <c r="B1079" s="32"/>
      <c r="C1079" s="5"/>
      <c r="D1079" s="6"/>
      <c r="E1079" s="6"/>
      <c r="F1079" s="6"/>
      <c r="G1079" s="5"/>
      <c r="H1079" s="37"/>
      <c r="I1079" s="36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227"/>
      <c r="Z1079" s="228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4"/>
      <c r="AP1079" s="7"/>
      <c r="AQ1079" s="74"/>
      <c r="AR1079" s="70"/>
      <c r="AS1079" s="70"/>
      <c r="AT1079" s="70"/>
      <c r="AU1079" s="7"/>
      <c r="AV1079" s="70"/>
      <c r="AW1079" s="7"/>
      <c r="AX1079" s="8"/>
      <c r="AY1079" s="36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  <c r="BZ1079" s="7"/>
      <c r="CA1079" s="7"/>
      <c r="CB1079" s="7"/>
      <c r="CC1079" s="7"/>
      <c r="CD1079" s="7"/>
      <c r="CE1079" s="7"/>
      <c r="CF1079" s="7"/>
      <c r="CG1079" s="7"/>
      <c r="CH1079" s="7"/>
      <c r="CI1079" s="70"/>
      <c r="CJ1079" s="7"/>
      <c r="CK1079" s="101"/>
      <c r="CL1079" s="74"/>
      <c r="CM1079" s="74"/>
      <c r="CN1079" s="74"/>
      <c r="CO1079" s="70"/>
      <c r="CP1079" s="101"/>
      <c r="CQ1079" s="7"/>
      <c r="CR1079" s="74"/>
      <c r="CS1079" s="74"/>
      <c r="CT1079" s="74"/>
      <c r="CU1079" s="74"/>
      <c r="CV1079" s="74"/>
      <c r="CW1079" s="7"/>
      <c r="CX1079" s="7"/>
      <c r="CY1079" s="7"/>
      <c r="CZ1079" s="74"/>
      <c r="DA1079" s="7"/>
      <c r="DB1079" s="7"/>
      <c r="DC1079" s="7"/>
      <c r="DD1079" s="7"/>
      <c r="DE1079" s="74"/>
      <c r="DF1079" s="74"/>
      <c r="DG1079" s="74"/>
      <c r="DH1079" s="74"/>
      <c r="DI1079" s="74"/>
      <c r="DJ1079" s="7"/>
      <c r="DK1079" s="7"/>
      <c r="DL1079" s="7"/>
      <c r="DM1079" s="74"/>
      <c r="DN1079" s="7"/>
      <c r="DO1079" s="7"/>
      <c r="DP1079" s="7"/>
      <c r="DQ1079" s="7"/>
      <c r="DR1079" s="7"/>
      <c r="DS1079" s="7"/>
      <c r="DT1079" s="7"/>
      <c r="DU1079" s="7"/>
      <c r="DV1079" s="7"/>
      <c r="DW1079" s="7"/>
      <c r="DX1079" s="7"/>
      <c r="DY1079" s="7"/>
      <c r="DZ1079" s="8">
        <f t="shared" si="266"/>
        <v>0</v>
      </c>
      <c r="EA1079" s="3">
        <f t="shared" si="267"/>
        <v>0</v>
      </c>
      <c r="EB1079" s="2">
        <f t="shared" si="268"/>
        <v>0</v>
      </c>
      <c r="EC1079" s="112">
        <f t="shared" si="276"/>
        <v>0</v>
      </c>
      <c r="ED1079" s="29">
        <f t="shared" si="269"/>
        <v>0</v>
      </c>
      <c r="EE1079" s="2">
        <f t="shared" si="270"/>
        <v>0</v>
      </c>
      <c r="EF1079" s="46">
        <f t="shared" si="271"/>
        <v>0</v>
      </c>
      <c r="EG1079" s="46">
        <f t="shared" si="272"/>
        <v>0</v>
      </c>
      <c r="EH1079" s="2">
        <f t="shared" si="273"/>
        <v>0</v>
      </c>
      <c r="EI1079" s="29">
        <f>IF(COUNT(I1079:AD1079)&lt;5,DZ1079,SUMPRODUCT(LARGE(I1079:AD1079,{1,2,3,4,5}))/5)</f>
        <v>0</v>
      </c>
      <c r="EJ1079" s="29">
        <f>IF(COUNT(I1079:BE1079)&lt;5,DZ1079,SUMPRODUCT(LARGE(I1079:BE1079,{1,2,3,4,5}))/5)</f>
        <v>0</v>
      </c>
      <c r="EK1079" s="29">
        <f t="shared" si="275"/>
        <v>0</v>
      </c>
      <c r="EL1079" s="29">
        <f t="shared" si="279"/>
        <v>0</v>
      </c>
      <c r="EM1079" s="116">
        <f t="shared" si="274"/>
        <v>0</v>
      </c>
    </row>
    <row r="1080" spans="1:143" x14ac:dyDescent="0.25">
      <c r="A1080" s="59"/>
      <c r="B1080" s="32"/>
      <c r="C1080" s="5"/>
      <c r="D1080" s="6"/>
      <c r="E1080" s="6"/>
      <c r="F1080" s="6"/>
      <c r="G1080" s="5"/>
      <c r="H1080" s="37"/>
      <c r="I1080" s="36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227"/>
      <c r="Z1080" s="228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4"/>
      <c r="AP1080" s="7"/>
      <c r="AQ1080" s="74"/>
      <c r="AR1080" s="70"/>
      <c r="AS1080" s="70"/>
      <c r="AT1080" s="70"/>
      <c r="AU1080" s="7"/>
      <c r="AV1080" s="70"/>
      <c r="AW1080" s="7"/>
      <c r="AX1080" s="8"/>
      <c r="AY1080" s="36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4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7"/>
      <c r="CG1080" s="7"/>
      <c r="CH1080" s="7"/>
      <c r="CI1080" s="7"/>
      <c r="CJ1080" s="70"/>
      <c r="CK1080" s="101"/>
      <c r="CL1080" s="74"/>
      <c r="CM1080" s="74"/>
      <c r="CN1080" s="74"/>
      <c r="CO1080" s="70"/>
      <c r="CP1080" s="101"/>
      <c r="CQ1080" s="7"/>
      <c r="CR1080" s="74"/>
      <c r="CS1080" s="74"/>
      <c r="CT1080" s="74"/>
      <c r="CU1080" s="74"/>
      <c r="CV1080" s="74"/>
      <c r="CW1080" s="7"/>
      <c r="CX1080" s="7"/>
      <c r="CY1080" s="7"/>
      <c r="CZ1080" s="7"/>
      <c r="DA1080" s="7"/>
      <c r="DB1080" s="7"/>
      <c r="DC1080" s="7"/>
      <c r="DD1080" s="7"/>
      <c r="DE1080" s="74"/>
      <c r="DF1080" s="74"/>
      <c r="DG1080" s="74"/>
      <c r="DH1080" s="74"/>
      <c r="DI1080" s="74"/>
      <c r="DJ1080" s="7"/>
      <c r="DK1080" s="7"/>
      <c r="DL1080" s="7"/>
      <c r="DM1080" s="7"/>
      <c r="DN1080" s="7"/>
      <c r="DO1080" s="7"/>
      <c r="DP1080" s="7"/>
      <c r="DQ1080" s="7"/>
      <c r="DR1080" s="7"/>
      <c r="DS1080" s="7"/>
      <c r="DT1080" s="7"/>
      <c r="DU1080" s="7"/>
      <c r="DV1080" s="7"/>
      <c r="DW1080" s="7"/>
      <c r="DX1080" s="7"/>
      <c r="DY1080" s="7"/>
      <c r="DZ1080" s="8">
        <f t="shared" si="266"/>
        <v>0</v>
      </c>
      <c r="EA1080" s="3">
        <f t="shared" si="267"/>
        <v>0</v>
      </c>
      <c r="EB1080" s="2">
        <f t="shared" si="268"/>
        <v>0</v>
      </c>
      <c r="EC1080" s="112">
        <f t="shared" si="276"/>
        <v>0</v>
      </c>
      <c r="ED1080" s="29">
        <f t="shared" si="269"/>
        <v>0</v>
      </c>
      <c r="EE1080" s="2">
        <f t="shared" si="270"/>
        <v>0</v>
      </c>
      <c r="EF1080" s="46">
        <f t="shared" si="271"/>
        <v>0</v>
      </c>
      <c r="EG1080" s="46">
        <f t="shared" si="272"/>
        <v>0</v>
      </c>
      <c r="EH1080" s="2">
        <f t="shared" si="273"/>
        <v>0</v>
      </c>
      <c r="EI1080" s="29">
        <f>IF(COUNT(I1080:AD1080)&lt;5,DZ1080,SUMPRODUCT(LARGE(I1080:AD1080,{1,2,3,4,5}))/5)</f>
        <v>0</v>
      </c>
      <c r="EJ1080" s="29">
        <f>IF(COUNT(I1080:BE1080)&lt;5,DZ1080,SUMPRODUCT(LARGE(I1080:BE1080,{1,2,3,4,5}))/5)</f>
        <v>0</v>
      </c>
      <c r="EK1080" s="29">
        <f t="shared" si="275"/>
        <v>0</v>
      </c>
      <c r="EL1080" s="29">
        <f t="shared" si="279"/>
        <v>0</v>
      </c>
      <c r="EM1080" s="116">
        <f t="shared" si="274"/>
        <v>0</v>
      </c>
    </row>
    <row r="1081" spans="1:143" x14ac:dyDescent="0.25">
      <c r="A1081" s="59"/>
      <c r="B1081" s="32"/>
      <c r="C1081" s="5"/>
      <c r="D1081" s="6"/>
      <c r="E1081" s="6"/>
      <c r="F1081" s="6"/>
      <c r="G1081" s="5"/>
      <c r="H1081" s="37"/>
      <c r="I1081" s="36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227"/>
      <c r="Z1081" s="228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4"/>
      <c r="AP1081" s="7"/>
      <c r="AQ1081" s="74"/>
      <c r="AR1081" s="70"/>
      <c r="AS1081" s="70"/>
      <c r="AT1081" s="70"/>
      <c r="AU1081" s="7"/>
      <c r="AV1081" s="70"/>
      <c r="AW1081" s="7"/>
      <c r="AX1081" s="8"/>
      <c r="AY1081" s="36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4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  <c r="BZ1081" s="7"/>
      <c r="CA1081" s="7"/>
      <c r="CB1081" s="7"/>
      <c r="CC1081" s="7"/>
      <c r="CD1081" s="7"/>
      <c r="CE1081" s="7"/>
      <c r="CF1081" s="7"/>
      <c r="CG1081" s="7"/>
      <c r="CH1081" s="7"/>
      <c r="CI1081" s="7"/>
      <c r="CJ1081" s="7"/>
      <c r="CK1081" s="101"/>
      <c r="CL1081" s="74"/>
      <c r="CM1081" s="74"/>
      <c r="CN1081" s="74"/>
      <c r="CO1081" s="70"/>
      <c r="CP1081" s="101"/>
      <c r="CQ1081" s="7"/>
      <c r="CR1081" s="74"/>
      <c r="CS1081" s="74"/>
      <c r="CT1081" s="74"/>
      <c r="CU1081" s="74"/>
      <c r="CV1081" s="74"/>
      <c r="CW1081" s="7"/>
      <c r="CX1081" s="7"/>
      <c r="CY1081" s="7"/>
      <c r="CZ1081" s="7"/>
      <c r="DA1081" s="7"/>
      <c r="DB1081" s="7"/>
      <c r="DC1081" s="7"/>
      <c r="DD1081" s="7"/>
      <c r="DE1081" s="74"/>
      <c r="DF1081" s="74"/>
      <c r="DG1081" s="74"/>
      <c r="DH1081" s="74"/>
      <c r="DI1081" s="74"/>
      <c r="DJ1081" s="7"/>
      <c r="DK1081" s="7"/>
      <c r="DL1081" s="7"/>
      <c r="DM1081" s="7"/>
      <c r="DN1081" s="7"/>
      <c r="DO1081" s="7"/>
      <c r="DP1081" s="7"/>
      <c r="DQ1081" s="7"/>
      <c r="DR1081" s="7"/>
      <c r="DS1081" s="7"/>
      <c r="DT1081" s="7"/>
      <c r="DU1081" s="7"/>
      <c r="DV1081" s="7"/>
      <c r="DW1081" s="7"/>
      <c r="DX1081" s="7"/>
      <c r="DY1081" s="7"/>
      <c r="DZ1081" s="8">
        <f t="shared" si="266"/>
        <v>0</v>
      </c>
      <c r="EA1081" s="3">
        <f t="shared" si="267"/>
        <v>0</v>
      </c>
      <c r="EB1081" s="2">
        <f t="shared" si="268"/>
        <v>0</v>
      </c>
      <c r="EC1081" s="112">
        <f t="shared" si="276"/>
        <v>0</v>
      </c>
      <c r="ED1081" s="29">
        <f t="shared" si="269"/>
        <v>0</v>
      </c>
      <c r="EE1081" s="2">
        <f t="shared" si="270"/>
        <v>0</v>
      </c>
      <c r="EF1081" s="46">
        <f t="shared" si="271"/>
        <v>0</v>
      </c>
      <c r="EG1081" s="46">
        <f t="shared" si="272"/>
        <v>0</v>
      </c>
      <c r="EH1081" s="2">
        <f t="shared" si="273"/>
        <v>0</v>
      </c>
      <c r="EI1081" s="29">
        <f>IF(COUNT(I1081:AD1081)&lt;5,DZ1081,SUMPRODUCT(LARGE(I1081:AD1081,{1,2,3,4,5}))/5)</f>
        <v>0</v>
      </c>
      <c r="EJ1081" s="29">
        <f>IF(COUNT(I1081:BE1081)&lt;5,DZ1081,SUMPRODUCT(LARGE(I1081:BE1081,{1,2,3,4,5}))/5)</f>
        <v>0</v>
      </c>
      <c r="EK1081" s="29">
        <f t="shared" si="275"/>
        <v>0</v>
      </c>
      <c r="EL1081" s="29">
        <f t="shared" si="279"/>
        <v>0</v>
      </c>
      <c r="EM1081" s="116">
        <f t="shared" si="274"/>
        <v>0</v>
      </c>
    </row>
    <row r="1082" spans="1:143" x14ac:dyDescent="0.25">
      <c r="A1082" s="59"/>
      <c r="B1082" s="32"/>
      <c r="C1082" s="5"/>
      <c r="D1082" s="6"/>
      <c r="E1082" s="6"/>
      <c r="F1082" s="6"/>
      <c r="G1082" s="5"/>
      <c r="H1082" s="37"/>
      <c r="I1082" s="107"/>
      <c r="J1082" s="7"/>
      <c r="K1082" s="74"/>
      <c r="L1082" s="7"/>
      <c r="M1082" s="74"/>
      <c r="N1082" s="74"/>
      <c r="O1082" s="7"/>
      <c r="P1082" s="74"/>
      <c r="Q1082" s="7"/>
      <c r="R1082" s="74"/>
      <c r="S1082" s="74"/>
      <c r="T1082" s="7"/>
      <c r="U1082" s="7"/>
      <c r="V1082" s="74"/>
      <c r="W1082" s="7"/>
      <c r="X1082" s="74"/>
      <c r="Y1082" s="227"/>
      <c r="Z1082" s="228"/>
      <c r="AA1082" s="74"/>
      <c r="AB1082" s="74"/>
      <c r="AC1082" s="74"/>
      <c r="AD1082" s="74"/>
      <c r="AE1082" s="7"/>
      <c r="AF1082" s="74"/>
      <c r="AG1082" s="74"/>
      <c r="AH1082" s="7"/>
      <c r="AI1082" s="7"/>
      <c r="AJ1082" s="7"/>
      <c r="AK1082" s="7"/>
      <c r="AL1082" s="7"/>
      <c r="AM1082" s="7"/>
      <c r="AN1082" s="7"/>
      <c r="AO1082" s="74"/>
      <c r="AP1082" s="7"/>
      <c r="AQ1082" s="74"/>
      <c r="AR1082" s="101"/>
      <c r="AS1082" s="70"/>
      <c r="AT1082" s="101"/>
      <c r="AU1082" s="7"/>
      <c r="AV1082" s="101"/>
      <c r="AW1082" s="7"/>
      <c r="AX1082" s="8"/>
      <c r="AY1082" s="36"/>
      <c r="AZ1082" s="74"/>
      <c r="BA1082" s="74"/>
      <c r="BB1082" s="74"/>
      <c r="BC1082" s="74"/>
      <c r="BD1082" s="74"/>
      <c r="BE1082" s="74"/>
      <c r="BF1082" s="74"/>
      <c r="BG1082" s="74"/>
      <c r="BH1082" s="74"/>
      <c r="BI1082" s="74"/>
      <c r="BJ1082" s="74"/>
      <c r="BK1082" s="7"/>
      <c r="BL1082" s="74"/>
      <c r="BM1082" s="7"/>
      <c r="BN1082" s="74"/>
      <c r="BO1082" s="74"/>
      <c r="BP1082" s="74"/>
      <c r="BQ1082" s="74"/>
      <c r="BR1082" s="74"/>
      <c r="BS1082" s="74"/>
      <c r="BT1082" s="74"/>
      <c r="BU1082" s="74"/>
      <c r="BV1082" s="74"/>
      <c r="BW1082" s="74"/>
      <c r="BX1082" s="74"/>
      <c r="BY1082" s="74"/>
      <c r="BZ1082" s="74"/>
      <c r="CA1082" s="74"/>
      <c r="CB1082" s="74"/>
      <c r="CC1082" s="74"/>
      <c r="CD1082" s="74"/>
      <c r="CE1082" s="7"/>
      <c r="CF1082" s="74"/>
      <c r="CG1082" s="74"/>
      <c r="CH1082" s="7"/>
      <c r="CI1082" s="74"/>
      <c r="CJ1082" s="74"/>
      <c r="CK1082" s="101"/>
      <c r="CL1082" s="74"/>
      <c r="CM1082" s="74"/>
      <c r="CN1082" s="74"/>
      <c r="CO1082" s="101"/>
      <c r="CP1082" s="101"/>
      <c r="CQ1082" s="74"/>
      <c r="CR1082" s="74"/>
      <c r="CS1082" s="74"/>
      <c r="CT1082" s="74"/>
      <c r="CU1082" s="74"/>
      <c r="CV1082" s="74"/>
      <c r="CW1082" s="74"/>
      <c r="CX1082" s="74"/>
      <c r="CY1082" s="74"/>
      <c r="CZ1082" s="74"/>
      <c r="DA1082" s="74"/>
      <c r="DB1082" s="74"/>
      <c r="DC1082" s="74"/>
      <c r="DD1082" s="74"/>
      <c r="DE1082" s="74"/>
      <c r="DF1082" s="74"/>
      <c r="DG1082" s="74"/>
      <c r="DH1082" s="74"/>
      <c r="DI1082" s="74"/>
      <c r="DJ1082" s="74"/>
      <c r="DK1082" s="74"/>
      <c r="DL1082" s="74"/>
      <c r="DM1082" s="74"/>
      <c r="DN1082" s="74"/>
      <c r="DO1082" s="74"/>
      <c r="DP1082" s="74"/>
      <c r="DQ1082" s="74"/>
      <c r="DR1082" s="74"/>
      <c r="DS1082" s="74"/>
      <c r="DT1082" s="74"/>
      <c r="DU1082" s="74"/>
      <c r="DV1082" s="74"/>
      <c r="DW1082" s="74"/>
      <c r="DX1082" s="74"/>
      <c r="DY1082" s="74"/>
      <c r="DZ1082" s="8">
        <f t="shared" si="266"/>
        <v>0</v>
      </c>
      <c r="EA1082" s="3">
        <f t="shared" si="267"/>
        <v>0</v>
      </c>
      <c r="EB1082" s="2">
        <f t="shared" si="268"/>
        <v>0</v>
      </c>
      <c r="EC1082" s="112">
        <f t="shared" si="276"/>
        <v>0</v>
      </c>
      <c r="ED1082" s="29">
        <f t="shared" si="269"/>
        <v>0</v>
      </c>
      <c r="EE1082" s="2">
        <f t="shared" si="270"/>
        <v>0</v>
      </c>
      <c r="EF1082" s="46">
        <f t="shared" si="271"/>
        <v>0</v>
      </c>
      <c r="EG1082" s="46">
        <f t="shared" si="272"/>
        <v>0</v>
      </c>
      <c r="EH1082" s="29">
        <f t="shared" si="273"/>
        <v>0</v>
      </c>
      <c r="EI1082" s="29">
        <f>IF(COUNT(I1082:AD1082)&lt;5,DZ1082,SUMPRODUCT(LARGE(I1082:AD1082,{1,2,3,4,5}))/5)</f>
        <v>0</v>
      </c>
      <c r="EJ1082" s="29">
        <f>IF(COUNT(I1082:BE1082)&lt;5,DZ1082,SUMPRODUCT(LARGE(I1082:BE1082,{1,2,3,4,5}))/5)</f>
        <v>0</v>
      </c>
      <c r="EK1082" s="29">
        <f t="shared" si="275"/>
        <v>0</v>
      </c>
      <c r="EL1082" s="29">
        <f t="shared" si="279"/>
        <v>0</v>
      </c>
      <c r="EM1082" s="116">
        <f t="shared" si="274"/>
        <v>0</v>
      </c>
    </row>
    <row r="1083" spans="1:143" x14ac:dyDescent="0.25">
      <c r="A1083" s="59"/>
      <c r="B1083" s="32"/>
      <c r="C1083" s="5"/>
      <c r="D1083" s="6"/>
      <c r="E1083" s="6"/>
      <c r="F1083" s="6"/>
      <c r="G1083" s="5"/>
      <c r="H1083" s="37"/>
      <c r="I1083" s="36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227"/>
      <c r="Z1083" s="228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4"/>
      <c r="AP1083" s="7"/>
      <c r="AQ1083" s="74"/>
      <c r="AR1083" s="70"/>
      <c r="AS1083" s="70"/>
      <c r="AT1083" s="70"/>
      <c r="AU1083" s="7"/>
      <c r="AV1083" s="70"/>
      <c r="AW1083" s="7"/>
      <c r="AX1083" s="8"/>
      <c r="AY1083" s="36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4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  <c r="BZ1083" s="7"/>
      <c r="CA1083" s="7"/>
      <c r="CB1083" s="7"/>
      <c r="CC1083" s="7"/>
      <c r="CD1083" s="7"/>
      <c r="CE1083" s="7"/>
      <c r="CF1083" s="7"/>
      <c r="CG1083" s="7"/>
      <c r="CH1083" s="7"/>
      <c r="CI1083" s="7"/>
      <c r="CJ1083" s="7"/>
      <c r="CK1083" s="101"/>
      <c r="CL1083" s="74"/>
      <c r="CM1083" s="74"/>
      <c r="CN1083" s="74"/>
      <c r="CO1083" s="70"/>
      <c r="CP1083" s="74"/>
      <c r="CQ1083" s="7"/>
      <c r="CR1083" s="74"/>
      <c r="CS1083" s="74"/>
      <c r="CT1083" s="74"/>
      <c r="CU1083" s="74"/>
      <c r="CV1083" s="74"/>
      <c r="CW1083" s="7"/>
      <c r="CX1083" s="7"/>
      <c r="CY1083" s="7"/>
      <c r="CZ1083" s="7"/>
      <c r="DA1083" s="7"/>
      <c r="DB1083" s="7"/>
      <c r="DC1083" s="7"/>
      <c r="DD1083" s="7"/>
      <c r="DE1083" s="74"/>
      <c r="DF1083" s="74"/>
      <c r="DG1083" s="74"/>
      <c r="DH1083" s="74"/>
      <c r="DI1083" s="74"/>
      <c r="DJ1083" s="7"/>
      <c r="DK1083" s="7"/>
      <c r="DL1083" s="7"/>
      <c r="DM1083" s="7"/>
      <c r="DN1083" s="7"/>
      <c r="DO1083" s="7"/>
      <c r="DP1083" s="7"/>
      <c r="DQ1083" s="7"/>
      <c r="DR1083" s="7"/>
      <c r="DS1083" s="7"/>
      <c r="DT1083" s="7"/>
      <c r="DU1083" s="7"/>
      <c r="DV1083" s="7"/>
      <c r="DW1083" s="7"/>
      <c r="DX1083" s="7"/>
      <c r="DY1083" s="7"/>
      <c r="DZ1083" s="8">
        <f t="shared" si="266"/>
        <v>0</v>
      </c>
      <c r="EA1083" s="3">
        <f t="shared" si="267"/>
        <v>0</v>
      </c>
      <c r="EB1083" s="2">
        <f t="shared" si="268"/>
        <v>0</v>
      </c>
      <c r="EC1083" s="112">
        <f t="shared" si="276"/>
        <v>0</v>
      </c>
      <c r="ED1083" s="29">
        <f t="shared" si="269"/>
        <v>0</v>
      </c>
      <c r="EE1083" s="2">
        <f t="shared" si="270"/>
        <v>0</v>
      </c>
      <c r="EF1083" s="46">
        <f t="shared" si="271"/>
        <v>0</v>
      </c>
      <c r="EG1083" s="46">
        <f t="shared" si="272"/>
        <v>0</v>
      </c>
      <c r="EH1083" s="2">
        <f t="shared" si="273"/>
        <v>0</v>
      </c>
      <c r="EI1083" s="29">
        <f>IF(COUNT(I1083:AD1083)&lt;5,DZ1083,SUMPRODUCT(LARGE(I1083:AD1083,{1,2,3,4,5}))/5)</f>
        <v>0</v>
      </c>
      <c r="EJ1083" s="29">
        <f>IF(COUNT(I1083:BE1083)&lt;5,DZ1083,SUMPRODUCT(LARGE(I1083:BE1083,{1,2,3,4,5}))/5)</f>
        <v>0</v>
      </c>
      <c r="EK1083" s="29">
        <f t="shared" si="275"/>
        <v>0</v>
      </c>
      <c r="EL1083" s="29">
        <f t="shared" si="279"/>
        <v>0</v>
      </c>
      <c r="EM1083" s="116">
        <f t="shared" si="274"/>
        <v>0</v>
      </c>
    </row>
    <row r="1084" spans="1:143" x14ac:dyDescent="0.25">
      <c r="A1084" s="59"/>
      <c r="B1084" s="32"/>
      <c r="C1084" s="5"/>
      <c r="D1084" s="6"/>
      <c r="E1084" s="6"/>
      <c r="F1084" s="6"/>
      <c r="G1084" s="5"/>
      <c r="H1084" s="37"/>
      <c r="I1084" s="36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227"/>
      <c r="Z1084" s="228"/>
      <c r="AA1084" s="7"/>
      <c r="AB1084" s="7"/>
      <c r="AC1084" s="7"/>
      <c r="AD1084" s="74"/>
      <c r="AE1084" s="74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4"/>
      <c r="AP1084" s="7"/>
      <c r="AQ1084" s="74"/>
      <c r="AR1084" s="70"/>
      <c r="AS1084" s="70"/>
      <c r="AT1084" s="70"/>
      <c r="AU1084" s="7"/>
      <c r="AV1084" s="70"/>
      <c r="AW1084" s="7"/>
      <c r="AX1084" s="8"/>
      <c r="AY1084" s="36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4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  <c r="BZ1084" s="7"/>
      <c r="CA1084" s="7"/>
      <c r="CB1084" s="7"/>
      <c r="CC1084" s="7"/>
      <c r="CD1084" s="7"/>
      <c r="CE1084" s="7"/>
      <c r="CF1084" s="74"/>
      <c r="CG1084" s="7"/>
      <c r="CH1084" s="7"/>
      <c r="CI1084" s="7"/>
      <c r="CJ1084" s="7"/>
      <c r="CK1084" s="101"/>
      <c r="CL1084" s="74"/>
      <c r="CM1084" s="74"/>
      <c r="CN1084" s="74"/>
      <c r="CO1084" s="70"/>
      <c r="CP1084" s="101"/>
      <c r="CQ1084" s="7"/>
      <c r="CR1084" s="74"/>
      <c r="CS1084" s="74"/>
      <c r="CT1084" s="74"/>
      <c r="CU1084" s="74"/>
      <c r="CV1084" s="7"/>
      <c r="CW1084" s="7"/>
      <c r="CX1084" s="7"/>
      <c r="CY1084" s="7"/>
      <c r="CZ1084" s="7"/>
      <c r="DA1084" s="7"/>
      <c r="DB1084" s="7"/>
      <c r="DC1084" s="7"/>
      <c r="DD1084" s="7"/>
      <c r="DE1084" s="74"/>
      <c r="DF1084" s="74"/>
      <c r="DG1084" s="74"/>
      <c r="DH1084" s="7"/>
      <c r="DI1084" s="7"/>
      <c r="DJ1084" s="7"/>
      <c r="DK1084" s="7"/>
      <c r="DL1084" s="7"/>
      <c r="DM1084" s="7"/>
      <c r="DN1084" s="7"/>
      <c r="DO1084" s="7"/>
      <c r="DP1084" s="7"/>
      <c r="DQ1084" s="7"/>
      <c r="DR1084" s="7"/>
      <c r="DS1084" s="7"/>
      <c r="DT1084" s="7"/>
      <c r="DU1084" s="7"/>
      <c r="DV1084" s="7"/>
      <c r="DW1084" s="7"/>
      <c r="DX1084" s="7"/>
      <c r="DY1084" s="7"/>
      <c r="DZ1084" s="8">
        <f t="shared" si="266"/>
        <v>0</v>
      </c>
      <c r="EA1084" s="3">
        <f t="shared" si="267"/>
        <v>0</v>
      </c>
      <c r="EB1084" s="2">
        <f t="shared" si="268"/>
        <v>0</v>
      </c>
      <c r="EC1084" s="112">
        <f t="shared" si="276"/>
        <v>0</v>
      </c>
      <c r="ED1084" s="29">
        <f t="shared" si="269"/>
        <v>0</v>
      </c>
      <c r="EE1084" s="2">
        <f t="shared" si="270"/>
        <v>0</v>
      </c>
      <c r="EF1084" s="46">
        <f t="shared" si="271"/>
        <v>0</v>
      </c>
      <c r="EG1084" s="46">
        <f t="shared" si="272"/>
        <v>0</v>
      </c>
      <c r="EH1084" s="2">
        <f t="shared" si="273"/>
        <v>0</v>
      </c>
      <c r="EI1084" s="29">
        <f>IF(COUNT(I1084:AD1084)&lt;5,DZ1084,SUMPRODUCT(LARGE(I1084:AD1084,{1,2,3,4,5}))/5)</f>
        <v>0</v>
      </c>
      <c r="EJ1084" s="29">
        <f>IF(COUNT(I1084:BE1084)&lt;5,DZ1084,SUMPRODUCT(LARGE(I1084:BE1084,{1,2,3,4,5}))/5)</f>
        <v>0</v>
      </c>
      <c r="EK1084" s="29">
        <f t="shared" si="275"/>
        <v>0</v>
      </c>
      <c r="EL1084" s="29">
        <f>(EK1084*100)/101.59</f>
        <v>0</v>
      </c>
      <c r="EM1084" s="116">
        <f t="shared" si="274"/>
        <v>0</v>
      </c>
    </row>
    <row r="1085" spans="1:143" x14ac:dyDescent="0.25">
      <c r="A1085" s="59"/>
      <c r="B1085" s="32"/>
      <c r="C1085" s="5"/>
      <c r="D1085" s="6"/>
      <c r="E1085" s="6"/>
      <c r="F1085" s="6"/>
      <c r="G1085" s="5"/>
      <c r="H1085" s="99"/>
      <c r="I1085" s="36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227"/>
      <c r="Z1085" s="228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4"/>
      <c r="AP1085" s="7"/>
      <c r="AQ1085" s="74"/>
      <c r="AR1085" s="70"/>
      <c r="AS1085" s="70"/>
      <c r="AT1085" s="70"/>
      <c r="AU1085" s="7"/>
      <c r="AV1085" s="70"/>
      <c r="AW1085" s="7"/>
      <c r="AX1085" s="183"/>
      <c r="AY1085" s="10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4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7"/>
      <c r="CI1085" s="70"/>
      <c r="CJ1085" s="7"/>
      <c r="CK1085" s="101"/>
      <c r="CL1085" s="74"/>
      <c r="CM1085" s="74"/>
      <c r="CN1085" s="74"/>
      <c r="CO1085" s="70"/>
      <c r="CP1085" s="101"/>
      <c r="CQ1085" s="7"/>
      <c r="CR1085" s="74"/>
      <c r="CS1085" s="74"/>
      <c r="CT1085" s="74"/>
      <c r="CU1085" s="74"/>
      <c r="CV1085" s="74"/>
      <c r="CW1085" s="7"/>
      <c r="CX1085" s="7"/>
      <c r="CY1085" s="7"/>
      <c r="CZ1085" s="7"/>
      <c r="DA1085" s="7"/>
      <c r="DB1085" s="7"/>
      <c r="DC1085" s="7"/>
      <c r="DD1085" s="7"/>
      <c r="DE1085" s="74"/>
      <c r="DF1085" s="74"/>
      <c r="DG1085" s="74"/>
      <c r="DH1085" s="74"/>
      <c r="DI1085" s="74"/>
      <c r="DJ1085" s="7"/>
      <c r="DK1085" s="7"/>
      <c r="DL1085" s="7"/>
      <c r="DM1085" s="7"/>
      <c r="DN1085" s="7"/>
      <c r="DO1085" s="7"/>
      <c r="DP1085" s="7"/>
      <c r="DQ1085" s="7"/>
      <c r="DR1085" s="7"/>
      <c r="DS1085" s="7"/>
      <c r="DT1085" s="7"/>
      <c r="DU1085" s="7"/>
      <c r="DV1085" s="7"/>
      <c r="DW1085" s="7"/>
      <c r="DX1085" s="7"/>
      <c r="DY1085" s="7"/>
      <c r="DZ1085" s="8">
        <f t="shared" si="266"/>
        <v>0</v>
      </c>
      <c r="EA1085" s="3">
        <f t="shared" si="267"/>
        <v>0</v>
      </c>
      <c r="EB1085" s="2">
        <f t="shared" si="268"/>
        <v>0</v>
      </c>
      <c r="EC1085" s="112">
        <f t="shared" si="276"/>
        <v>0</v>
      </c>
      <c r="ED1085" s="29">
        <f t="shared" si="269"/>
        <v>0</v>
      </c>
      <c r="EE1085" s="2">
        <f t="shared" si="270"/>
        <v>0</v>
      </c>
      <c r="EF1085" s="46">
        <f t="shared" si="271"/>
        <v>0</v>
      </c>
      <c r="EG1085" s="46">
        <f t="shared" si="272"/>
        <v>0</v>
      </c>
      <c r="EH1085" s="2">
        <f t="shared" si="273"/>
        <v>0</v>
      </c>
      <c r="EI1085" s="29">
        <f>IF(COUNT(I1085:AD1085)&lt;5,DZ1085,SUMPRODUCT(LARGE(I1085:AD1085,{1,2,3,4,5}))/5)</f>
        <v>0</v>
      </c>
      <c r="EJ1085" s="29">
        <f>IF(COUNT(I1085:BE1085)&lt;5,DZ1085,SUMPRODUCT(LARGE(I1085:BE1085,{1,2,3,4,5}))/5)</f>
        <v>0</v>
      </c>
      <c r="EK1085" s="29">
        <f t="shared" si="275"/>
        <v>0</v>
      </c>
      <c r="EL1085" s="29">
        <f>(EK1085*100)/101.28</f>
        <v>0</v>
      </c>
      <c r="EM1085" s="116">
        <f t="shared" si="274"/>
        <v>0</v>
      </c>
    </row>
    <row r="1086" spans="1:143" x14ac:dyDescent="0.25">
      <c r="A1086" s="59"/>
      <c r="B1086" s="32"/>
      <c r="C1086" s="5"/>
      <c r="D1086" s="6"/>
      <c r="E1086" s="6"/>
      <c r="F1086" s="6"/>
      <c r="G1086" s="5"/>
      <c r="H1086" s="37"/>
      <c r="I1086" s="36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227"/>
      <c r="Z1086" s="228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4"/>
      <c r="AP1086" s="7"/>
      <c r="AQ1086" s="74"/>
      <c r="AR1086" s="70"/>
      <c r="AS1086" s="70"/>
      <c r="AT1086" s="70"/>
      <c r="AU1086" s="7"/>
      <c r="AV1086" s="70"/>
      <c r="AW1086" s="7"/>
      <c r="AX1086" s="8"/>
      <c r="AY1086" s="36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4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  <c r="BZ1086" s="7"/>
      <c r="CA1086" s="7"/>
      <c r="CB1086" s="7"/>
      <c r="CC1086" s="7"/>
      <c r="CD1086" s="7"/>
      <c r="CE1086" s="7"/>
      <c r="CF1086" s="7"/>
      <c r="CG1086" s="7"/>
      <c r="CH1086" s="7"/>
      <c r="CI1086" s="7"/>
      <c r="CJ1086" s="7"/>
      <c r="CK1086" s="101"/>
      <c r="CL1086" s="74"/>
      <c r="CM1086" s="74"/>
      <c r="CN1086" s="74"/>
      <c r="CO1086" s="70"/>
      <c r="CP1086" s="101"/>
      <c r="CQ1086" s="7"/>
      <c r="CR1086" s="74"/>
      <c r="CS1086" s="74"/>
      <c r="CT1086" s="74"/>
      <c r="CU1086" s="74"/>
      <c r="CV1086" s="74"/>
      <c r="CW1086" s="7"/>
      <c r="CX1086" s="7"/>
      <c r="CY1086" s="7"/>
      <c r="CZ1086" s="7"/>
      <c r="DA1086" s="7"/>
      <c r="DB1086" s="7"/>
      <c r="DC1086" s="7"/>
      <c r="DD1086" s="7"/>
      <c r="DE1086" s="74"/>
      <c r="DF1086" s="74"/>
      <c r="DG1086" s="74"/>
      <c r="DH1086" s="74"/>
      <c r="DI1086" s="74"/>
      <c r="DJ1086" s="7"/>
      <c r="DK1086" s="7"/>
      <c r="DL1086" s="7"/>
      <c r="DM1086" s="7"/>
      <c r="DN1086" s="7"/>
      <c r="DO1086" s="7"/>
      <c r="DP1086" s="7"/>
      <c r="DQ1086" s="7"/>
      <c r="DR1086" s="7"/>
      <c r="DS1086" s="7"/>
      <c r="DT1086" s="7"/>
      <c r="DU1086" s="7"/>
      <c r="DV1086" s="7"/>
      <c r="DW1086" s="7"/>
      <c r="DX1086" s="7"/>
      <c r="DY1086" s="7"/>
      <c r="DZ1086" s="8">
        <f t="shared" si="266"/>
        <v>0</v>
      </c>
      <c r="EA1086" s="3">
        <f t="shared" si="267"/>
        <v>0</v>
      </c>
      <c r="EB1086" s="2">
        <f t="shared" si="268"/>
        <v>0</v>
      </c>
      <c r="EC1086" s="112">
        <f t="shared" si="276"/>
        <v>0</v>
      </c>
      <c r="ED1086" s="29">
        <f t="shared" si="269"/>
        <v>0</v>
      </c>
      <c r="EE1086" s="2">
        <f t="shared" si="270"/>
        <v>0</v>
      </c>
      <c r="EF1086" s="46">
        <f t="shared" si="271"/>
        <v>0</v>
      </c>
      <c r="EG1086" s="46">
        <f t="shared" si="272"/>
        <v>0</v>
      </c>
      <c r="EH1086" s="2">
        <f t="shared" si="273"/>
        <v>0</v>
      </c>
      <c r="EI1086" s="29">
        <f>IF(COUNT(I1086:AD1086)&lt;5,DZ1086,SUMPRODUCT(LARGE(I1086:AD1086,{1,2,3,4,5}))/5)</f>
        <v>0</v>
      </c>
      <c r="EJ1086" s="29">
        <f>IF(COUNT(I1086:BE1086)&lt;5,DZ1086,SUMPRODUCT(LARGE(I1086:BE1086,{1,2,3,4,5}))/5)</f>
        <v>0</v>
      </c>
      <c r="EK1086" s="29">
        <f t="shared" si="275"/>
        <v>0</v>
      </c>
      <c r="EL1086" s="29">
        <f>(EK1086*100)/101.28</f>
        <v>0</v>
      </c>
      <c r="EM1086" s="116">
        <f t="shared" si="274"/>
        <v>0</v>
      </c>
    </row>
    <row r="1087" spans="1:143" x14ac:dyDescent="0.25">
      <c r="A1087" s="59"/>
      <c r="B1087" s="32"/>
      <c r="C1087" s="5"/>
      <c r="D1087" s="6"/>
      <c r="E1087" s="6"/>
      <c r="F1087" s="6"/>
      <c r="G1087" s="5"/>
      <c r="H1087" s="99"/>
      <c r="I1087" s="36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227"/>
      <c r="Z1087" s="228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4"/>
      <c r="AP1087" s="7"/>
      <c r="AQ1087" s="74"/>
      <c r="AR1087" s="70"/>
      <c r="AS1087" s="70"/>
      <c r="AT1087" s="70"/>
      <c r="AU1087" s="7"/>
      <c r="AV1087" s="70"/>
      <c r="AW1087" s="7"/>
      <c r="AX1087" s="8"/>
      <c r="AY1087" s="36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4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  <c r="BZ1087" s="7"/>
      <c r="CA1087" s="7"/>
      <c r="CB1087" s="7"/>
      <c r="CC1087" s="7"/>
      <c r="CD1087" s="7"/>
      <c r="CE1087" s="7"/>
      <c r="CF1087" s="7"/>
      <c r="CG1087" s="7"/>
      <c r="CH1087" s="7"/>
      <c r="CI1087" s="7"/>
      <c r="CJ1087" s="7"/>
      <c r="CK1087" s="101"/>
      <c r="CL1087" s="74"/>
      <c r="CM1087" s="74"/>
      <c r="CN1087" s="74"/>
      <c r="CO1087" s="70"/>
      <c r="CP1087" s="101"/>
      <c r="CQ1087" s="7"/>
      <c r="CR1087" s="74"/>
      <c r="CS1087" s="74"/>
      <c r="CT1087" s="74"/>
      <c r="CU1087" s="74"/>
      <c r="CV1087" s="74"/>
      <c r="CW1087" s="7"/>
      <c r="CX1087" s="7"/>
      <c r="CY1087" s="7"/>
      <c r="CZ1087" s="7"/>
      <c r="DA1087" s="7"/>
      <c r="DB1087" s="7"/>
      <c r="DC1087" s="7"/>
      <c r="DD1087" s="7"/>
      <c r="DE1087" s="74"/>
      <c r="DF1087" s="74"/>
      <c r="DG1087" s="74"/>
      <c r="DH1087" s="74"/>
      <c r="DI1087" s="74"/>
      <c r="DJ1087" s="7"/>
      <c r="DK1087" s="7"/>
      <c r="DL1087" s="7"/>
      <c r="DM1087" s="7"/>
      <c r="DN1087" s="74"/>
      <c r="DO1087" s="7"/>
      <c r="DP1087" s="7"/>
      <c r="DQ1087" s="7"/>
      <c r="DR1087" s="7"/>
      <c r="DS1087" s="7"/>
      <c r="DT1087" s="7"/>
      <c r="DU1087" s="7"/>
      <c r="DV1087" s="7"/>
      <c r="DW1087" s="7"/>
      <c r="DX1087" s="7"/>
      <c r="DY1087" s="7"/>
      <c r="DZ1087" s="8">
        <f t="shared" si="266"/>
        <v>0</v>
      </c>
      <c r="EA1087" s="3">
        <f t="shared" si="267"/>
        <v>0</v>
      </c>
      <c r="EB1087" s="2">
        <f t="shared" si="268"/>
        <v>0</v>
      </c>
      <c r="EC1087" s="112">
        <f t="shared" si="276"/>
        <v>0</v>
      </c>
      <c r="ED1087" s="29">
        <f t="shared" si="269"/>
        <v>0</v>
      </c>
      <c r="EE1087" s="2">
        <f t="shared" si="270"/>
        <v>0</v>
      </c>
      <c r="EF1087" s="46">
        <f t="shared" si="271"/>
        <v>0</v>
      </c>
      <c r="EG1087" s="46">
        <f t="shared" si="272"/>
        <v>0</v>
      </c>
      <c r="EH1087" s="2">
        <f t="shared" si="273"/>
        <v>0</v>
      </c>
      <c r="EI1087" s="29">
        <f>IF(COUNT(I1087:AD1087)&lt;5,DZ1087,SUMPRODUCT(LARGE(I1087:AD1087,{1,2,3,4,5}))/5)</f>
        <v>0</v>
      </c>
      <c r="EJ1087" s="29">
        <f>IF(COUNT(I1087:BE1087)&lt;5,DZ1087,SUMPRODUCT(LARGE(I1087:BE1087,{1,2,3,4,5}))/5)</f>
        <v>0</v>
      </c>
      <c r="EK1087" s="29">
        <f t="shared" si="275"/>
        <v>0</v>
      </c>
      <c r="EL1087" s="29">
        <f>(EK1087*100)/101.28</f>
        <v>0</v>
      </c>
      <c r="EM1087" s="116">
        <f t="shared" si="274"/>
        <v>0</v>
      </c>
    </row>
    <row r="1088" spans="1:143" x14ac:dyDescent="0.25">
      <c r="A1088" s="59"/>
      <c r="B1088" s="32"/>
      <c r="C1088" s="5"/>
      <c r="D1088" s="6"/>
      <c r="E1088" s="6"/>
      <c r="F1088" s="6"/>
      <c r="G1088" s="5"/>
      <c r="H1088" s="37"/>
      <c r="I1088" s="36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227"/>
      <c r="Z1088" s="228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4"/>
      <c r="AP1088" s="7"/>
      <c r="AQ1088" s="74"/>
      <c r="AR1088" s="70"/>
      <c r="AS1088" s="70"/>
      <c r="AT1088" s="70"/>
      <c r="AU1088" s="7"/>
      <c r="AV1088" s="70"/>
      <c r="AW1088" s="7"/>
      <c r="AX1088" s="8"/>
      <c r="AY1088" s="36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4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  <c r="BZ1088" s="7"/>
      <c r="CA1088" s="7"/>
      <c r="CB1088" s="7"/>
      <c r="CC1088" s="7"/>
      <c r="CD1088" s="7"/>
      <c r="CE1088" s="7"/>
      <c r="CF1088" s="7"/>
      <c r="CG1088" s="7"/>
      <c r="CH1088" s="7"/>
      <c r="CI1088" s="7"/>
      <c r="CJ1088" s="7"/>
      <c r="CK1088" s="101"/>
      <c r="CL1088" s="74"/>
      <c r="CM1088" s="74"/>
      <c r="CN1088" s="74"/>
      <c r="CO1088" s="70"/>
      <c r="CP1088" s="101"/>
      <c r="CQ1088" s="7"/>
      <c r="CR1088" s="74"/>
      <c r="CS1088" s="74"/>
      <c r="CT1088" s="74"/>
      <c r="CU1088" s="74"/>
      <c r="CV1088" s="7"/>
      <c r="CW1088" s="7"/>
      <c r="CX1088" s="7"/>
      <c r="CY1088" s="7"/>
      <c r="CZ1088" s="7"/>
      <c r="DA1088" s="7"/>
      <c r="DB1088" s="7"/>
      <c r="DC1088" s="7"/>
      <c r="DD1088" s="7"/>
      <c r="DE1088" s="74"/>
      <c r="DF1088" s="74"/>
      <c r="DG1088" s="74"/>
      <c r="DH1088" s="7"/>
      <c r="DI1088" s="74"/>
      <c r="DJ1088" s="7"/>
      <c r="DK1088" s="7"/>
      <c r="DL1088" s="7"/>
      <c r="DM1088" s="7"/>
      <c r="DN1088" s="7"/>
      <c r="DO1088" s="7"/>
      <c r="DP1088" s="7"/>
      <c r="DQ1088" s="7"/>
      <c r="DR1088" s="7"/>
      <c r="DS1088" s="7"/>
      <c r="DT1088" s="7"/>
      <c r="DU1088" s="7"/>
      <c r="DV1088" s="7"/>
      <c r="DW1088" s="7"/>
      <c r="DX1088" s="7"/>
      <c r="DY1088" s="7"/>
      <c r="DZ1088" s="8">
        <f t="shared" si="266"/>
        <v>0</v>
      </c>
      <c r="EA1088" s="3">
        <f t="shared" si="267"/>
        <v>0</v>
      </c>
      <c r="EB1088" s="2">
        <f t="shared" si="268"/>
        <v>0</v>
      </c>
      <c r="EC1088" s="112">
        <f t="shared" si="276"/>
        <v>0</v>
      </c>
      <c r="ED1088" s="29">
        <f t="shared" si="269"/>
        <v>0</v>
      </c>
      <c r="EE1088" s="2">
        <f t="shared" si="270"/>
        <v>0</v>
      </c>
      <c r="EF1088" s="46">
        <f t="shared" si="271"/>
        <v>0</v>
      </c>
      <c r="EG1088" s="46">
        <f t="shared" si="272"/>
        <v>0</v>
      </c>
      <c r="EH1088" s="2">
        <f t="shared" si="273"/>
        <v>0</v>
      </c>
      <c r="EI1088" s="29">
        <f>IF(COUNT(I1088:AD1088)&lt;5,DZ1088,SUMPRODUCT(LARGE(I1088:AD1088,{1,2,3,4,5}))/5)</f>
        <v>0</v>
      </c>
      <c r="EJ1088" s="29">
        <f>IF(COUNT(I1088:BE1088)&lt;5,DZ1088,SUMPRODUCT(LARGE(I1088:BE1088,{1,2,3,4,5}))/5)</f>
        <v>0</v>
      </c>
      <c r="EK1088" s="29">
        <f t="shared" si="275"/>
        <v>0</v>
      </c>
      <c r="EL1088" s="29">
        <f>(EK1088*100)/101.28</f>
        <v>0</v>
      </c>
      <c r="EM1088" s="116">
        <f t="shared" si="274"/>
        <v>0</v>
      </c>
    </row>
    <row r="1089" spans="1:143" x14ac:dyDescent="0.25">
      <c r="A1089" s="59"/>
      <c r="B1089" s="32"/>
      <c r="C1089" s="5"/>
      <c r="D1089" s="6"/>
      <c r="E1089" s="6"/>
      <c r="F1089" s="6"/>
      <c r="G1089" s="5"/>
      <c r="H1089" s="37"/>
      <c r="I1089" s="107"/>
      <c r="J1089" s="7"/>
      <c r="K1089" s="74"/>
      <c r="L1089" s="7"/>
      <c r="M1089" s="74"/>
      <c r="N1089" s="74"/>
      <c r="O1089" s="7"/>
      <c r="P1089" s="74"/>
      <c r="Q1089" s="74"/>
      <c r="R1089" s="74"/>
      <c r="S1089" s="74"/>
      <c r="T1089" s="7"/>
      <c r="U1089" s="7"/>
      <c r="V1089" s="74"/>
      <c r="W1089" s="7"/>
      <c r="X1089" s="74"/>
      <c r="Y1089" s="227"/>
      <c r="Z1089" s="228"/>
      <c r="AA1089" s="74"/>
      <c r="AB1089" s="74"/>
      <c r="AC1089" s="74"/>
      <c r="AD1089" s="74"/>
      <c r="AE1089" s="7"/>
      <c r="AF1089" s="74"/>
      <c r="AG1089" s="74"/>
      <c r="AH1089" s="7"/>
      <c r="AI1089" s="7"/>
      <c r="AJ1089" s="7"/>
      <c r="AK1089" s="7"/>
      <c r="AL1089" s="7"/>
      <c r="AM1089" s="7"/>
      <c r="AN1089" s="7"/>
      <c r="AO1089" s="74"/>
      <c r="AP1089" s="7"/>
      <c r="AQ1089" s="74"/>
      <c r="AR1089" s="101"/>
      <c r="AS1089" s="70"/>
      <c r="AT1089" s="101"/>
      <c r="AU1089" s="7"/>
      <c r="AV1089" s="101"/>
      <c r="AW1089" s="7"/>
      <c r="AX1089" s="8"/>
      <c r="AY1089" s="36"/>
      <c r="AZ1089" s="74"/>
      <c r="BA1089" s="74"/>
      <c r="BB1089" s="74"/>
      <c r="BC1089" s="74"/>
      <c r="BD1089" s="74"/>
      <c r="BE1089" s="74"/>
      <c r="BF1089" s="74"/>
      <c r="BG1089" s="74"/>
      <c r="BH1089" s="74"/>
      <c r="BI1089" s="74"/>
      <c r="BJ1089" s="74"/>
      <c r="BK1089" s="7"/>
      <c r="BL1089" s="74"/>
      <c r="BM1089" s="7"/>
      <c r="BN1089" s="74"/>
      <c r="BO1089" s="74"/>
      <c r="BP1089" s="74"/>
      <c r="BQ1089" s="74"/>
      <c r="BR1089" s="74"/>
      <c r="BS1089" s="74"/>
      <c r="BT1089" s="74"/>
      <c r="BU1089" s="74"/>
      <c r="BV1089" s="74"/>
      <c r="BW1089" s="74"/>
      <c r="BX1089" s="74"/>
      <c r="BY1089" s="74"/>
      <c r="BZ1089" s="74"/>
      <c r="CA1089" s="74"/>
      <c r="CB1089" s="74"/>
      <c r="CC1089" s="74"/>
      <c r="CD1089" s="74"/>
      <c r="CE1089" s="7"/>
      <c r="CF1089" s="74"/>
      <c r="CG1089" s="74"/>
      <c r="CH1089" s="7"/>
      <c r="CI1089" s="74"/>
      <c r="CJ1089" s="74"/>
      <c r="CK1089" s="101"/>
      <c r="CL1089" s="74"/>
      <c r="CM1089" s="74"/>
      <c r="CN1089" s="74"/>
      <c r="CO1089" s="101"/>
      <c r="CP1089" s="101"/>
      <c r="CQ1089" s="74"/>
      <c r="CR1089" s="74"/>
      <c r="CS1089" s="74"/>
      <c r="CT1089" s="74"/>
      <c r="CU1089" s="74"/>
      <c r="CV1089" s="74"/>
      <c r="CW1089" s="74"/>
      <c r="CX1089" s="74"/>
      <c r="CY1089" s="74"/>
      <c r="CZ1089" s="74"/>
      <c r="DA1089" s="74"/>
      <c r="DB1089" s="74"/>
      <c r="DC1089" s="74"/>
      <c r="DD1089" s="74"/>
      <c r="DE1089" s="74"/>
      <c r="DF1089" s="74"/>
      <c r="DG1089" s="74"/>
      <c r="DH1089" s="74"/>
      <c r="DI1089" s="74"/>
      <c r="DJ1089" s="74"/>
      <c r="DK1089" s="74"/>
      <c r="DL1089" s="74"/>
      <c r="DM1089" s="74"/>
      <c r="DN1089" s="74"/>
      <c r="DO1089" s="74"/>
      <c r="DP1089" s="74"/>
      <c r="DQ1089" s="74"/>
      <c r="DR1089" s="74"/>
      <c r="DS1089" s="74"/>
      <c r="DT1089" s="74"/>
      <c r="DU1089" s="74"/>
      <c r="DV1089" s="74"/>
      <c r="DW1089" s="74"/>
      <c r="DX1089" s="74"/>
      <c r="DY1089" s="74"/>
      <c r="DZ1089" s="8">
        <f t="shared" si="266"/>
        <v>0</v>
      </c>
      <c r="EA1089" s="3">
        <f t="shared" si="267"/>
        <v>0</v>
      </c>
      <c r="EB1089" s="2">
        <f t="shared" si="268"/>
        <v>0</v>
      </c>
      <c r="EC1089" s="112">
        <f t="shared" si="276"/>
        <v>0</v>
      </c>
      <c r="ED1089" s="29">
        <f t="shared" si="269"/>
        <v>0</v>
      </c>
      <c r="EE1089" s="2">
        <f t="shared" si="270"/>
        <v>0</v>
      </c>
      <c r="EF1089" s="46">
        <f t="shared" si="271"/>
        <v>0</v>
      </c>
      <c r="EG1089" s="46">
        <f t="shared" si="272"/>
        <v>0</v>
      </c>
      <c r="EH1089" s="2">
        <f t="shared" si="273"/>
        <v>0</v>
      </c>
      <c r="EI1089" s="29">
        <f>IF(COUNT(I1089:AD1089)&lt;5,DZ1089,SUMPRODUCT(LARGE(I1089:AD1089,{1,2,3,4,5}))/5)</f>
        <v>0</v>
      </c>
      <c r="EJ1089" s="29">
        <f>IF(COUNT(I1089:BE1089)&lt;5,DZ1089,SUMPRODUCT(LARGE(I1089:BE1089,{1,2,3,4,5}))/5)</f>
        <v>0</v>
      </c>
      <c r="EK1089" s="29">
        <f t="shared" si="275"/>
        <v>0</v>
      </c>
      <c r="EL1089" s="29">
        <f>(EK1089*100)/101.28</f>
        <v>0</v>
      </c>
      <c r="EM1089" s="116">
        <f t="shared" si="274"/>
        <v>0</v>
      </c>
    </row>
    <row r="1090" spans="1:143" x14ac:dyDescent="0.25">
      <c r="A1090" s="59"/>
      <c r="B1090" s="32"/>
      <c r="C1090" s="5"/>
      <c r="D1090" s="6"/>
      <c r="E1090" s="6"/>
      <c r="F1090" s="6"/>
      <c r="G1090" s="5"/>
      <c r="H1090" s="37"/>
      <c r="I1090" s="36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227"/>
      <c r="Z1090" s="228"/>
      <c r="AA1090" s="7"/>
      <c r="AB1090" s="7"/>
      <c r="AC1090" s="7"/>
      <c r="AD1090" s="74"/>
      <c r="AE1090" s="74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4"/>
      <c r="AP1090" s="7"/>
      <c r="AQ1090" s="74"/>
      <c r="AR1090" s="70"/>
      <c r="AS1090" s="70"/>
      <c r="AT1090" s="70"/>
      <c r="AU1090" s="7"/>
      <c r="AV1090" s="70"/>
      <c r="AW1090" s="7"/>
      <c r="AX1090" s="8"/>
      <c r="AY1090" s="36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4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  <c r="BZ1090" s="7"/>
      <c r="CA1090" s="7"/>
      <c r="CB1090" s="7"/>
      <c r="CC1090" s="7"/>
      <c r="CD1090" s="7"/>
      <c r="CE1090" s="7"/>
      <c r="CF1090" s="74"/>
      <c r="CG1090" s="7"/>
      <c r="CH1090" s="7"/>
      <c r="CI1090" s="7"/>
      <c r="CJ1090" s="7"/>
      <c r="CK1090" s="101"/>
      <c r="CL1090" s="74"/>
      <c r="CM1090" s="74"/>
      <c r="CN1090" s="74"/>
      <c r="CO1090" s="70"/>
      <c r="CP1090" s="101"/>
      <c r="CQ1090" s="7"/>
      <c r="CR1090" s="74"/>
      <c r="CS1090" s="74"/>
      <c r="CT1090" s="74"/>
      <c r="CU1090" s="74"/>
      <c r="CV1090" s="7"/>
      <c r="CW1090" s="7"/>
      <c r="CX1090" s="7"/>
      <c r="CY1090" s="7"/>
      <c r="CZ1090" s="7"/>
      <c r="DA1090" s="7"/>
      <c r="DB1090" s="7"/>
      <c r="DC1090" s="7"/>
      <c r="DD1090" s="7"/>
      <c r="DE1090" s="74"/>
      <c r="DF1090" s="74"/>
      <c r="DG1090" s="74"/>
      <c r="DH1090" s="7"/>
      <c r="DI1090" s="7"/>
      <c r="DJ1090" s="7"/>
      <c r="DK1090" s="7"/>
      <c r="DL1090" s="7"/>
      <c r="DM1090" s="7"/>
      <c r="DN1090" s="7"/>
      <c r="DO1090" s="7"/>
      <c r="DP1090" s="7"/>
      <c r="DQ1090" s="7"/>
      <c r="DR1090" s="7"/>
      <c r="DS1090" s="7"/>
      <c r="DT1090" s="7"/>
      <c r="DU1090" s="7"/>
      <c r="DV1090" s="7"/>
      <c r="DW1090" s="7"/>
      <c r="DX1090" s="7"/>
      <c r="DY1090" s="7"/>
      <c r="DZ1090" s="8">
        <f t="shared" si="266"/>
        <v>0</v>
      </c>
      <c r="EA1090" s="3">
        <f t="shared" si="267"/>
        <v>0</v>
      </c>
      <c r="EB1090" s="2">
        <f t="shared" si="268"/>
        <v>0</v>
      </c>
      <c r="EC1090" s="112">
        <f t="shared" si="276"/>
        <v>0</v>
      </c>
      <c r="ED1090" s="29">
        <f t="shared" si="269"/>
        <v>0</v>
      </c>
      <c r="EE1090" s="2">
        <f t="shared" si="270"/>
        <v>0</v>
      </c>
      <c r="EF1090" s="46">
        <f t="shared" si="271"/>
        <v>0</v>
      </c>
      <c r="EG1090" s="46">
        <f t="shared" si="272"/>
        <v>0</v>
      </c>
      <c r="EH1090" s="2">
        <f t="shared" si="273"/>
        <v>0</v>
      </c>
      <c r="EI1090" s="29">
        <f>IF(COUNT(I1090:AD1090)&lt;5,DZ1090,SUMPRODUCT(LARGE(I1090:AD1090,{1,2,3,4,5}))/5)</f>
        <v>0</v>
      </c>
      <c r="EJ1090" s="29">
        <f>IF(COUNT(I1090:BE1090)&lt;5,DZ1090,SUMPRODUCT(LARGE(I1090:BE1090,{1,2,3,4,5}))/5)</f>
        <v>0</v>
      </c>
      <c r="EK1090" s="29">
        <f t="shared" si="275"/>
        <v>0</v>
      </c>
      <c r="EL1090" s="29">
        <f>(EK1090*100)/101.59</f>
        <v>0</v>
      </c>
      <c r="EM1090" s="116">
        <f t="shared" si="274"/>
        <v>0</v>
      </c>
    </row>
    <row r="1091" spans="1:143" x14ac:dyDescent="0.25">
      <c r="A1091" s="59"/>
      <c r="B1091" s="32"/>
      <c r="C1091" s="5"/>
      <c r="D1091" s="6"/>
      <c r="E1091" s="6"/>
      <c r="F1091" s="6"/>
      <c r="G1091" s="5"/>
      <c r="H1091" s="37"/>
      <c r="I1091" s="36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227"/>
      <c r="Z1091" s="228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4"/>
      <c r="AP1091" s="7"/>
      <c r="AQ1091" s="74"/>
      <c r="AR1091" s="70"/>
      <c r="AS1091" s="70"/>
      <c r="AT1091" s="70"/>
      <c r="AU1091" s="7"/>
      <c r="AV1091" s="70"/>
      <c r="AW1091" s="7"/>
      <c r="AX1091" s="8"/>
      <c r="AY1091" s="36"/>
      <c r="AZ1091" s="74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  <c r="BZ1091" s="7"/>
      <c r="CA1091" s="7"/>
      <c r="CB1091" s="7"/>
      <c r="CC1091" s="7"/>
      <c r="CD1091" s="7"/>
      <c r="CE1091" s="7"/>
      <c r="CF1091" s="7"/>
      <c r="CG1091" s="7"/>
      <c r="CH1091" s="7"/>
      <c r="CI1091" s="70"/>
      <c r="CJ1091" s="7"/>
      <c r="CK1091" s="101"/>
      <c r="CL1091" s="74"/>
      <c r="CM1091" s="74"/>
      <c r="CN1091" s="74"/>
      <c r="CO1091" s="70"/>
      <c r="CP1091" s="101"/>
      <c r="CQ1091" s="7"/>
      <c r="CR1091" s="74"/>
      <c r="CS1091" s="74"/>
      <c r="CT1091" s="74"/>
      <c r="CU1091" s="74"/>
      <c r="CV1091" s="74"/>
      <c r="CW1091" s="7"/>
      <c r="CX1091" s="7"/>
      <c r="CY1091" s="7"/>
      <c r="CZ1091" s="7"/>
      <c r="DA1091" s="7"/>
      <c r="DB1091" s="7"/>
      <c r="DC1091" s="7"/>
      <c r="DD1091" s="7"/>
      <c r="DE1091" s="74"/>
      <c r="DF1091" s="74"/>
      <c r="DG1091" s="74"/>
      <c r="DH1091" s="74"/>
      <c r="DI1091" s="74"/>
      <c r="DJ1091" s="7"/>
      <c r="DK1091" s="7"/>
      <c r="DL1091" s="7"/>
      <c r="DM1091" s="7"/>
      <c r="DN1091" s="7"/>
      <c r="DO1091" s="7"/>
      <c r="DP1091" s="7"/>
      <c r="DQ1091" s="74"/>
      <c r="DR1091" s="74"/>
      <c r="DS1091" s="7"/>
      <c r="DT1091" s="7"/>
      <c r="DU1091" s="7"/>
      <c r="DV1091" s="74"/>
      <c r="DW1091" s="7"/>
      <c r="DX1091" s="7"/>
      <c r="DY1091" s="7"/>
      <c r="DZ1091" s="8">
        <f t="shared" si="266"/>
        <v>0</v>
      </c>
      <c r="EA1091" s="3">
        <f t="shared" si="267"/>
        <v>0</v>
      </c>
      <c r="EB1091" s="2">
        <f t="shared" si="268"/>
        <v>0</v>
      </c>
      <c r="EC1091" s="112">
        <f t="shared" si="276"/>
        <v>0</v>
      </c>
      <c r="ED1091" s="29">
        <f t="shared" si="269"/>
        <v>0</v>
      </c>
      <c r="EE1091" s="2">
        <f t="shared" si="270"/>
        <v>0</v>
      </c>
      <c r="EF1091" s="46">
        <f t="shared" si="271"/>
        <v>0</v>
      </c>
      <c r="EG1091" s="46">
        <f t="shared" si="272"/>
        <v>0</v>
      </c>
      <c r="EH1091" s="2">
        <f t="shared" si="273"/>
        <v>0</v>
      </c>
      <c r="EI1091" s="29">
        <f>IF(COUNT(I1091:AD1091)&lt;5,DZ1091,SUMPRODUCT(LARGE(I1091:AD1091,{1,2,3,4,5}))/5)</f>
        <v>0</v>
      </c>
      <c r="EJ1091" s="29">
        <f>IF(COUNT(I1091:BE1091)&lt;5,DZ1091,SUMPRODUCT(LARGE(I1091:BE1091,{1,2,3,4,5}))/5)</f>
        <v>0</v>
      </c>
      <c r="EK1091" s="29">
        <f t="shared" si="275"/>
        <v>0</v>
      </c>
      <c r="EL1091" s="29">
        <f>(EK1091*100)/101.59</f>
        <v>0</v>
      </c>
      <c r="EM1091" s="116">
        <f t="shared" si="274"/>
        <v>0</v>
      </c>
    </row>
    <row r="1092" spans="1:143" x14ac:dyDescent="0.25">
      <c r="A1092" s="59"/>
      <c r="B1092" s="32"/>
      <c r="C1092" s="5"/>
      <c r="D1092" s="6"/>
      <c r="E1092" s="6"/>
      <c r="F1092" s="6"/>
      <c r="G1092" s="5"/>
      <c r="H1092" s="37"/>
      <c r="I1092" s="36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227"/>
      <c r="Z1092" s="228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4"/>
      <c r="AP1092" s="7"/>
      <c r="AQ1092" s="74"/>
      <c r="AR1092" s="70"/>
      <c r="AS1092" s="70"/>
      <c r="AT1092" s="70"/>
      <c r="AU1092" s="7"/>
      <c r="AV1092" s="70"/>
      <c r="AW1092" s="7"/>
      <c r="AX1092" s="183"/>
      <c r="AY1092" s="10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4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  <c r="BZ1092" s="7"/>
      <c r="CA1092" s="7"/>
      <c r="CB1092" s="7"/>
      <c r="CC1092" s="7"/>
      <c r="CD1092" s="7"/>
      <c r="CE1092" s="7"/>
      <c r="CF1092" s="7"/>
      <c r="CG1092" s="7"/>
      <c r="CH1092" s="7"/>
      <c r="CI1092" s="7"/>
      <c r="CJ1092" s="7"/>
      <c r="CK1092" s="101"/>
      <c r="CL1092" s="74"/>
      <c r="CM1092" s="74"/>
      <c r="CN1092" s="74"/>
      <c r="CO1092" s="70"/>
      <c r="CP1092" s="101"/>
      <c r="CQ1092" s="7"/>
      <c r="CR1092" s="74"/>
      <c r="CS1092" s="74"/>
      <c r="CT1092" s="74"/>
      <c r="CU1092" s="74"/>
      <c r="CV1092" s="74"/>
      <c r="CW1092" s="7"/>
      <c r="CX1092" s="7"/>
      <c r="CY1092" s="7"/>
      <c r="CZ1092" s="7"/>
      <c r="DA1092" s="7"/>
      <c r="DB1092" s="7"/>
      <c r="DC1092" s="7"/>
      <c r="DD1092" s="7"/>
      <c r="DE1092" s="74"/>
      <c r="DF1092" s="74"/>
      <c r="DG1092" s="74"/>
      <c r="DH1092" s="74"/>
      <c r="DI1092" s="74"/>
      <c r="DJ1092" s="7"/>
      <c r="DK1092" s="7"/>
      <c r="DL1092" s="7"/>
      <c r="DM1092" s="7"/>
      <c r="DN1092" s="7"/>
      <c r="DO1092" s="7"/>
      <c r="DP1092" s="7"/>
      <c r="DQ1092" s="7"/>
      <c r="DR1092" s="7"/>
      <c r="DS1092" s="7"/>
      <c r="DT1092" s="7"/>
      <c r="DU1092" s="7"/>
      <c r="DV1092" s="7"/>
      <c r="DW1092" s="7"/>
      <c r="DX1092" s="7"/>
      <c r="DY1092" s="7"/>
      <c r="DZ1092" s="8">
        <f t="shared" si="266"/>
        <v>0</v>
      </c>
      <c r="EA1092" s="3">
        <f t="shared" si="267"/>
        <v>0</v>
      </c>
      <c r="EB1092" s="2">
        <f t="shared" si="268"/>
        <v>0</v>
      </c>
      <c r="EC1092" s="112">
        <f t="shared" si="276"/>
        <v>0</v>
      </c>
      <c r="ED1092" s="29">
        <f t="shared" si="269"/>
        <v>0</v>
      </c>
      <c r="EE1092" s="2">
        <f t="shared" si="270"/>
        <v>0</v>
      </c>
      <c r="EF1092" s="46">
        <f t="shared" si="271"/>
        <v>0</v>
      </c>
      <c r="EG1092" s="46">
        <f t="shared" si="272"/>
        <v>0</v>
      </c>
      <c r="EH1092" s="2">
        <f t="shared" si="273"/>
        <v>0</v>
      </c>
      <c r="EI1092" s="29">
        <f>IF(COUNT(I1092:AD1092)&lt;5,DZ1092,SUMPRODUCT(LARGE(I1092:AD1092,{1,2,3,4,5}))/5)</f>
        <v>0</v>
      </c>
      <c r="EJ1092" s="29">
        <f>IF(COUNT(I1092:BE1092)&lt;5,DZ1092,SUMPRODUCT(LARGE(I1092:BE1092,{1,2,3,4,5}))/5)</f>
        <v>0</v>
      </c>
      <c r="EK1092" s="29">
        <f t="shared" si="275"/>
        <v>0</v>
      </c>
      <c r="EL1092" s="29">
        <f>(EK1092*100)/101.28</f>
        <v>0</v>
      </c>
      <c r="EM1092" s="116">
        <f t="shared" si="274"/>
        <v>0</v>
      </c>
    </row>
    <row r="1093" spans="1:143" x14ac:dyDescent="0.25">
      <c r="A1093" s="59"/>
      <c r="B1093" s="32"/>
      <c r="C1093" s="5"/>
      <c r="D1093" s="6"/>
      <c r="E1093" s="6"/>
      <c r="F1093" s="6"/>
      <c r="G1093" s="5"/>
      <c r="H1093" s="37"/>
      <c r="I1093" s="107"/>
      <c r="J1093" s="7"/>
      <c r="K1093" s="74"/>
      <c r="L1093" s="7"/>
      <c r="M1093" s="74"/>
      <c r="N1093" s="74"/>
      <c r="O1093" s="7"/>
      <c r="P1093" s="74"/>
      <c r="Q1093" s="74"/>
      <c r="R1093" s="74"/>
      <c r="S1093" s="74"/>
      <c r="T1093" s="7"/>
      <c r="U1093" s="7"/>
      <c r="V1093" s="74"/>
      <c r="W1093" s="7"/>
      <c r="X1093" s="74"/>
      <c r="Y1093" s="227"/>
      <c r="Z1093" s="228"/>
      <c r="AA1093" s="74"/>
      <c r="AB1093" s="74"/>
      <c r="AC1093" s="74"/>
      <c r="AD1093" s="74"/>
      <c r="AE1093" s="7"/>
      <c r="AF1093" s="74"/>
      <c r="AG1093" s="74"/>
      <c r="AH1093" s="7"/>
      <c r="AI1093" s="7"/>
      <c r="AJ1093" s="7"/>
      <c r="AK1093" s="7"/>
      <c r="AL1093" s="7"/>
      <c r="AM1093" s="7"/>
      <c r="AN1093" s="7"/>
      <c r="AO1093" s="74"/>
      <c r="AP1093" s="7"/>
      <c r="AQ1093" s="74"/>
      <c r="AR1093" s="101"/>
      <c r="AS1093" s="70"/>
      <c r="AT1093" s="101"/>
      <c r="AU1093" s="7"/>
      <c r="AV1093" s="101"/>
      <c r="AW1093" s="7"/>
      <c r="AX1093" s="8"/>
      <c r="AY1093" s="36"/>
      <c r="AZ1093" s="74"/>
      <c r="BA1093" s="74"/>
      <c r="BB1093" s="74"/>
      <c r="BC1093" s="74"/>
      <c r="BD1093" s="74"/>
      <c r="BE1093" s="74"/>
      <c r="BF1093" s="74"/>
      <c r="BG1093" s="74"/>
      <c r="BH1093" s="74"/>
      <c r="BI1093" s="74"/>
      <c r="BJ1093" s="74"/>
      <c r="BK1093" s="7"/>
      <c r="BL1093" s="74"/>
      <c r="BM1093" s="7"/>
      <c r="BN1093" s="74"/>
      <c r="BO1093" s="74"/>
      <c r="BP1093" s="74"/>
      <c r="BQ1093" s="74"/>
      <c r="BR1093" s="74"/>
      <c r="BS1093" s="74"/>
      <c r="BT1093" s="74"/>
      <c r="BU1093" s="74"/>
      <c r="BV1093" s="74"/>
      <c r="BW1093" s="74"/>
      <c r="BX1093" s="74"/>
      <c r="BY1093" s="74"/>
      <c r="BZ1093" s="74"/>
      <c r="CA1093" s="74"/>
      <c r="CB1093" s="74"/>
      <c r="CC1093" s="74"/>
      <c r="CD1093" s="74"/>
      <c r="CE1093" s="7"/>
      <c r="CF1093" s="74"/>
      <c r="CG1093" s="74"/>
      <c r="CH1093" s="7"/>
      <c r="CI1093" s="74"/>
      <c r="CJ1093" s="74"/>
      <c r="CK1093" s="101"/>
      <c r="CL1093" s="74"/>
      <c r="CM1093" s="74"/>
      <c r="CN1093" s="74"/>
      <c r="CO1093" s="101"/>
      <c r="CP1093" s="101"/>
      <c r="CQ1093" s="74"/>
      <c r="CR1093" s="74"/>
      <c r="CS1093" s="74"/>
      <c r="CT1093" s="74"/>
      <c r="CU1093" s="74"/>
      <c r="CV1093" s="74"/>
      <c r="CW1093" s="74"/>
      <c r="CX1093" s="74"/>
      <c r="CY1093" s="74"/>
      <c r="CZ1093" s="74"/>
      <c r="DA1093" s="74"/>
      <c r="DB1093" s="74"/>
      <c r="DC1093" s="74"/>
      <c r="DD1093" s="74"/>
      <c r="DE1093" s="74"/>
      <c r="DF1093" s="74"/>
      <c r="DG1093" s="74"/>
      <c r="DH1093" s="74"/>
      <c r="DI1093" s="74"/>
      <c r="DJ1093" s="74"/>
      <c r="DK1093" s="74"/>
      <c r="DL1093" s="74"/>
      <c r="DM1093" s="74"/>
      <c r="DN1093" s="74"/>
      <c r="DO1093" s="74"/>
      <c r="DP1093" s="74"/>
      <c r="DQ1093" s="74"/>
      <c r="DR1093" s="74"/>
      <c r="DS1093" s="74"/>
      <c r="DT1093" s="74"/>
      <c r="DU1093" s="74"/>
      <c r="DV1093" s="74"/>
      <c r="DW1093" s="74"/>
      <c r="DX1093" s="74"/>
      <c r="DY1093" s="74"/>
      <c r="DZ1093" s="8">
        <f t="shared" ref="DZ1093:DZ1104" si="280">IF(EB1093&gt;0,AVERAGE(I1093:DY1093),H1093)</f>
        <v>0</v>
      </c>
      <c r="EA1093" s="3">
        <f t="shared" ref="EA1093:EA1104" si="281">B1093</f>
        <v>0</v>
      </c>
      <c r="EB1093" s="2">
        <f t="shared" ref="EB1093:EB1104" si="282">IF(G1093&gt;0,1,0)</f>
        <v>0</v>
      </c>
      <c r="EC1093" s="112">
        <f t="shared" si="276"/>
        <v>0</v>
      </c>
      <c r="ED1093" s="29">
        <f t="shared" ref="ED1093:ED1104" si="283">EL1093</f>
        <v>0</v>
      </c>
      <c r="EE1093" s="2">
        <f t="shared" ref="EE1093:EE1104" si="284">COUNT(I1093:AH1093)</f>
        <v>0</v>
      </c>
      <c r="EF1093" s="46">
        <f t="shared" ref="EF1093:EF1104" si="285">COUNT(I1093:BQ1093)</f>
        <v>0</v>
      </c>
      <c r="EG1093" s="46">
        <f t="shared" ref="EG1093:EG1104" si="286">COUNT(I1093:DY1093)</f>
        <v>0</v>
      </c>
      <c r="EH1093" s="29">
        <f t="shared" ref="EH1093:EH1104" si="287">D1093</f>
        <v>0</v>
      </c>
      <c r="EI1093" s="29">
        <f>IF(COUNT(I1093:AD1093)&lt;5,DZ1093,SUMPRODUCT(LARGE(I1093:AD1093,{1,2,3,4,5}))/5)</f>
        <v>0</v>
      </c>
      <c r="EJ1093" s="29">
        <f>IF(COUNT(I1093:BE1093)&lt;5,DZ1093,SUMPRODUCT(LARGE(I1093:BE1093,{1,2,3,4,5}))/5)</f>
        <v>0</v>
      </c>
      <c r="EK1093" s="29">
        <f t="shared" si="275"/>
        <v>0</v>
      </c>
      <c r="EL1093" s="29">
        <f>(EK1093*100)/101.28</f>
        <v>0</v>
      </c>
      <c r="EM1093" s="116">
        <f t="shared" ref="EM1093:EM1104" si="288">B1093</f>
        <v>0</v>
      </c>
    </row>
    <row r="1094" spans="1:143" x14ac:dyDescent="0.25">
      <c r="A1094" s="59"/>
      <c r="B1094" s="32"/>
      <c r="C1094" s="5"/>
      <c r="D1094" s="6"/>
      <c r="E1094" s="6"/>
      <c r="F1094" s="6"/>
      <c r="G1094" s="5"/>
      <c r="H1094" s="37"/>
      <c r="I1094" s="107"/>
      <c r="J1094" s="7"/>
      <c r="K1094" s="74"/>
      <c r="L1094" s="7"/>
      <c r="M1094" s="74"/>
      <c r="N1094" s="74"/>
      <c r="O1094" s="7"/>
      <c r="P1094" s="74"/>
      <c r="Q1094" s="74"/>
      <c r="R1094" s="74"/>
      <c r="S1094" s="74"/>
      <c r="T1094" s="7"/>
      <c r="U1094" s="7"/>
      <c r="V1094" s="74"/>
      <c r="W1094" s="7"/>
      <c r="X1094" s="74"/>
      <c r="Y1094" s="227"/>
      <c r="Z1094" s="228"/>
      <c r="AA1094" s="74"/>
      <c r="AB1094" s="74"/>
      <c r="AC1094" s="74"/>
      <c r="AD1094" s="74"/>
      <c r="AE1094" s="7"/>
      <c r="AF1094" s="74"/>
      <c r="AG1094" s="74"/>
      <c r="AH1094" s="7"/>
      <c r="AI1094" s="7"/>
      <c r="AJ1094" s="7"/>
      <c r="AK1094" s="7"/>
      <c r="AL1094" s="7"/>
      <c r="AM1094" s="7"/>
      <c r="AN1094" s="7"/>
      <c r="AO1094" s="74"/>
      <c r="AP1094" s="7"/>
      <c r="AQ1094" s="74"/>
      <c r="AR1094" s="101"/>
      <c r="AS1094" s="70"/>
      <c r="AT1094" s="101"/>
      <c r="AU1094" s="7"/>
      <c r="AV1094" s="101"/>
      <c r="AW1094" s="7"/>
      <c r="AX1094" s="8"/>
      <c r="AY1094" s="36"/>
      <c r="AZ1094" s="74"/>
      <c r="BA1094" s="74"/>
      <c r="BB1094" s="74"/>
      <c r="BC1094" s="74"/>
      <c r="BD1094" s="74"/>
      <c r="BE1094" s="74"/>
      <c r="BF1094" s="74"/>
      <c r="BG1094" s="74"/>
      <c r="BH1094" s="74"/>
      <c r="BI1094" s="74"/>
      <c r="BJ1094" s="74"/>
      <c r="BK1094" s="7"/>
      <c r="BL1094" s="74"/>
      <c r="BM1094" s="7"/>
      <c r="BN1094" s="74"/>
      <c r="BO1094" s="74"/>
      <c r="BP1094" s="74"/>
      <c r="BQ1094" s="74"/>
      <c r="BR1094" s="74"/>
      <c r="BS1094" s="74"/>
      <c r="BT1094" s="74"/>
      <c r="BU1094" s="74"/>
      <c r="BV1094" s="74"/>
      <c r="BW1094" s="74"/>
      <c r="BX1094" s="74"/>
      <c r="BY1094" s="74"/>
      <c r="BZ1094" s="74"/>
      <c r="CA1094" s="74"/>
      <c r="CB1094" s="7"/>
      <c r="CC1094" s="74"/>
      <c r="CD1094" s="74"/>
      <c r="CE1094" s="7"/>
      <c r="CF1094" s="74"/>
      <c r="CG1094" s="74"/>
      <c r="CH1094" s="7"/>
      <c r="CI1094" s="74"/>
      <c r="CJ1094" s="74"/>
      <c r="CK1094" s="101"/>
      <c r="CL1094" s="74"/>
      <c r="CM1094" s="74"/>
      <c r="CN1094" s="74"/>
      <c r="CO1094" s="101"/>
      <c r="CP1094" s="101"/>
      <c r="CQ1094" s="74"/>
      <c r="CR1094" s="74"/>
      <c r="CS1094" s="74"/>
      <c r="CT1094" s="74"/>
      <c r="CU1094" s="74"/>
      <c r="CV1094" s="74"/>
      <c r="CW1094" s="74"/>
      <c r="CX1094" s="74"/>
      <c r="CY1094" s="7"/>
      <c r="CZ1094" s="74"/>
      <c r="DA1094" s="74"/>
      <c r="DB1094" s="74"/>
      <c r="DC1094" s="74"/>
      <c r="DD1094" s="74"/>
      <c r="DE1094" s="74"/>
      <c r="DF1094" s="74"/>
      <c r="DG1094" s="74"/>
      <c r="DH1094" s="74"/>
      <c r="DI1094" s="74"/>
      <c r="DJ1094" s="74"/>
      <c r="DK1094" s="74"/>
      <c r="DL1094" s="74"/>
      <c r="DM1094" s="74"/>
      <c r="DN1094" s="74"/>
      <c r="DO1094" s="74"/>
      <c r="DP1094" s="74"/>
      <c r="DQ1094" s="74"/>
      <c r="DR1094" s="74"/>
      <c r="DS1094" s="74"/>
      <c r="DT1094" s="74"/>
      <c r="DU1094" s="74"/>
      <c r="DV1094" s="74"/>
      <c r="DW1094" s="74"/>
      <c r="DX1094" s="74"/>
      <c r="DY1094" s="74"/>
      <c r="DZ1094" s="8">
        <f t="shared" si="280"/>
        <v>0</v>
      </c>
      <c r="EA1094" s="3">
        <f t="shared" si="281"/>
        <v>0</v>
      </c>
      <c r="EB1094" s="2">
        <f t="shared" si="282"/>
        <v>0</v>
      </c>
      <c r="EC1094" s="112">
        <f t="shared" si="276"/>
        <v>0</v>
      </c>
      <c r="ED1094" s="29">
        <f t="shared" si="283"/>
        <v>0</v>
      </c>
      <c r="EE1094" s="2">
        <f t="shared" si="284"/>
        <v>0</v>
      </c>
      <c r="EF1094" s="46">
        <f t="shared" si="285"/>
        <v>0</v>
      </c>
      <c r="EG1094" s="46">
        <f t="shared" si="286"/>
        <v>0</v>
      </c>
      <c r="EH1094" s="2">
        <f t="shared" si="287"/>
        <v>0</v>
      </c>
      <c r="EI1094" s="29">
        <f>IF(COUNT(I1094:AD1094)&lt;5,DZ1094,SUMPRODUCT(LARGE(I1094:AD1094,{1,2,3,4,5}))/5)</f>
        <v>0</v>
      </c>
      <c r="EJ1094" s="29">
        <f>IF(COUNT(I1094:BE1094)&lt;5,DZ1094,SUMPRODUCT(LARGE(I1094:BE1094,{1,2,3,4,5}))/5)</f>
        <v>0</v>
      </c>
      <c r="EK1094" s="29">
        <f t="shared" ref="EK1094:EK1105" si="289">IF(EG1094&lt;0,AVERAGE(I1094:DY1094),0)</f>
        <v>0</v>
      </c>
      <c r="EL1094" s="29">
        <f>(EK1094*100)/101.28</f>
        <v>0</v>
      </c>
      <c r="EM1094" s="116">
        <f t="shared" si="288"/>
        <v>0</v>
      </c>
    </row>
    <row r="1095" spans="1:143" x14ac:dyDescent="0.25">
      <c r="A1095" s="59"/>
      <c r="B1095" s="32"/>
      <c r="C1095" s="5"/>
      <c r="D1095" s="6"/>
      <c r="E1095" s="6"/>
      <c r="F1095" s="6"/>
      <c r="G1095" s="5"/>
      <c r="H1095" s="37"/>
      <c r="I1095" s="107"/>
      <c r="J1095" s="7"/>
      <c r="K1095" s="74"/>
      <c r="L1095" s="7"/>
      <c r="M1095" s="74"/>
      <c r="N1095" s="74"/>
      <c r="O1095" s="7"/>
      <c r="P1095" s="74"/>
      <c r="Q1095" s="7"/>
      <c r="R1095" s="74"/>
      <c r="S1095" s="74"/>
      <c r="T1095" s="7"/>
      <c r="U1095" s="7"/>
      <c r="V1095" s="74"/>
      <c r="W1095" s="7"/>
      <c r="X1095" s="74"/>
      <c r="Y1095" s="227"/>
      <c r="Z1095" s="228"/>
      <c r="AA1095" s="74"/>
      <c r="AB1095" s="74"/>
      <c r="AC1095" s="74"/>
      <c r="AD1095" s="74"/>
      <c r="AE1095" s="7"/>
      <c r="AF1095" s="74"/>
      <c r="AG1095" s="74"/>
      <c r="AH1095" s="7"/>
      <c r="AI1095" s="7"/>
      <c r="AJ1095" s="7"/>
      <c r="AK1095" s="7"/>
      <c r="AL1095" s="7"/>
      <c r="AM1095" s="7"/>
      <c r="AN1095" s="7"/>
      <c r="AO1095" s="74"/>
      <c r="AP1095" s="7"/>
      <c r="AQ1095" s="74"/>
      <c r="AR1095" s="101"/>
      <c r="AS1095" s="70"/>
      <c r="AT1095" s="101"/>
      <c r="AU1095" s="7"/>
      <c r="AV1095" s="101"/>
      <c r="AW1095" s="7"/>
      <c r="AX1095" s="8"/>
      <c r="AY1095" s="36"/>
      <c r="AZ1095" s="74"/>
      <c r="BA1095" s="74"/>
      <c r="BB1095" s="74"/>
      <c r="BC1095" s="74"/>
      <c r="BD1095" s="74"/>
      <c r="BE1095" s="74"/>
      <c r="BF1095" s="74"/>
      <c r="BG1095" s="74"/>
      <c r="BH1095" s="74"/>
      <c r="BI1095" s="74"/>
      <c r="BJ1095" s="74"/>
      <c r="BK1095" s="7"/>
      <c r="BL1095" s="74"/>
      <c r="BM1095" s="7"/>
      <c r="BN1095" s="74"/>
      <c r="BO1095" s="74"/>
      <c r="BP1095" s="74"/>
      <c r="BQ1095" s="74"/>
      <c r="BR1095" s="74"/>
      <c r="BS1095" s="74"/>
      <c r="BT1095" s="74"/>
      <c r="BU1095" s="74"/>
      <c r="BV1095" s="74"/>
      <c r="BW1095" s="74"/>
      <c r="BX1095" s="74"/>
      <c r="BY1095" s="74"/>
      <c r="BZ1095" s="74"/>
      <c r="CA1095" s="74"/>
      <c r="CB1095" s="74"/>
      <c r="CC1095" s="74"/>
      <c r="CD1095" s="74"/>
      <c r="CE1095" s="7"/>
      <c r="CF1095" s="74"/>
      <c r="CG1095" s="74"/>
      <c r="CH1095" s="7"/>
      <c r="CI1095" s="74"/>
      <c r="CJ1095" s="74"/>
      <c r="CK1095" s="101"/>
      <c r="CL1095" s="74"/>
      <c r="CM1095" s="74"/>
      <c r="CN1095" s="74"/>
      <c r="CO1095" s="101"/>
      <c r="CP1095" s="101"/>
      <c r="CQ1095" s="74"/>
      <c r="CR1095" s="74"/>
      <c r="CS1095" s="74"/>
      <c r="CT1095" s="74"/>
      <c r="CU1095" s="74"/>
      <c r="CV1095" s="74"/>
      <c r="CW1095" s="74"/>
      <c r="CX1095" s="74"/>
      <c r="CY1095" s="74"/>
      <c r="CZ1095" s="74"/>
      <c r="DA1095" s="74"/>
      <c r="DB1095" s="74"/>
      <c r="DC1095" s="74"/>
      <c r="DD1095" s="74"/>
      <c r="DE1095" s="74"/>
      <c r="DF1095" s="74"/>
      <c r="DG1095" s="74"/>
      <c r="DH1095" s="74"/>
      <c r="DI1095" s="74"/>
      <c r="DJ1095" s="74"/>
      <c r="DK1095" s="74"/>
      <c r="DL1095" s="74"/>
      <c r="DM1095" s="74"/>
      <c r="DN1095" s="74"/>
      <c r="DO1095" s="74"/>
      <c r="DP1095" s="74"/>
      <c r="DQ1095" s="74"/>
      <c r="DR1095" s="74"/>
      <c r="DS1095" s="74"/>
      <c r="DT1095" s="74"/>
      <c r="DU1095" s="74"/>
      <c r="DV1095" s="74"/>
      <c r="DW1095" s="74"/>
      <c r="DX1095" s="74"/>
      <c r="DY1095" s="74"/>
      <c r="DZ1095" s="8">
        <f t="shared" si="280"/>
        <v>0</v>
      </c>
      <c r="EA1095" s="3">
        <f t="shared" si="281"/>
        <v>0</v>
      </c>
      <c r="EB1095" s="2">
        <f t="shared" si="282"/>
        <v>0</v>
      </c>
      <c r="EC1095" s="112">
        <f t="shared" si="276"/>
        <v>0</v>
      </c>
      <c r="ED1095" s="29">
        <f t="shared" si="283"/>
        <v>0</v>
      </c>
      <c r="EE1095" s="2">
        <f t="shared" si="284"/>
        <v>0</v>
      </c>
      <c r="EF1095" s="46">
        <f t="shared" si="285"/>
        <v>0</v>
      </c>
      <c r="EG1095" s="46">
        <f t="shared" si="286"/>
        <v>0</v>
      </c>
      <c r="EH1095" s="29">
        <f t="shared" si="287"/>
        <v>0</v>
      </c>
      <c r="EI1095" s="29">
        <f>IF(COUNT(I1095:AD1095)&lt;5,DZ1095,SUMPRODUCT(LARGE(I1095:AD1095,{1,2,3,4,5}))/5)</f>
        <v>0</v>
      </c>
      <c r="EJ1095" s="29">
        <f>IF(COUNT(I1095:BE1095)&lt;5,DZ1095,SUMPRODUCT(LARGE(I1095:BE1095,{1,2,3,4,5}))/5)</f>
        <v>0</v>
      </c>
      <c r="EK1095" s="29">
        <f t="shared" si="289"/>
        <v>0</v>
      </c>
      <c r="EL1095" s="29">
        <f>(EK1095*100)/101.28</f>
        <v>0</v>
      </c>
      <c r="EM1095" s="116">
        <f t="shared" si="288"/>
        <v>0</v>
      </c>
    </row>
    <row r="1096" spans="1:143" x14ac:dyDescent="0.25">
      <c r="A1096" s="59"/>
      <c r="B1096" s="32"/>
      <c r="C1096" s="5"/>
      <c r="D1096" s="6"/>
      <c r="E1096" s="6"/>
      <c r="F1096" s="6"/>
      <c r="G1096" s="5"/>
      <c r="H1096" s="37"/>
      <c r="I1096" s="36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227"/>
      <c r="Z1096" s="228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4"/>
      <c r="AP1096" s="7"/>
      <c r="AQ1096" s="74"/>
      <c r="AR1096" s="70"/>
      <c r="AS1096" s="70"/>
      <c r="AT1096" s="70"/>
      <c r="AU1096" s="7"/>
      <c r="AV1096" s="70"/>
      <c r="AW1096" s="7"/>
      <c r="AX1096" s="183"/>
      <c r="AY1096" s="10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4"/>
      <c r="BV1096" s="74"/>
      <c r="BW1096" s="7"/>
      <c r="BX1096" s="7"/>
      <c r="BY1096" s="7"/>
      <c r="BZ1096" s="7"/>
      <c r="CA1096" s="7"/>
      <c r="CB1096" s="7"/>
      <c r="CC1096" s="7"/>
      <c r="CD1096" s="7"/>
      <c r="CE1096" s="7"/>
      <c r="CF1096" s="7"/>
      <c r="CG1096" s="7"/>
      <c r="CH1096" s="7"/>
      <c r="CI1096" s="7"/>
      <c r="CJ1096" s="74"/>
      <c r="CK1096" s="101"/>
      <c r="CL1096" s="74"/>
      <c r="CM1096" s="74"/>
      <c r="CN1096" s="74"/>
      <c r="CO1096" s="70"/>
      <c r="CP1096" s="101"/>
      <c r="CQ1096" s="7"/>
      <c r="CR1096" s="74"/>
      <c r="CS1096" s="74"/>
      <c r="CT1096" s="74"/>
      <c r="CU1096" s="74"/>
      <c r="CV1096" s="74"/>
      <c r="CW1096" s="7"/>
      <c r="CX1096" s="7"/>
      <c r="CY1096" s="7"/>
      <c r="CZ1096" s="74"/>
      <c r="DA1096" s="7"/>
      <c r="DB1096" s="7"/>
      <c r="DC1096" s="7"/>
      <c r="DD1096" s="7"/>
      <c r="DE1096" s="74"/>
      <c r="DF1096" s="74"/>
      <c r="DG1096" s="74"/>
      <c r="DH1096" s="74"/>
      <c r="DI1096" s="74"/>
      <c r="DJ1096" s="7"/>
      <c r="DK1096" s="7"/>
      <c r="DL1096" s="7"/>
      <c r="DM1096" s="7"/>
      <c r="DN1096" s="74"/>
      <c r="DO1096" s="7"/>
      <c r="DP1096" s="74"/>
      <c r="DQ1096" s="7"/>
      <c r="DR1096" s="7"/>
      <c r="DS1096" s="7"/>
      <c r="DT1096" s="7"/>
      <c r="DU1096" s="7"/>
      <c r="DV1096" s="7"/>
      <c r="DW1096" s="7"/>
      <c r="DX1096" s="7"/>
      <c r="DY1096" s="7"/>
      <c r="DZ1096" s="8">
        <f t="shared" si="280"/>
        <v>0</v>
      </c>
      <c r="EA1096" s="3">
        <f t="shared" si="281"/>
        <v>0</v>
      </c>
      <c r="EB1096" s="2">
        <f t="shared" si="282"/>
        <v>0</v>
      </c>
      <c r="EC1096" s="112">
        <f t="shared" si="276"/>
        <v>0</v>
      </c>
      <c r="ED1096" s="29">
        <f t="shared" si="283"/>
        <v>0</v>
      </c>
      <c r="EE1096" s="2">
        <f t="shared" si="284"/>
        <v>0</v>
      </c>
      <c r="EF1096" s="46">
        <f t="shared" si="285"/>
        <v>0</v>
      </c>
      <c r="EG1096" s="46">
        <f t="shared" si="286"/>
        <v>0</v>
      </c>
      <c r="EH1096" s="2">
        <f t="shared" si="287"/>
        <v>0</v>
      </c>
      <c r="EI1096" s="29">
        <f>IF(COUNT(I1096:AD1096)&lt;5,DZ1096,SUMPRODUCT(LARGE(I1096:AD1096,{1,2,3,4,5}))/5)</f>
        <v>0</v>
      </c>
      <c r="EJ1096" s="29">
        <f>IF(COUNT(I1096:BE1096)&lt;5,DZ1096,SUMPRODUCT(LARGE(I1096:BE1096,{1,2,3,4,5}))/5)</f>
        <v>0</v>
      </c>
      <c r="EK1096" s="29">
        <f t="shared" si="289"/>
        <v>0</v>
      </c>
      <c r="EL1096" s="29">
        <f>(EK1096*100)/101.59</f>
        <v>0</v>
      </c>
      <c r="EM1096" s="116">
        <f t="shared" si="288"/>
        <v>0</v>
      </c>
    </row>
    <row r="1097" spans="1:143" x14ac:dyDescent="0.25">
      <c r="A1097" s="59"/>
      <c r="B1097" s="186"/>
      <c r="C1097" s="106"/>
      <c r="D1097" s="187"/>
      <c r="E1097" s="187"/>
      <c r="F1097" s="187"/>
      <c r="G1097" s="106"/>
      <c r="H1097" s="188"/>
      <c r="I1097" s="107"/>
      <c r="J1097" s="74"/>
      <c r="K1097" s="74"/>
      <c r="L1097" s="74"/>
      <c r="M1097" s="74"/>
      <c r="N1097" s="74"/>
      <c r="O1097" s="74"/>
      <c r="P1097" s="74"/>
      <c r="Q1097" s="74"/>
      <c r="R1097" s="74"/>
      <c r="S1097" s="74"/>
      <c r="T1097" s="74"/>
      <c r="U1097" s="74"/>
      <c r="V1097" s="74"/>
      <c r="W1097" s="74"/>
      <c r="X1097" s="74"/>
      <c r="Y1097" s="229"/>
      <c r="Z1097" s="230"/>
      <c r="AA1097" s="74"/>
      <c r="AB1097" s="74"/>
      <c r="AC1097" s="74"/>
      <c r="AD1097" s="74"/>
      <c r="AE1097" s="74"/>
      <c r="AF1097" s="74"/>
      <c r="AG1097" s="74"/>
      <c r="AH1097" s="74"/>
      <c r="AI1097" s="74"/>
      <c r="AJ1097" s="74"/>
      <c r="AK1097" s="74"/>
      <c r="AL1097" s="74"/>
      <c r="AM1097" s="74"/>
      <c r="AN1097" s="74"/>
      <c r="AO1097" s="74"/>
      <c r="AP1097" s="74"/>
      <c r="AQ1097" s="74"/>
      <c r="AR1097" s="101"/>
      <c r="AS1097" s="101"/>
      <c r="AT1097" s="101"/>
      <c r="AU1097" s="74"/>
      <c r="AV1097" s="101"/>
      <c r="AW1097" s="74"/>
      <c r="AX1097" s="183"/>
      <c r="AY1097" s="107"/>
      <c r="AZ1097" s="74"/>
      <c r="BA1097" s="74"/>
      <c r="BB1097" s="74"/>
      <c r="BC1097" s="74"/>
      <c r="BD1097" s="74"/>
      <c r="BE1097" s="74"/>
      <c r="BF1097" s="74"/>
      <c r="BG1097" s="74"/>
      <c r="BH1097" s="74"/>
      <c r="BI1097" s="74"/>
      <c r="BJ1097" s="74"/>
      <c r="BK1097" s="74"/>
      <c r="BL1097" s="74"/>
      <c r="BM1097" s="74"/>
      <c r="BN1097" s="74"/>
      <c r="BO1097" s="74"/>
      <c r="BP1097" s="74"/>
      <c r="BQ1097" s="74"/>
      <c r="BR1097" s="74"/>
      <c r="BS1097" s="74"/>
      <c r="BT1097" s="74"/>
      <c r="BU1097" s="74"/>
      <c r="BV1097" s="74"/>
      <c r="BW1097" s="74"/>
      <c r="BX1097" s="74"/>
      <c r="BY1097" s="74"/>
      <c r="BZ1097" s="74"/>
      <c r="CA1097" s="74"/>
      <c r="CB1097" s="74"/>
      <c r="CC1097" s="74"/>
      <c r="CD1097" s="74"/>
      <c r="CE1097" s="74"/>
      <c r="CF1097" s="74"/>
      <c r="CG1097" s="74"/>
      <c r="CH1097" s="74"/>
      <c r="CI1097" s="74"/>
      <c r="CJ1097" s="74"/>
      <c r="CK1097" s="101"/>
      <c r="CL1097" s="74"/>
      <c r="CM1097" s="74"/>
      <c r="CN1097" s="74"/>
      <c r="CO1097" s="101"/>
      <c r="CP1097" s="101"/>
      <c r="CQ1097" s="74"/>
      <c r="CR1097" s="74"/>
      <c r="CS1097" s="74"/>
      <c r="CT1097" s="74"/>
      <c r="CU1097" s="74"/>
      <c r="CV1097" s="74"/>
      <c r="CW1097" s="74"/>
      <c r="CX1097" s="74"/>
      <c r="CY1097" s="74"/>
      <c r="CZ1097" s="74"/>
      <c r="DA1097" s="74"/>
      <c r="DB1097" s="74"/>
      <c r="DC1097" s="74"/>
      <c r="DD1097" s="74"/>
      <c r="DE1097" s="74"/>
      <c r="DF1097" s="74"/>
      <c r="DG1097" s="74"/>
      <c r="DH1097" s="74"/>
      <c r="DI1097" s="74"/>
      <c r="DJ1097" s="74"/>
      <c r="DK1097" s="74"/>
      <c r="DL1097" s="74"/>
      <c r="DM1097" s="74"/>
      <c r="DN1097" s="74"/>
      <c r="DO1097" s="74"/>
      <c r="DP1097" s="74"/>
      <c r="DQ1097" s="74"/>
      <c r="DR1097" s="74"/>
      <c r="DS1097" s="74"/>
      <c r="DT1097" s="74"/>
      <c r="DU1097" s="74"/>
      <c r="DV1097" s="74"/>
      <c r="DW1097" s="74"/>
      <c r="DX1097" s="74"/>
      <c r="DY1097" s="74"/>
      <c r="DZ1097" s="183">
        <f t="shared" si="280"/>
        <v>0</v>
      </c>
      <c r="EA1097" s="189">
        <f t="shared" si="281"/>
        <v>0</v>
      </c>
      <c r="EB1097" s="190">
        <f t="shared" si="282"/>
        <v>0</v>
      </c>
      <c r="EC1097" s="112">
        <f t="shared" si="276"/>
        <v>0</v>
      </c>
      <c r="ED1097" s="191">
        <f t="shared" si="283"/>
        <v>0</v>
      </c>
      <c r="EE1097" s="190">
        <f t="shared" si="284"/>
        <v>0</v>
      </c>
      <c r="EF1097" s="192">
        <f t="shared" si="285"/>
        <v>0</v>
      </c>
      <c r="EG1097" s="192">
        <f t="shared" si="286"/>
        <v>0</v>
      </c>
      <c r="EH1097" s="190">
        <f t="shared" si="287"/>
        <v>0</v>
      </c>
      <c r="EI1097" s="191">
        <f>IF(COUNT(I1097:AD1097)&lt;5,DZ1097,SUMPRODUCT(LARGE(I1097:AD1097,{1,2,3,4,5}))/5)</f>
        <v>0</v>
      </c>
      <c r="EJ1097" s="191">
        <f>IF(COUNT(I1097:BE1097)&lt;5,DZ1097,SUMPRODUCT(LARGE(I1097:BE1097,{1,2,3,4,5}))/5)</f>
        <v>0</v>
      </c>
      <c r="EK1097" s="29">
        <f t="shared" si="289"/>
        <v>0</v>
      </c>
      <c r="EL1097" s="191">
        <f>(EK1097*100)/101.59</f>
        <v>0</v>
      </c>
      <c r="EM1097" s="193">
        <f t="shared" si="288"/>
        <v>0</v>
      </c>
    </row>
    <row r="1098" spans="1:143" x14ac:dyDescent="0.25">
      <c r="A1098" s="59"/>
      <c r="B1098" s="32"/>
      <c r="C1098" s="5"/>
      <c r="D1098" s="6"/>
      <c r="E1098" s="6"/>
      <c r="F1098" s="6"/>
      <c r="G1098" s="5"/>
      <c r="H1098" s="37"/>
      <c r="I1098" s="36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227"/>
      <c r="Z1098" s="228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4"/>
      <c r="AP1098" s="7"/>
      <c r="AQ1098" s="74"/>
      <c r="AR1098" s="70"/>
      <c r="AS1098" s="70"/>
      <c r="AT1098" s="70"/>
      <c r="AU1098" s="7"/>
      <c r="AV1098" s="70"/>
      <c r="AW1098" s="7"/>
      <c r="AX1098" s="183"/>
      <c r="AY1098" s="10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4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  <c r="BZ1098" s="7"/>
      <c r="CA1098" s="7"/>
      <c r="CB1098" s="7"/>
      <c r="CC1098" s="7"/>
      <c r="CD1098" s="7"/>
      <c r="CE1098" s="7"/>
      <c r="CF1098" s="7"/>
      <c r="CG1098" s="7"/>
      <c r="CH1098" s="7"/>
      <c r="CI1098" s="7"/>
      <c r="CJ1098" s="7"/>
      <c r="CK1098" s="101"/>
      <c r="CL1098" s="74"/>
      <c r="CM1098" s="74"/>
      <c r="CN1098" s="74"/>
      <c r="CO1098" s="70"/>
      <c r="CP1098" s="101"/>
      <c r="CQ1098" s="7"/>
      <c r="CR1098" s="74"/>
      <c r="CS1098" s="74"/>
      <c r="CT1098" s="74"/>
      <c r="CU1098" s="74"/>
      <c r="CV1098" s="74"/>
      <c r="CW1098" s="7"/>
      <c r="CX1098" s="7"/>
      <c r="CY1098" s="7"/>
      <c r="CZ1098" s="7"/>
      <c r="DA1098" s="7"/>
      <c r="DB1098" s="7"/>
      <c r="DC1098" s="7"/>
      <c r="DD1098" s="7"/>
      <c r="DE1098" s="74"/>
      <c r="DF1098" s="74"/>
      <c r="DG1098" s="74"/>
      <c r="DH1098" s="74"/>
      <c r="DI1098" s="74"/>
      <c r="DJ1098" s="7"/>
      <c r="DK1098" s="7"/>
      <c r="DL1098" s="7"/>
      <c r="DM1098" s="7"/>
      <c r="DN1098" s="7"/>
      <c r="DO1098" s="7"/>
      <c r="DP1098" s="7"/>
      <c r="DQ1098" s="7"/>
      <c r="DR1098" s="7"/>
      <c r="DS1098" s="7"/>
      <c r="DT1098" s="7"/>
      <c r="DU1098" s="7"/>
      <c r="DV1098" s="7"/>
      <c r="DW1098" s="7"/>
      <c r="DX1098" s="7"/>
      <c r="DY1098" s="7"/>
      <c r="DZ1098" s="8">
        <f t="shared" si="280"/>
        <v>0</v>
      </c>
      <c r="EA1098" s="3">
        <f t="shared" si="281"/>
        <v>0</v>
      </c>
      <c r="EB1098" s="2">
        <f t="shared" si="282"/>
        <v>0</v>
      </c>
      <c r="EC1098" s="112">
        <f t="shared" si="276"/>
        <v>0</v>
      </c>
      <c r="ED1098" s="29">
        <f t="shared" si="283"/>
        <v>0</v>
      </c>
      <c r="EE1098" s="2">
        <f t="shared" si="284"/>
        <v>0</v>
      </c>
      <c r="EF1098" s="46">
        <f t="shared" si="285"/>
        <v>0</v>
      </c>
      <c r="EG1098" s="46">
        <f t="shared" si="286"/>
        <v>0</v>
      </c>
      <c r="EH1098" s="2">
        <f t="shared" si="287"/>
        <v>0</v>
      </c>
      <c r="EI1098" s="29">
        <f>IF(COUNT(I1098:AD1098)&lt;5,DZ1098,SUMPRODUCT(LARGE(I1098:AD1098,{1,2,3,4,5}))/5)</f>
        <v>0</v>
      </c>
      <c r="EJ1098" s="29">
        <f>IF(COUNT(I1098:BE1098)&lt;5,DZ1098,SUMPRODUCT(LARGE(I1098:BE1098,{1,2,3,4,5}))/5)</f>
        <v>0</v>
      </c>
      <c r="EK1098" s="29">
        <f t="shared" si="289"/>
        <v>0</v>
      </c>
      <c r="EL1098" s="29">
        <f>(EK1098*100)/101.28</f>
        <v>0</v>
      </c>
      <c r="EM1098" s="116">
        <f t="shared" si="288"/>
        <v>0</v>
      </c>
    </row>
    <row r="1099" spans="1:143" x14ac:dyDescent="0.25">
      <c r="A1099" s="59"/>
      <c r="B1099" s="32"/>
      <c r="C1099" s="5"/>
      <c r="D1099" s="6"/>
      <c r="E1099" s="6"/>
      <c r="F1099" s="6"/>
      <c r="G1099" s="5"/>
      <c r="H1099" s="37"/>
      <c r="I1099" s="36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227"/>
      <c r="Z1099" s="228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4"/>
      <c r="AP1099" s="7"/>
      <c r="AQ1099" s="74"/>
      <c r="AR1099" s="70"/>
      <c r="AS1099" s="70"/>
      <c r="AT1099" s="70"/>
      <c r="AU1099" s="7"/>
      <c r="AV1099" s="70"/>
      <c r="AW1099" s="7"/>
      <c r="AX1099" s="8"/>
      <c r="AY1099" s="36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4"/>
      <c r="BK1099" s="7"/>
      <c r="BL1099" s="74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  <c r="BZ1099" s="7"/>
      <c r="CA1099" s="7"/>
      <c r="CB1099" s="7"/>
      <c r="CC1099" s="7"/>
      <c r="CD1099" s="7"/>
      <c r="CE1099" s="7"/>
      <c r="CF1099" s="7"/>
      <c r="CG1099" s="7"/>
      <c r="CH1099" s="7"/>
      <c r="CI1099" s="7"/>
      <c r="CJ1099" s="7"/>
      <c r="CK1099" s="101"/>
      <c r="CL1099" s="74"/>
      <c r="CM1099" s="74"/>
      <c r="CN1099" s="74"/>
      <c r="CO1099" s="70"/>
      <c r="CP1099" s="101"/>
      <c r="CQ1099" s="7"/>
      <c r="CR1099" s="74"/>
      <c r="CS1099" s="74"/>
      <c r="CT1099" s="74"/>
      <c r="CU1099" s="74"/>
      <c r="CV1099" s="74"/>
      <c r="CW1099" s="7"/>
      <c r="CX1099" s="7"/>
      <c r="CY1099" s="7"/>
      <c r="CZ1099" s="7"/>
      <c r="DA1099" s="7"/>
      <c r="DB1099" s="7"/>
      <c r="DC1099" s="7"/>
      <c r="DD1099" s="7"/>
      <c r="DE1099" s="74"/>
      <c r="DF1099" s="74"/>
      <c r="DG1099" s="74"/>
      <c r="DH1099" s="74"/>
      <c r="DI1099" s="74"/>
      <c r="DJ1099" s="7"/>
      <c r="DK1099" s="7"/>
      <c r="DL1099" s="7"/>
      <c r="DM1099" s="7"/>
      <c r="DN1099" s="7"/>
      <c r="DO1099" s="7"/>
      <c r="DP1099" s="7"/>
      <c r="DQ1099" s="7"/>
      <c r="DR1099" s="7"/>
      <c r="DS1099" s="7"/>
      <c r="DT1099" s="7"/>
      <c r="DU1099" s="7"/>
      <c r="DV1099" s="7"/>
      <c r="DW1099" s="7"/>
      <c r="DX1099" s="7"/>
      <c r="DY1099" s="7"/>
      <c r="DZ1099" s="8">
        <f t="shared" si="280"/>
        <v>0</v>
      </c>
      <c r="EA1099" s="3">
        <f t="shared" si="281"/>
        <v>0</v>
      </c>
      <c r="EB1099" s="2">
        <f t="shared" si="282"/>
        <v>0</v>
      </c>
      <c r="EC1099" s="112">
        <f t="shared" si="276"/>
        <v>0</v>
      </c>
      <c r="ED1099" s="29">
        <f t="shared" si="283"/>
        <v>0</v>
      </c>
      <c r="EE1099" s="2">
        <f t="shared" si="284"/>
        <v>0</v>
      </c>
      <c r="EF1099" s="46">
        <f t="shared" si="285"/>
        <v>0</v>
      </c>
      <c r="EG1099" s="46">
        <f t="shared" si="286"/>
        <v>0</v>
      </c>
      <c r="EH1099" s="2">
        <f t="shared" si="287"/>
        <v>0</v>
      </c>
      <c r="EI1099" s="29">
        <f>IF(COUNT(I1099:AD1099)&lt;5,DZ1099,SUMPRODUCT(LARGE(I1099:AD1099,{1,2,3,4,5}))/5)</f>
        <v>0</v>
      </c>
      <c r="EJ1099" s="29">
        <f>IF(COUNT(I1099:BE1099)&lt;5,DZ1099,SUMPRODUCT(LARGE(I1099:BE1099,{1,2,3,4,5}))/5)</f>
        <v>0</v>
      </c>
      <c r="EK1099" s="29">
        <f t="shared" si="289"/>
        <v>0</v>
      </c>
      <c r="EL1099" s="29">
        <f>(EK1099*100)/101.28</f>
        <v>0</v>
      </c>
      <c r="EM1099" s="116">
        <f t="shared" si="288"/>
        <v>0</v>
      </c>
    </row>
    <row r="1100" spans="1:143" x14ac:dyDescent="0.25">
      <c r="A1100" s="59"/>
      <c r="B1100" s="54"/>
      <c r="C1100" s="55"/>
      <c r="D1100" s="55"/>
      <c r="E1100" s="6"/>
      <c r="F1100" s="6"/>
      <c r="G1100" s="5"/>
      <c r="H1100" s="37"/>
      <c r="I1100" s="36"/>
      <c r="J1100" s="7"/>
      <c r="K1100" s="7"/>
      <c r="L1100" s="7"/>
      <c r="M1100" s="74"/>
      <c r="N1100" s="74"/>
      <c r="O1100" s="100"/>
      <c r="P1100" s="74"/>
      <c r="Q1100" s="7"/>
      <c r="R1100" s="74"/>
      <c r="S1100" s="74"/>
      <c r="T1100" s="74"/>
      <c r="U1100" s="74"/>
      <c r="V1100" s="74"/>
      <c r="W1100" s="7"/>
      <c r="X1100" s="74"/>
      <c r="Y1100" s="227"/>
      <c r="Z1100" s="228"/>
      <c r="AA1100" s="74"/>
      <c r="AB1100" s="74"/>
      <c r="AC1100" s="74"/>
      <c r="AD1100" s="74"/>
      <c r="AE1100" s="74"/>
      <c r="AF1100" s="74"/>
      <c r="AG1100" s="74"/>
      <c r="AH1100" s="74"/>
      <c r="AI1100" s="74"/>
      <c r="AJ1100" s="74"/>
      <c r="AK1100" s="74"/>
      <c r="AL1100" s="74"/>
      <c r="AM1100" s="74"/>
      <c r="AN1100" s="74"/>
      <c r="AO1100" s="74"/>
      <c r="AP1100" s="74"/>
      <c r="AQ1100" s="74"/>
      <c r="AR1100" s="101"/>
      <c r="AS1100" s="70"/>
      <c r="AT1100" s="101"/>
      <c r="AU1100" s="7"/>
      <c r="AV1100" s="101"/>
      <c r="AW1100" s="7"/>
      <c r="AX1100" s="183"/>
      <c r="AY1100" s="107"/>
      <c r="AZ1100" s="74"/>
      <c r="BA1100" s="74"/>
      <c r="BB1100" s="74"/>
      <c r="BC1100" s="74"/>
      <c r="BD1100" s="74"/>
      <c r="BE1100" s="74"/>
      <c r="BF1100" s="74"/>
      <c r="BG1100" s="74"/>
      <c r="BH1100" s="74"/>
      <c r="BI1100" s="74"/>
      <c r="BJ1100" s="74"/>
      <c r="BK1100" s="7"/>
      <c r="BL1100" s="74"/>
      <c r="BM1100" s="7"/>
      <c r="BN1100" s="74"/>
      <c r="BO1100" s="74"/>
      <c r="BP1100" s="74"/>
      <c r="BQ1100" s="74"/>
      <c r="BR1100" s="74"/>
      <c r="BS1100" s="74"/>
      <c r="BT1100" s="74"/>
      <c r="BU1100" s="74"/>
      <c r="BV1100" s="74"/>
      <c r="BW1100" s="74"/>
      <c r="BX1100" s="74"/>
      <c r="BY1100" s="74"/>
      <c r="BZ1100" s="74"/>
      <c r="CA1100" s="74"/>
      <c r="CB1100" s="74"/>
      <c r="CC1100" s="74"/>
      <c r="CD1100" s="74"/>
      <c r="CE1100" s="74"/>
      <c r="CF1100" s="74"/>
      <c r="CG1100" s="74"/>
      <c r="CH1100" s="74"/>
      <c r="CI1100" s="74"/>
      <c r="CJ1100" s="74"/>
      <c r="CK1100" s="101"/>
      <c r="CL1100" s="74"/>
      <c r="CM1100" s="74"/>
      <c r="CN1100" s="74"/>
      <c r="CO1100" s="101"/>
      <c r="CP1100" s="101"/>
      <c r="CQ1100" s="74"/>
      <c r="CR1100" s="74"/>
      <c r="CS1100" s="74"/>
      <c r="CT1100" s="74"/>
      <c r="CU1100" s="74"/>
      <c r="CV1100" s="74"/>
      <c r="CW1100" s="74"/>
      <c r="CX1100" s="74"/>
      <c r="CY1100" s="74"/>
      <c r="CZ1100" s="74"/>
      <c r="DA1100" s="74"/>
      <c r="DB1100" s="74"/>
      <c r="DC1100" s="74"/>
      <c r="DD1100" s="74"/>
      <c r="DE1100" s="74"/>
      <c r="DF1100" s="74"/>
      <c r="DG1100" s="74"/>
      <c r="DH1100" s="74"/>
      <c r="DI1100" s="74"/>
      <c r="DJ1100" s="74"/>
      <c r="DK1100" s="74"/>
      <c r="DL1100" s="74"/>
      <c r="DM1100" s="74"/>
      <c r="DN1100" s="74"/>
      <c r="DO1100" s="74"/>
      <c r="DP1100" s="100"/>
      <c r="DQ1100" s="100"/>
      <c r="DR1100" s="100"/>
      <c r="DS1100" s="74"/>
      <c r="DT1100" s="74"/>
      <c r="DU1100" s="74"/>
      <c r="DV1100" s="74"/>
      <c r="DW1100" s="74"/>
      <c r="DX1100" s="74"/>
      <c r="DY1100" s="74"/>
      <c r="DZ1100" s="8">
        <f t="shared" si="280"/>
        <v>0</v>
      </c>
      <c r="EA1100" s="3">
        <f t="shared" si="281"/>
        <v>0</v>
      </c>
      <c r="EB1100" s="2">
        <f t="shared" si="282"/>
        <v>0</v>
      </c>
      <c r="EC1100" s="112">
        <f t="shared" si="276"/>
        <v>0</v>
      </c>
      <c r="ED1100" s="29">
        <f t="shared" si="283"/>
        <v>0</v>
      </c>
      <c r="EE1100" s="2">
        <f t="shared" si="284"/>
        <v>0</v>
      </c>
      <c r="EF1100" s="46">
        <f t="shared" si="285"/>
        <v>0</v>
      </c>
      <c r="EG1100" s="46">
        <f t="shared" si="286"/>
        <v>0</v>
      </c>
      <c r="EH1100" s="29">
        <f t="shared" si="287"/>
        <v>0</v>
      </c>
      <c r="EI1100" s="29">
        <f>IF(COUNT(I1100:AD1100)&lt;5,DZ1100,SUMPRODUCT(LARGE(I1100:AD1100,{1,2,3,4,5}))/5)</f>
        <v>0</v>
      </c>
      <c r="EJ1100" s="29">
        <f>IF(COUNT(I1100:BE1100)&lt;5,DZ1100,SUMPRODUCT(LARGE(I1100:BE1100,{1,2,3,4,5}))/5)</f>
        <v>0</v>
      </c>
      <c r="EK1100" s="29">
        <f t="shared" si="289"/>
        <v>0</v>
      </c>
      <c r="EL1100" s="29">
        <f>(EK1100*100)/101.28</f>
        <v>0</v>
      </c>
      <c r="EM1100" s="116">
        <f t="shared" si="288"/>
        <v>0</v>
      </c>
    </row>
    <row r="1101" spans="1:143" x14ac:dyDescent="0.25">
      <c r="A1101" s="59"/>
      <c r="B1101" s="4"/>
      <c r="C1101" s="5"/>
      <c r="D1101" s="5"/>
      <c r="E1101" s="6"/>
      <c r="F1101" s="6"/>
      <c r="G1101" s="5"/>
      <c r="H1101" s="37"/>
      <c r="I1101" s="36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227"/>
      <c r="Z1101" s="228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4"/>
      <c r="AP1101" s="7"/>
      <c r="AQ1101" s="74"/>
      <c r="AR1101" s="70"/>
      <c r="AS1101" s="70"/>
      <c r="AT1101" s="70"/>
      <c r="AU1101" s="7"/>
      <c r="AV1101" s="70"/>
      <c r="AW1101" s="7"/>
      <c r="AX1101" s="8"/>
      <c r="AY1101" s="36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4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  <c r="BZ1101" s="7"/>
      <c r="CA1101" s="7"/>
      <c r="CB1101" s="7"/>
      <c r="CC1101" s="7"/>
      <c r="CD1101" s="7"/>
      <c r="CE1101" s="7"/>
      <c r="CF1101" s="7"/>
      <c r="CG1101" s="7"/>
      <c r="CH1101" s="7"/>
      <c r="CI1101" s="7"/>
      <c r="CJ1101" s="7"/>
      <c r="CK1101" s="101"/>
      <c r="CL1101" s="74"/>
      <c r="CM1101" s="74"/>
      <c r="CN1101" s="74"/>
      <c r="CO1101" s="70"/>
      <c r="CP1101" s="101"/>
      <c r="CQ1101" s="7"/>
      <c r="CR1101" s="74"/>
      <c r="CS1101" s="74"/>
      <c r="CT1101" s="74"/>
      <c r="CU1101" s="74"/>
      <c r="CV1101" s="74"/>
      <c r="CW1101" s="7"/>
      <c r="CX1101" s="7"/>
      <c r="CY1101" s="7"/>
      <c r="CZ1101" s="7"/>
      <c r="DA1101" s="7"/>
      <c r="DB1101" s="7"/>
      <c r="DC1101" s="7"/>
      <c r="DD1101" s="7"/>
      <c r="DE1101" s="74"/>
      <c r="DF1101" s="74"/>
      <c r="DG1101" s="74"/>
      <c r="DH1101" s="74"/>
      <c r="DI1101" s="74"/>
      <c r="DJ1101" s="7"/>
      <c r="DK1101" s="7"/>
      <c r="DL1101" s="7"/>
      <c r="DM1101" s="7"/>
      <c r="DN1101" s="7"/>
      <c r="DO1101" s="7"/>
      <c r="DP1101" s="7"/>
      <c r="DQ1101" s="7"/>
      <c r="DR1101" s="7"/>
      <c r="DS1101" s="7"/>
      <c r="DT1101" s="7"/>
      <c r="DU1101" s="7"/>
      <c r="DV1101" s="7"/>
      <c r="DW1101" s="7"/>
      <c r="DX1101" s="7"/>
      <c r="DY1101" s="7"/>
      <c r="DZ1101" s="8">
        <f t="shared" si="280"/>
        <v>0</v>
      </c>
      <c r="EA1101" s="3">
        <f t="shared" si="281"/>
        <v>0</v>
      </c>
      <c r="EB1101" s="2">
        <f t="shared" si="282"/>
        <v>0</v>
      </c>
      <c r="EC1101" s="112">
        <f t="shared" si="276"/>
        <v>0</v>
      </c>
      <c r="ED1101" s="29">
        <f t="shared" si="283"/>
        <v>0</v>
      </c>
      <c r="EE1101" s="2">
        <f t="shared" si="284"/>
        <v>0</v>
      </c>
      <c r="EF1101" s="46">
        <f t="shared" si="285"/>
        <v>0</v>
      </c>
      <c r="EG1101" s="46">
        <f t="shared" si="286"/>
        <v>0</v>
      </c>
      <c r="EH1101" s="2">
        <f t="shared" si="287"/>
        <v>0</v>
      </c>
      <c r="EI1101" s="29">
        <f>IF(COUNT(I1101:AD1101)&lt;5,DZ1101,SUMPRODUCT(LARGE(I1101:AD1101,{1,2,3,4,5}))/5)</f>
        <v>0</v>
      </c>
      <c r="EJ1101" s="29">
        <f>IF(COUNT(I1101:BE1101)&lt;5,DZ1101,SUMPRODUCT(LARGE(I1101:BE1101,{1,2,3,4,5}))/5)</f>
        <v>0</v>
      </c>
      <c r="EK1101" s="29">
        <f t="shared" si="289"/>
        <v>0</v>
      </c>
      <c r="EL1101" s="29">
        <f>(EK1101*100)/101.28</f>
        <v>0</v>
      </c>
      <c r="EM1101" s="116">
        <f t="shared" si="288"/>
        <v>0</v>
      </c>
    </row>
    <row r="1102" spans="1:143" x14ac:dyDescent="0.25">
      <c r="A1102" s="59"/>
      <c r="B1102" s="32"/>
      <c r="C1102" s="5"/>
      <c r="D1102" s="6"/>
      <c r="E1102" s="6"/>
      <c r="F1102" s="6"/>
      <c r="G1102" s="5"/>
      <c r="H1102" s="37"/>
      <c r="I1102" s="10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227"/>
      <c r="Z1102" s="228"/>
      <c r="AA1102" s="7"/>
      <c r="AB1102" s="7"/>
      <c r="AC1102" s="7"/>
      <c r="AD1102" s="74"/>
      <c r="AE1102" s="74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4"/>
      <c r="AP1102" s="7"/>
      <c r="AQ1102" s="74"/>
      <c r="AR1102" s="70"/>
      <c r="AS1102" s="70"/>
      <c r="AT1102" s="70"/>
      <c r="AU1102" s="7"/>
      <c r="AV1102" s="70"/>
      <c r="AW1102" s="7"/>
      <c r="AX1102" s="8"/>
      <c r="AY1102" s="36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  <c r="BZ1102" s="7"/>
      <c r="CA1102" s="7"/>
      <c r="CB1102" s="7"/>
      <c r="CC1102" s="7"/>
      <c r="CD1102" s="7"/>
      <c r="CE1102" s="7"/>
      <c r="CF1102" s="7"/>
      <c r="CG1102" s="7"/>
      <c r="CH1102" s="7"/>
      <c r="CI1102" s="7"/>
      <c r="CJ1102" s="7"/>
      <c r="CK1102" s="101"/>
      <c r="CL1102" s="74"/>
      <c r="CM1102" s="74"/>
      <c r="CN1102" s="74"/>
      <c r="CO1102" s="70"/>
      <c r="CP1102" s="101"/>
      <c r="CQ1102" s="7"/>
      <c r="CR1102" s="74"/>
      <c r="CS1102" s="74"/>
      <c r="CT1102" s="74"/>
      <c r="CU1102" s="74"/>
      <c r="CV1102" s="74"/>
      <c r="CW1102" s="7"/>
      <c r="CX1102" s="7"/>
      <c r="CY1102" s="7"/>
      <c r="CZ1102" s="74"/>
      <c r="DA1102" s="7"/>
      <c r="DB1102" s="7"/>
      <c r="DC1102" s="7"/>
      <c r="DD1102" s="7"/>
      <c r="DE1102" s="74"/>
      <c r="DF1102" s="74"/>
      <c r="DG1102" s="74"/>
      <c r="DH1102" s="74"/>
      <c r="DI1102" s="74"/>
      <c r="DJ1102" s="7"/>
      <c r="DK1102" s="7"/>
      <c r="DL1102" s="7"/>
      <c r="DM1102" s="7"/>
      <c r="DN1102" s="7"/>
      <c r="DO1102" s="7"/>
      <c r="DP1102" s="7"/>
      <c r="DQ1102" s="7"/>
      <c r="DR1102" s="7"/>
      <c r="DS1102" s="7"/>
      <c r="DT1102" s="7"/>
      <c r="DU1102" s="7"/>
      <c r="DV1102" s="7"/>
      <c r="DW1102" s="7"/>
      <c r="DX1102" s="7"/>
      <c r="DY1102" s="7"/>
      <c r="DZ1102" s="8">
        <f t="shared" si="280"/>
        <v>0</v>
      </c>
      <c r="EA1102" s="3">
        <f t="shared" si="281"/>
        <v>0</v>
      </c>
      <c r="EB1102" s="2">
        <f t="shared" si="282"/>
        <v>0</v>
      </c>
      <c r="EC1102" s="112">
        <f t="shared" si="276"/>
        <v>0</v>
      </c>
      <c r="ED1102" s="29">
        <f t="shared" si="283"/>
        <v>0</v>
      </c>
      <c r="EE1102" s="2">
        <f t="shared" si="284"/>
        <v>0</v>
      </c>
      <c r="EF1102" s="46">
        <f t="shared" si="285"/>
        <v>0</v>
      </c>
      <c r="EG1102" s="46">
        <f t="shared" si="286"/>
        <v>0</v>
      </c>
      <c r="EH1102" s="2">
        <f t="shared" si="287"/>
        <v>0</v>
      </c>
      <c r="EI1102" s="29">
        <f>IF(COUNT(I1102:AD1102)&lt;5,DZ1102,SUMPRODUCT(LARGE(I1102:AD1102,{1,2,3,4,5}))/5)</f>
        <v>0</v>
      </c>
      <c r="EJ1102" s="29">
        <f>IF(COUNT(I1102:BE1102)&lt;5,DZ1102,SUMPRODUCT(LARGE(I1102:BE1102,{1,2,3,4,5}))/5)</f>
        <v>0</v>
      </c>
      <c r="EK1102" s="29">
        <f t="shared" si="289"/>
        <v>0</v>
      </c>
      <c r="EL1102" s="29">
        <f>(EK1102*100)/101.59</f>
        <v>0</v>
      </c>
      <c r="EM1102" s="116">
        <f t="shared" si="288"/>
        <v>0</v>
      </c>
    </row>
    <row r="1103" spans="1:143" x14ac:dyDescent="0.25">
      <c r="A1103" s="59"/>
      <c r="B1103" s="32"/>
      <c r="C1103" s="5"/>
      <c r="D1103" s="6"/>
      <c r="E1103" s="6"/>
      <c r="F1103" s="6"/>
      <c r="G1103" s="5"/>
      <c r="H1103" s="37"/>
      <c r="I1103" s="36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227"/>
      <c r="Z1103" s="228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0"/>
      <c r="AS1103" s="70"/>
      <c r="AT1103" s="70"/>
      <c r="AU1103" s="7"/>
      <c r="AV1103" s="70"/>
      <c r="AW1103" s="7"/>
      <c r="AX1103" s="183"/>
      <c r="AY1103" s="107"/>
      <c r="AZ1103" s="7"/>
      <c r="BA1103" s="7"/>
      <c r="BB1103" s="7"/>
      <c r="BC1103" s="74"/>
      <c r="BD1103" s="7"/>
      <c r="BE1103" s="74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  <c r="BZ1103" s="7"/>
      <c r="CA1103" s="7"/>
      <c r="CB1103" s="7"/>
      <c r="CC1103" s="7"/>
      <c r="CD1103" s="7"/>
      <c r="CE1103" s="7"/>
      <c r="CF1103" s="7"/>
      <c r="CG1103" s="7"/>
      <c r="CH1103" s="7"/>
      <c r="CI1103" s="7"/>
      <c r="CJ1103" s="7"/>
      <c r="CK1103" s="101"/>
      <c r="CL1103" s="74"/>
      <c r="CM1103" s="74"/>
      <c r="CN1103" s="74"/>
      <c r="CO1103" s="70"/>
      <c r="CP1103" s="101"/>
      <c r="CQ1103" s="7"/>
      <c r="CR1103" s="74"/>
      <c r="CS1103" s="74"/>
      <c r="CT1103" s="74"/>
      <c r="CU1103" s="74"/>
      <c r="CV1103" s="74"/>
      <c r="CW1103" s="7"/>
      <c r="CX1103" s="7"/>
      <c r="CY1103" s="7"/>
      <c r="CZ1103" s="7"/>
      <c r="DA1103" s="7"/>
      <c r="DB1103" s="7"/>
      <c r="DC1103" s="7"/>
      <c r="DD1103" s="7"/>
      <c r="DE1103" s="74"/>
      <c r="DF1103" s="74"/>
      <c r="DG1103" s="74"/>
      <c r="DH1103" s="74"/>
      <c r="DI1103" s="74"/>
      <c r="DJ1103" s="7"/>
      <c r="DK1103" s="7"/>
      <c r="DL1103" s="7"/>
      <c r="DM1103" s="7"/>
      <c r="DN1103" s="7"/>
      <c r="DO1103" s="7"/>
      <c r="DP1103" s="7"/>
      <c r="DQ1103" s="7"/>
      <c r="DR1103" s="7"/>
      <c r="DS1103" s="7"/>
      <c r="DT1103" s="7"/>
      <c r="DU1103" s="7"/>
      <c r="DV1103" s="7"/>
      <c r="DW1103" s="7"/>
      <c r="DX1103" s="7"/>
      <c r="DY1103" s="7"/>
      <c r="DZ1103" s="8">
        <f t="shared" si="280"/>
        <v>0</v>
      </c>
      <c r="EA1103" s="22">
        <f t="shared" si="281"/>
        <v>0</v>
      </c>
      <c r="EB1103" s="56">
        <f t="shared" si="282"/>
        <v>0</v>
      </c>
      <c r="EC1103" s="112">
        <f t="shared" si="276"/>
        <v>0</v>
      </c>
      <c r="ED1103" s="112">
        <f t="shared" si="283"/>
        <v>0</v>
      </c>
      <c r="EE1103" s="56">
        <f t="shared" si="284"/>
        <v>0</v>
      </c>
      <c r="EF1103" s="111">
        <f t="shared" si="285"/>
        <v>0</v>
      </c>
      <c r="EG1103" s="111">
        <f t="shared" si="286"/>
        <v>0</v>
      </c>
      <c r="EH1103" s="56">
        <f t="shared" si="287"/>
        <v>0</v>
      </c>
      <c r="EI1103" s="112">
        <f>IF(COUNT(I1103:AD1103)&lt;5,DZ1103,SUMPRODUCT(LARGE(I1103:AD1103,{1,2,3,4,5}))/5)</f>
        <v>0</v>
      </c>
      <c r="EJ1103" s="112">
        <f>IF(COUNT(I1103:BE1103)&lt;5,DZ1103,SUMPRODUCT(LARGE(I1103:BE1103,{1,2,3,4,5}))/5)</f>
        <v>0</v>
      </c>
      <c r="EK1103" s="29">
        <f t="shared" si="289"/>
        <v>0</v>
      </c>
      <c r="EL1103" s="112">
        <f>(EK1103*100)/101.59</f>
        <v>0</v>
      </c>
      <c r="EM1103" s="163">
        <f t="shared" si="288"/>
        <v>0</v>
      </c>
    </row>
    <row r="1104" spans="1:143" x14ac:dyDescent="0.25">
      <c r="A1104" s="59"/>
      <c r="B1104" s="32"/>
      <c r="C1104" s="5"/>
      <c r="D1104" s="6"/>
      <c r="E1104" s="6"/>
      <c r="F1104" s="6"/>
      <c r="G1104" s="5"/>
      <c r="H1104" s="37"/>
      <c r="I1104" s="36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227"/>
      <c r="Z1104" s="228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0"/>
      <c r="AS1104" s="70"/>
      <c r="AT1104" s="70"/>
      <c r="AU1104" s="7"/>
      <c r="AV1104" s="70"/>
      <c r="AW1104" s="7"/>
      <c r="AX1104" s="8"/>
      <c r="AY1104" s="36"/>
      <c r="AZ1104" s="7"/>
      <c r="BA1104" s="7"/>
      <c r="BB1104" s="7"/>
      <c r="BC1104" s="74"/>
      <c r="BD1104" s="7"/>
      <c r="BE1104" s="74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  <c r="BZ1104" s="7"/>
      <c r="CA1104" s="7"/>
      <c r="CB1104" s="7"/>
      <c r="CC1104" s="7"/>
      <c r="CD1104" s="7"/>
      <c r="CE1104" s="7"/>
      <c r="CF1104" s="7"/>
      <c r="CG1104" s="7"/>
      <c r="CH1104" s="7"/>
      <c r="CI1104" s="7"/>
      <c r="CJ1104" s="7"/>
      <c r="CK1104" s="101"/>
      <c r="CL1104" s="74"/>
      <c r="CM1104" s="74"/>
      <c r="CN1104" s="74"/>
      <c r="CO1104" s="70"/>
      <c r="CP1104" s="101"/>
      <c r="CQ1104" s="7"/>
      <c r="CR1104" s="74"/>
      <c r="CS1104" s="74"/>
      <c r="CT1104" s="74"/>
      <c r="CU1104" s="74"/>
      <c r="CV1104" s="74"/>
      <c r="CW1104" s="7"/>
      <c r="CX1104" s="7"/>
      <c r="CY1104" s="7"/>
      <c r="CZ1104" s="7"/>
      <c r="DA1104" s="7"/>
      <c r="DB1104" s="7"/>
      <c r="DC1104" s="7"/>
      <c r="DD1104" s="7"/>
      <c r="DE1104" s="74"/>
      <c r="DF1104" s="74"/>
      <c r="DG1104" s="74"/>
      <c r="DH1104" s="74"/>
      <c r="DI1104" s="74"/>
      <c r="DJ1104" s="7"/>
      <c r="DK1104" s="7"/>
      <c r="DL1104" s="7"/>
      <c r="DM1104" s="74"/>
      <c r="DN1104" s="7"/>
      <c r="DO1104" s="7"/>
      <c r="DP1104" s="7"/>
      <c r="DQ1104" s="7"/>
      <c r="DR1104" s="7"/>
      <c r="DS1104" s="7"/>
      <c r="DT1104" s="7"/>
      <c r="DU1104" s="7"/>
      <c r="DV1104" s="7"/>
      <c r="DW1104" s="7"/>
      <c r="DX1104" s="7"/>
      <c r="DY1104" s="7"/>
      <c r="DZ1104" s="8">
        <f t="shared" si="280"/>
        <v>0</v>
      </c>
      <c r="EA1104" s="22">
        <f t="shared" si="281"/>
        <v>0</v>
      </c>
      <c r="EB1104" s="56">
        <f t="shared" si="282"/>
        <v>0</v>
      </c>
      <c r="EC1104" s="112">
        <f t="shared" si="276"/>
        <v>0</v>
      </c>
      <c r="ED1104" s="112">
        <f t="shared" si="283"/>
        <v>0</v>
      </c>
      <c r="EE1104" s="56">
        <f t="shared" si="284"/>
        <v>0</v>
      </c>
      <c r="EF1104" s="111">
        <f t="shared" si="285"/>
        <v>0</v>
      </c>
      <c r="EG1104" s="111">
        <f t="shared" si="286"/>
        <v>0</v>
      </c>
      <c r="EH1104" s="56">
        <f t="shared" si="287"/>
        <v>0</v>
      </c>
      <c r="EI1104" s="112">
        <f>IF(COUNT(I1104:AD1104)&lt;5,DZ1104,SUMPRODUCT(LARGE(I1104:AD1104,{1,2,3,4,5}))/5)</f>
        <v>0</v>
      </c>
      <c r="EJ1104" s="112">
        <f>IF(COUNT(I1104:BE1104)&lt;5,DZ1104,SUMPRODUCT(LARGE(I1104:BE1104,{1,2,3,4,5}))/5)</f>
        <v>0</v>
      </c>
      <c r="EK1104" s="29">
        <f t="shared" si="289"/>
        <v>0</v>
      </c>
      <c r="EL1104" s="112">
        <f>(EK1104*100)/101.59</f>
        <v>0</v>
      </c>
      <c r="EM1104" s="163">
        <f t="shared" si="288"/>
        <v>0</v>
      </c>
    </row>
    <row r="1105" spans="1:143" x14ac:dyDescent="0.25">
      <c r="A1105" s="59"/>
      <c r="B1105" s="32"/>
      <c r="C1105" s="5"/>
      <c r="D1105" s="6"/>
      <c r="E1105" s="6"/>
      <c r="F1105" s="6"/>
      <c r="G1105" s="5"/>
      <c r="H1105" s="37"/>
      <c r="I1105" s="36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227"/>
      <c r="Z1105" s="228"/>
      <c r="AA1105" s="7"/>
      <c r="AB1105" s="7"/>
      <c r="AC1105" s="7"/>
      <c r="AD1105" s="74"/>
      <c r="AE1105" s="74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4"/>
      <c r="AP1105" s="7"/>
      <c r="AQ1105" s="74"/>
      <c r="AR1105" s="70"/>
      <c r="AS1105" s="70"/>
      <c r="AT1105" s="70"/>
      <c r="AU1105" s="7"/>
      <c r="AV1105" s="70"/>
      <c r="AW1105" s="7"/>
      <c r="AX1105" s="8"/>
      <c r="AY1105" s="36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4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  <c r="BZ1105" s="7"/>
      <c r="CA1105" s="7"/>
      <c r="CB1105" s="7"/>
      <c r="CC1105" s="7"/>
      <c r="CD1105" s="7"/>
      <c r="CE1105" s="7"/>
      <c r="CF1105" s="74"/>
      <c r="CG1105" s="7"/>
      <c r="CH1105" s="7"/>
      <c r="CI1105" s="7"/>
      <c r="CJ1105" s="7"/>
      <c r="CK1105" s="101"/>
      <c r="CL1105" s="74"/>
      <c r="CM1105" s="74"/>
      <c r="CN1105" s="74"/>
      <c r="CO1105" s="70"/>
      <c r="CP1105" s="101"/>
      <c r="CQ1105" s="7"/>
      <c r="CR1105" s="74"/>
      <c r="CS1105" s="74"/>
      <c r="CT1105" s="74"/>
      <c r="CU1105" s="74"/>
      <c r="CV1105" s="7"/>
      <c r="CW1105" s="7"/>
      <c r="CX1105" s="7"/>
      <c r="CY1105" s="7"/>
      <c r="CZ1105" s="7"/>
      <c r="DA1105" s="7"/>
      <c r="DB1105" s="7"/>
      <c r="DC1105" s="7"/>
      <c r="DD1105" s="7"/>
      <c r="DE1105" s="74"/>
      <c r="DF1105" s="74"/>
      <c r="DG1105" s="74"/>
      <c r="DH1105" s="7"/>
      <c r="DI1105" s="7"/>
      <c r="DJ1105" s="7"/>
      <c r="DK1105" s="7"/>
      <c r="DL1105" s="7"/>
      <c r="DM1105" s="7"/>
      <c r="DN1105" s="7"/>
      <c r="DO1105" s="7"/>
      <c r="DP1105" s="7"/>
      <c r="DQ1105" s="7"/>
      <c r="DR1105" s="7"/>
      <c r="DS1105" s="7"/>
      <c r="DT1105" s="7"/>
      <c r="DU1105" s="7"/>
      <c r="DV1105" s="7"/>
      <c r="DW1105" s="7"/>
      <c r="DX1105" s="7"/>
      <c r="DY1105" s="7"/>
      <c r="DZ1105" s="8">
        <f>IF(EB1105&gt;0,AVERAGE(I1105:DY1105),H1105)</f>
        <v>0</v>
      </c>
      <c r="EA1105" s="3">
        <f>B1105</f>
        <v>0</v>
      </c>
      <c r="EB1105" s="2">
        <f>IF(G1105&gt;0,1,0)</f>
        <v>0</v>
      </c>
      <c r="EC1105" s="112">
        <f>H1105</f>
        <v>0</v>
      </c>
      <c r="ED1105" s="29">
        <f>EL1105</f>
        <v>0</v>
      </c>
      <c r="EE1105" s="2">
        <f>COUNT(I1105:AH1105)</f>
        <v>0</v>
      </c>
      <c r="EF1105" s="46">
        <f>COUNT(I1105:BQ1105)</f>
        <v>0</v>
      </c>
      <c r="EG1105" s="46">
        <f>COUNT(I1105:DY1105)</f>
        <v>0</v>
      </c>
      <c r="EH1105" s="2">
        <f>D1105</f>
        <v>0</v>
      </c>
      <c r="EI1105" s="29">
        <f>IF(COUNT(I1105:AD1105)&lt;5,DZ1105,SUMPRODUCT(LARGE(I1105:AD1105,{1,2,3,4,5}))/5)</f>
        <v>0</v>
      </c>
      <c r="EJ1105" s="29">
        <f>IF(COUNT(I1105:BE1105)&lt;5,DZ1105,SUMPRODUCT(LARGE(I1105:BE1105,{1,2,3,4,5}))/5)</f>
        <v>0</v>
      </c>
      <c r="EK1105" s="29">
        <f t="shared" si="289"/>
        <v>0</v>
      </c>
      <c r="EL1105" s="29">
        <f>(EK1105*100)/101.59</f>
        <v>0</v>
      </c>
      <c r="EM1105" s="116">
        <f>B1105</f>
        <v>0</v>
      </c>
    </row>
    <row r="1106" spans="1:143" x14ac:dyDescent="0.25">
      <c r="A1106" s="59"/>
      <c r="B1106" s="32"/>
      <c r="C1106" s="5"/>
      <c r="D1106" s="6"/>
      <c r="E1106" s="6"/>
      <c r="F1106" s="6"/>
      <c r="G1106" s="5"/>
      <c r="H1106" s="37"/>
      <c r="I1106" s="36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227"/>
      <c r="Z1106" s="228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4"/>
      <c r="AP1106" s="7"/>
      <c r="AQ1106" s="74"/>
      <c r="AR1106" s="70"/>
      <c r="AS1106" s="70"/>
      <c r="AT1106" s="70"/>
      <c r="AU1106" s="7"/>
      <c r="AV1106" s="70"/>
      <c r="AW1106" s="7"/>
      <c r="AX1106" s="8"/>
      <c r="AY1106" s="36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4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  <c r="BZ1106" s="7"/>
      <c r="CA1106" s="7"/>
      <c r="CB1106" s="7"/>
      <c r="CC1106" s="7"/>
      <c r="CD1106" s="7"/>
      <c r="CE1106" s="7"/>
      <c r="CF1106" s="7"/>
      <c r="CG1106" s="7"/>
      <c r="CH1106" s="7"/>
      <c r="CI1106" s="7"/>
      <c r="CJ1106" s="7"/>
      <c r="CK1106" s="101"/>
      <c r="CL1106" s="74"/>
      <c r="CM1106" s="74"/>
      <c r="CN1106" s="74"/>
      <c r="CO1106" s="70"/>
      <c r="CP1106" s="101"/>
      <c r="CQ1106" s="7"/>
      <c r="CR1106" s="74"/>
      <c r="CS1106" s="74"/>
      <c r="CT1106" s="74"/>
      <c r="CU1106" s="74"/>
      <c r="CV1106" s="7"/>
      <c r="CW1106" s="7"/>
      <c r="CX1106" s="7"/>
      <c r="CY1106" s="7"/>
      <c r="CZ1106" s="7"/>
      <c r="DA1106" s="7"/>
      <c r="DB1106" s="7"/>
      <c r="DC1106" s="7"/>
      <c r="DD1106" s="7"/>
      <c r="DE1106" s="74"/>
      <c r="DF1106" s="74"/>
      <c r="DG1106" s="74"/>
      <c r="DH1106" s="7"/>
      <c r="DI1106" s="74"/>
      <c r="DJ1106" s="7"/>
      <c r="DK1106" s="7"/>
      <c r="DL1106" s="7"/>
      <c r="DM1106" s="7"/>
      <c r="DN1106" s="7"/>
      <c r="DO1106" s="7"/>
      <c r="DP1106" s="7"/>
      <c r="DQ1106" s="7"/>
      <c r="DR1106" s="7"/>
      <c r="DS1106" s="7"/>
      <c r="DT1106" s="7"/>
      <c r="DU1106" s="7"/>
      <c r="DV1106" s="7"/>
      <c r="DW1106" s="7"/>
      <c r="DX1106" s="7"/>
      <c r="DY1106" s="7"/>
      <c r="DZ1106" s="8"/>
      <c r="EA1106" s="3"/>
      <c r="EB1106" s="2"/>
      <c r="EC1106" s="112"/>
      <c r="ED1106" s="29"/>
      <c r="EE1106" s="2"/>
      <c r="EF1106" s="46"/>
      <c r="EG1106" s="46"/>
      <c r="EH1106" s="2"/>
      <c r="EI1106" s="29"/>
      <c r="EJ1106" s="29"/>
      <c r="EK1106" s="29"/>
      <c r="EL1106" s="29"/>
      <c r="EM1106" s="116"/>
    </row>
    <row r="1107" spans="1:143" x14ac:dyDescent="0.25">
      <c r="A1107" s="59"/>
      <c r="B1107" s="32"/>
      <c r="C1107" s="5"/>
      <c r="D1107" s="6"/>
      <c r="E1107" s="6"/>
      <c r="F1107" s="6"/>
      <c r="G1107" s="5"/>
      <c r="H1107" s="37"/>
      <c r="I1107" s="36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227"/>
      <c r="Z1107" s="228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4"/>
      <c r="AP1107" s="7"/>
      <c r="AQ1107" s="74"/>
      <c r="AR1107" s="70"/>
      <c r="AS1107" s="70"/>
      <c r="AT1107" s="70"/>
      <c r="AU1107" s="7"/>
      <c r="AV1107" s="70"/>
      <c r="AW1107" s="7"/>
      <c r="AX1107" s="8"/>
      <c r="AY1107" s="36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4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  <c r="BZ1107" s="7"/>
      <c r="CA1107" s="7"/>
      <c r="CB1107" s="7"/>
      <c r="CC1107" s="7"/>
      <c r="CD1107" s="7"/>
      <c r="CE1107" s="7"/>
      <c r="CF1107" s="7"/>
      <c r="CG1107" s="7"/>
      <c r="CH1107" s="7"/>
      <c r="CI1107" s="7"/>
      <c r="CJ1107" s="7"/>
      <c r="CK1107" s="101"/>
      <c r="CL1107" s="74"/>
      <c r="CM1107" s="74"/>
      <c r="CN1107" s="74"/>
      <c r="CO1107" s="70"/>
      <c r="CP1107" s="101"/>
      <c r="CQ1107" s="7"/>
      <c r="CR1107" s="74"/>
      <c r="CS1107" s="74"/>
      <c r="CT1107" s="74"/>
      <c r="CU1107" s="74"/>
      <c r="CV1107" s="7"/>
      <c r="CW1107" s="7"/>
      <c r="CX1107" s="7"/>
      <c r="CY1107" s="7"/>
      <c r="CZ1107" s="7"/>
      <c r="DA1107" s="7"/>
      <c r="DB1107" s="7"/>
      <c r="DC1107" s="7"/>
      <c r="DD1107" s="7"/>
      <c r="DE1107" s="74"/>
      <c r="DF1107" s="74"/>
      <c r="DG1107" s="74"/>
      <c r="DH1107" s="7"/>
      <c r="DI1107" s="74"/>
      <c r="DJ1107" s="7"/>
      <c r="DK1107" s="7"/>
      <c r="DL1107" s="7"/>
      <c r="DM1107" s="7"/>
      <c r="DN1107" s="7"/>
      <c r="DO1107" s="7"/>
      <c r="DP1107" s="7"/>
      <c r="DQ1107" s="7"/>
      <c r="DR1107" s="7"/>
      <c r="DS1107" s="7"/>
      <c r="DT1107" s="7"/>
      <c r="DU1107" s="7"/>
      <c r="DV1107" s="7"/>
      <c r="DW1107" s="7"/>
      <c r="DX1107" s="7"/>
      <c r="DY1107" s="7"/>
      <c r="DZ1107" s="8"/>
      <c r="EA1107" s="3"/>
      <c r="EB1107" s="2"/>
      <c r="EC1107" s="112"/>
      <c r="ED1107" s="29"/>
      <c r="EE1107" s="2"/>
      <c r="EF1107" s="46"/>
      <c r="EG1107" s="46"/>
      <c r="EH1107" s="2"/>
      <c r="EI1107" s="29"/>
      <c r="EJ1107" s="29"/>
      <c r="EK1107" s="29"/>
      <c r="EL1107" s="29"/>
      <c r="EM1107" s="116"/>
    </row>
    <row r="1108" spans="1:143" x14ac:dyDescent="0.25">
      <c r="A1108" s="59"/>
      <c r="B1108" s="32"/>
      <c r="C1108" s="5"/>
      <c r="D1108" s="6"/>
      <c r="E1108" s="6"/>
      <c r="F1108" s="6"/>
      <c r="G1108" s="5"/>
      <c r="H1108" s="37"/>
      <c r="I1108" s="36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227"/>
      <c r="Z1108" s="228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4"/>
      <c r="AP1108" s="7"/>
      <c r="AQ1108" s="74"/>
      <c r="AR1108" s="70"/>
      <c r="AS1108" s="70"/>
      <c r="AT1108" s="70"/>
      <c r="AU1108" s="7"/>
      <c r="AV1108" s="70"/>
      <c r="AW1108" s="7"/>
      <c r="AX1108" s="8"/>
      <c r="AY1108" s="36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4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  <c r="BZ1108" s="7"/>
      <c r="CA1108" s="7"/>
      <c r="CB1108" s="7"/>
      <c r="CC1108" s="7"/>
      <c r="CD1108" s="7"/>
      <c r="CE1108" s="7"/>
      <c r="CF1108" s="7"/>
      <c r="CG1108" s="7"/>
      <c r="CH1108" s="7"/>
      <c r="CI1108" s="7"/>
      <c r="CJ1108" s="7"/>
      <c r="CK1108" s="101"/>
      <c r="CL1108" s="74"/>
      <c r="CM1108" s="74"/>
      <c r="CN1108" s="74"/>
      <c r="CO1108" s="70"/>
      <c r="CP1108" s="101"/>
      <c r="CQ1108" s="7"/>
      <c r="CR1108" s="74"/>
      <c r="CS1108" s="74"/>
      <c r="CT1108" s="74"/>
      <c r="CU1108" s="74"/>
      <c r="CV1108" s="7"/>
      <c r="CW1108" s="7"/>
      <c r="CX1108" s="7"/>
      <c r="CY1108" s="7"/>
      <c r="CZ1108" s="7"/>
      <c r="DA1108" s="7"/>
      <c r="DB1108" s="7"/>
      <c r="DC1108" s="7"/>
      <c r="DD1108" s="7"/>
      <c r="DE1108" s="74"/>
      <c r="DF1108" s="74"/>
      <c r="DG1108" s="74"/>
      <c r="DH1108" s="7"/>
      <c r="DI1108" s="74"/>
      <c r="DJ1108" s="7"/>
      <c r="DK1108" s="7"/>
      <c r="DL1108" s="7"/>
      <c r="DM1108" s="7"/>
      <c r="DN1108" s="7"/>
      <c r="DO1108" s="7"/>
      <c r="DP1108" s="7"/>
      <c r="DQ1108" s="7"/>
      <c r="DR1108" s="7"/>
      <c r="DS1108" s="7"/>
      <c r="DT1108" s="7"/>
      <c r="DU1108" s="7"/>
      <c r="DV1108" s="7"/>
      <c r="DW1108" s="7"/>
      <c r="DX1108" s="7"/>
      <c r="DY1108" s="7"/>
      <c r="DZ1108" s="8"/>
      <c r="EA1108" s="3"/>
      <c r="EB1108" s="2"/>
      <c r="EC1108" s="112"/>
      <c r="ED1108" s="29"/>
      <c r="EE1108" s="2"/>
      <c r="EF1108" s="46"/>
      <c r="EG1108" s="46"/>
      <c r="EH1108" s="2"/>
      <c r="EI1108" s="29"/>
      <c r="EJ1108" s="29"/>
      <c r="EK1108" s="29"/>
      <c r="EL1108" s="29"/>
      <c r="EM1108" s="116"/>
    </row>
    <row r="1109" spans="1:143" x14ac:dyDescent="0.25">
      <c r="A1109" s="59"/>
      <c r="B1109" s="32"/>
      <c r="C1109" s="5"/>
      <c r="D1109" s="6"/>
      <c r="E1109" s="6"/>
      <c r="F1109" s="6"/>
      <c r="G1109" s="5"/>
      <c r="H1109" s="37"/>
      <c r="I1109" s="36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227"/>
      <c r="Z1109" s="228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4"/>
      <c r="AP1109" s="7"/>
      <c r="AQ1109" s="74"/>
      <c r="AR1109" s="70"/>
      <c r="AS1109" s="70"/>
      <c r="AT1109" s="70"/>
      <c r="AU1109" s="7"/>
      <c r="AV1109" s="70"/>
      <c r="AW1109" s="7"/>
      <c r="AX1109" s="8"/>
      <c r="AY1109" s="36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4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  <c r="BZ1109" s="7"/>
      <c r="CA1109" s="7"/>
      <c r="CB1109" s="7"/>
      <c r="CC1109" s="7"/>
      <c r="CD1109" s="7"/>
      <c r="CE1109" s="7"/>
      <c r="CF1109" s="7"/>
      <c r="CG1109" s="7"/>
      <c r="CH1109" s="7"/>
      <c r="CI1109" s="7"/>
      <c r="CJ1109" s="7"/>
      <c r="CK1109" s="101"/>
      <c r="CL1109" s="74"/>
      <c r="CM1109" s="74"/>
      <c r="CN1109" s="74"/>
      <c r="CO1109" s="70"/>
      <c r="CP1109" s="101"/>
      <c r="CQ1109" s="7"/>
      <c r="CR1109" s="74"/>
      <c r="CS1109" s="74"/>
      <c r="CT1109" s="74"/>
      <c r="CU1109" s="74"/>
      <c r="CV1109" s="7"/>
      <c r="CW1109" s="7"/>
      <c r="CX1109" s="7"/>
      <c r="CY1109" s="7"/>
      <c r="CZ1109" s="7"/>
      <c r="DA1109" s="7"/>
      <c r="DB1109" s="7"/>
      <c r="DC1109" s="7"/>
      <c r="DD1109" s="7"/>
      <c r="DE1109" s="74"/>
      <c r="DF1109" s="74"/>
      <c r="DG1109" s="74"/>
      <c r="DH1109" s="7"/>
      <c r="DI1109" s="74"/>
      <c r="DJ1109" s="7"/>
      <c r="DK1109" s="7"/>
      <c r="DL1109" s="7"/>
      <c r="DM1109" s="7"/>
      <c r="DN1109" s="7"/>
      <c r="DO1109" s="7"/>
      <c r="DP1109" s="7"/>
      <c r="DQ1109" s="7"/>
      <c r="DR1109" s="7"/>
      <c r="DS1109" s="7"/>
      <c r="DT1109" s="7"/>
      <c r="DU1109" s="7"/>
      <c r="DV1109" s="7"/>
      <c r="DW1109" s="7"/>
      <c r="DX1109" s="7"/>
      <c r="DY1109" s="7"/>
      <c r="DZ1109" s="8"/>
      <c r="EA1109" s="3"/>
      <c r="EB1109" s="2"/>
      <c r="EC1109" s="112"/>
      <c r="ED1109" s="29"/>
      <c r="EE1109" s="2"/>
      <c r="EF1109" s="46"/>
      <c r="EG1109" s="46"/>
      <c r="EH1109" s="2"/>
      <c r="EI1109" s="29"/>
      <c r="EJ1109" s="29"/>
      <c r="EK1109" s="29"/>
      <c r="EL1109" s="29"/>
      <c r="EM1109" s="116"/>
    </row>
    <row r="1110" spans="1:143" x14ac:dyDescent="0.25">
      <c r="A1110" s="59"/>
      <c r="B1110" s="32"/>
      <c r="C1110" s="5"/>
      <c r="D1110" s="6"/>
      <c r="E1110" s="6"/>
      <c r="F1110" s="6"/>
      <c r="G1110" s="5"/>
      <c r="H1110" s="37"/>
      <c r="I1110" s="36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227"/>
      <c r="Z1110" s="228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4"/>
      <c r="AP1110" s="7"/>
      <c r="AQ1110" s="74"/>
      <c r="AR1110" s="70"/>
      <c r="AS1110" s="70"/>
      <c r="AT1110" s="70"/>
      <c r="AU1110" s="7"/>
      <c r="AV1110" s="70"/>
      <c r="AW1110" s="7"/>
      <c r="AX1110" s="8"/>
      <c r="AY1110" s="36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4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7"/>
      <c r="CK1110" s="101"/>
      <c r="CL1110" s="74"/>
      <c r="CM1110" s="74"/>
      <c r="CN1110" s="74"/>
      <c r="CO1110" s="70"/>
      <c r="CP1110" s="101"/>
      <c r="CQ1110" s="7"/>
      <c r="CR1110" s="74"/>
      <c r="CS1110" s="74"/>
      <c r="CT1110" s="74"/>
      <c r="CU1110" s="74"/>
      <c r="CV1110" s="7"/>
      <c r="CW1110" s="7"/>
      <c r="CX1110" s="7"/>
      <c r="CY1110" s="7"/>
      <c r="CZ1110" s="7"/>
      <c r="DA1110" s="7"/>
      <c r="DB1110" s="7"/>
      <c r="DC1110" s="7"/>
      <c r="DD1110" s="7"/>
      <c r="DE1110" s="74"/>
      <c r="DF1110" s="74"/>
      <c r="DG1110" s="74"/>
      <c r="DH1110" s="7"/>
      <c r="DI1110" s="74"/>
      <c r="DJ1110" s="7"/>
      <c r="DK1110" s="7"/>
      <c r="DL1110" s="7"/>
      <c r="DM1110" s="7"/>
      <c r="DN1110" s="7"/>
      <c r="DO1110" s="7"/>
      <c r="DP1110" s="7"/>
      <c r="DQ1110" s="7"/>
      <c r="DR1110" s="7"/>
      <c r="DS1110" s="7"/>
      <c r="DT1110" s="7"/>
      <c r="DU1110" s="7"/>
      <c r="DV1110" s="7"/>
      <c r="DW1110" s="7"/>
      <c r="DX1110" s="7"/>
      <c r="DY1110" s="7"/>
      <c r="DZ1110" s="8"/>
      <c r="EA1110" s="3"/>
      <c r="EB1110" s="2"/>
      <c r="EC1110" s="112"/>
      <c r="ED1110" s="29"/>
      <c r="EE1110" s="2"/>
      <c r="EF1110" s="46"/>
      <c r="EG1110" s="46"/>
      <c r="EH1110" s="2"/>
      <c r="EI1110" s="29"/>
      <c r="EJ1110" s="29"/>
      <c r="EK1110" s="29"/>
      <c r="EL1110" s="29"/>
      <c r="EM1110" s="116"/>
    </row>
    <row r="1111" spans="1:143" x14ac:dyDescent="0.25">
      <c r="A1111" s="59"/>
      <c r="B1111" s="32"/>
      <c r="C1111" s="5"/>
      <c r="D1111" s="6"/>
      <c r="E1111" s="6"/>
      <c r="F1111" s="6"/>
      <c r="G1111" s="5"/>
      <c r="H1111" s="37"/>
      <c r="I1111" s="36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227"/>
      <c r="Z1111" s="228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4"/>
      <c r="AP1111" s="7"/>
      <c r="AQ1111" s="74"/>
      <c r="AR1111" s="70"/>
      <c r="AS1111" s="70"/>
      <c r="AT1111" s="70"/>
      <c r="AU1111" s="7"/>
      <c r="AV1111" s="70"/>
      <c r="AW1111" s="7"/>
      <c r="AX1111" s="8"/>
      <c r="AY1111" s="36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4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  <c r="BZ1111" s="7"/>
      <c r="CA1111" s="7"/>
      <c r="CB1111" s="7"/>
      <c r="CC1111" s="7"/>
      <c r="CD1111" s="7"/>
      <c r="CE1111" s="7"/>
      <c r="CF1111" s="7"/>
      <c r="CG1111" s="7"/>
      <c r="CH1111" s="7"/>
      <c r="CI1111" s="7"/>
      <c r="CJ1111" s="7"/>
      <c r="CK1111" s="101"/>
      <c r="CL1111" s="74"/>
      <c r="CM1111" s="74"/>
      <c r="CN1111" s="74"/>
      <c r="CO1111" s="70"/>
      <c r="CP1111" s="101"/>
      <c r="CQ1111" s="7"/>
      <c r="CR1111" s="74"/>
      <c r="CS1111" s="74"/>
      <c r="CT1111" s="74"/>
      <c r="CU1111" s="74"/>
      <c r="CV1111" s="7"/>
      <c r="CW1111" s="7"/>
      <c r="CX1111" s="7"/>
      <c r="CY1111" s="7"/>
      <c r="CZ1111" s="7"/>
      <c r="DA1111" s="7"/>
      <c r="DB1111" s="7"/>
      <c r="DC1111" s="7"/>
      <c r="DD1111" s="7"/>
      <c r="DE1111" s="74"/>
      <c r="DF1111" s="74"/>
      <c r="DG1111" s="74"/>
      <c r="DH1111" s="7"/>
      <c r="DI1111" s="74"/>
      <c r="DJ1111" s="7"/>
      <c r="DK1111" s="7"/>
      <c r="DL1111" s="7"/>
      <c r="DM1111" s="7"/>
      <c r="DN1111" s="7"/>
      <c r="DO1111" s="7"/>
      <c r="DP1111" s="7"/>
      <c r="DQ1111" s="7"/>
      <c r="DR1111" s="7"/>
      <c r="DS1111" s="7"/>
      <c r="DT1111" s="7"/>
      <c r="DU1111" s="7"/>
      <c r="DV1111" s="7"/>
      <c r="DW1111" s="7"/>
      <c r="DX1111" s="7"/>
      <c r="DY1111" s="7"/>
      <c r="DZ1111" s="8"/>
      <c r="EA1111" s="3"/>
      <c r="EB1111" s="2"/>
      <c r="EC1111" s="112"/>
      <c r="ED1111" s="29"/>
      <c r="EE1111" s="2"/>
      <c r="EF1111" s="46"/>
      <c r="EG1111" s="46"/>
      <c r="EH1111" s="2"/>
      <c r="EI1111" s="29"/>
      <c r="EJ1111" s="29"/>
      <c r="EK1111" s="29"/>
      <c r="EL1111" s="29"/>
      <c r="EM1111" s="116"/>
    </row>
    <row r="1112" spans="1:143" x14ac:dyDescent="0.25">
      <c r="A1112" s="59"/>
      <c r="B1112" s="32"/>
      <c r="C1112" s="5"/>
      <c r="D1112" s="6"/>
      <c r="E1112" s="6"/>
      <c r="F1112" s="6"/>
      <c r="G1112" s="5"/>
      <c r="H1112" s="37"/>
      <c r="I1112" s="36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227"/>
      <c r="Z1112" s="228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4"/>
      <c r="AP1112" s="7"/>
      <c r="AQ1112" s="74"/>
      <c r="AR1112" s="70"/>
      <c r="AS1112" s="70"/>
      <c r="AT1112" s="70"/>
      <c r="AU1112" s="7"/>
      <c r="AV1112" s="70"/>
      <c r="AW1112" s="7"/>
      <c r="AX1112" s="8"/>
      <c r="AY1112" s="36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4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7"/>
      <c r="CI1112" s="7"/>
      <c r="CJ1112" s="7"/>
      <c r="CK1112" s="101"/>
      <c r="CL1112" s="74"/>
      <c r="CM1112" s="74"/>
      <c r="CN1112" s="74"/>
      <c r="CO1112" s="70"/>
      <c r="CP1112" s="101"/>
      <c r="CQ1112" s="7"/>
      <c r="CR1112" s="74"/>
      <c r="CS1112" s="74"/>
      <c r="CT1112" s="74"/>
      <c r="CU1112" s="74"/>
      <c r="CV1112" s="7"/>
      <c r="CW1112" s="7"/>
      <c r="CX1112" s="7"/>
      <c r="CY1112" s="7"/>
      <c r="CZ1112" s="7"/>
      <c r="DA1112" s="7"/>
      <c r="DB1112" s="7"/>
      <c r="DC1112" s="7"/>
      <c r="DD1112" s="7"/>
      <c r="DE1112" s="74"/>
      <c r="DF1112" s="74"/>
      <c r="DG1112" s="74"/>
      <c r="DH1112" s="7"/>
      <c r="DI1112" s="74"/>
      <c r="DJ1112" s="7"/>
      <c r="DK1112" s="7"/>
      <c r="DL1112" s="7"/>
      <c r="DM1112" s="7"/>
      <c r="DN1112" s="7"/>
      <c r="DO1112" s="7"/>
      <c r="DP1112" s="7"/>
      <c r="DQ1112" s="7"/>
      <c r="DR1112" s="7"/>
      <c r="DS1112" s="7"/>
      <c r="DT1112" s="7"/>
      <c r="DU1112" s="7"/>
      <c r="DV1112" s="7"/>
      <c r="DW1112" s="7"/>
      <c r="DX1112" s="7"/>
      <c r="DY1112" s="7"/>
      <c r="DZ1112" s="8"/>
      <c r="EA1112" s="3"/>
      <c r="EB1112" s="2"/>
      <c r="EC1112" s="112"/>
      <c r="ED1112" s="29"/>
      <c r="EE1112" s="2"/>
      <c r="EF1112" s="46"/>
      <c r="EG1112" s="46"/>
      <c r="EH1112" s="2"/>
      <c r="EI1112" s="29"/>
      <c r="EJ1112" s="29"/>
      <c r="EK1112" s="29"/>
      <c r="EL1112" s="29"/>
      <c r="EM1112" s="116"/>
    </row>
    <row r="1113" spans="1:143" x14ac:dyDescent="0.25">
      <c r="A1113" s="59"/>
      <c r="B1113" s="32"/>
      <c r="C1113" s="5"/>
      <c r="D1113" s="6"/>
      <c r="E1113" s="6"/>
      <c r="F1113" s="6"/>
      <c r="G1113" s="5"/>
      <c r="H1113" s="37"/>
      <c r="I1113" s="36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227"/>
      <c r="Z1113" s="228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4"/>
      <c r="AP1113" s="7"/>
      <c r="AQ1113" s="74"/>
      <c r="AR1113" s="70"/>
      <c r="AS1113" s="70"/>
      <c r="AT1113" s="70"/>
      <c r="AU1113" s="7"/>
      <c r="AV1113" s="70"/>
      <c r="AW1113" s="7"/>
      <c r="AX1113" s="8"/>
      <c r="AY1113" s="36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4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  <c r="BZ1113" s="7"/>
      <c r="CA1113" s="7"/>
      <c r="CB1113" s="7"/>
      <c r="CC1113" s="7"/>
      <c r="CD1113" s="7"/>
      <c r="CE1113" s="74"/>
      <c r="CF1113" s="74"/>
      <c r="CG1113" s="7"/>
      <c r="CH1113" s="7"/>
      <c r="CI1113" s="7"/>
      <c r="CJ1113" s="7"/>
      <c r="CK1113" s="101"/>
      <c r="CL1113" s="74"/>
      <c r="CM1113" s="74"/>
      <c r="CN1113" s="74"/>
      <c r="CO1113" s="70"/>
      <c r="CP1113" s="101"/>
      <c r="CQ1113" s="7"/>
      <c r="CR1113" s="74"/>
      <c r="CS1113" s="74"/>
      <c r="CT1113" s="74"/>
      <c r="CU1113" s="74"/>
      <c r="CV1113" s="7"/>
      <c r="CW1113" s="7"/>
      <c r="CX1113" s="7"/>
      <c r="CY1113" s="7"/>
      <c r="CZ1113" s="7"/>
      <c r="DA1113" s="7"/>
      <c r="DB1113" s="7"/>
      <c r="DC1113" s="7"/>
      <c r="DD1113" s="7"/>
      <c r="DE1113" s="74"/>
      <c r="DF1113" s="7"/>
      <c r="DG1113" s="7"/>
      <c r="DH1113" s="7"/>
      <c r="DI1113" s="7"/>
      <c r="DJ1113" s="7"/>
      <c r="DK1113" s="7"/>
      <c r="DL1113" s="7"/>
      <c r="DM1113" s="7"/>
      <c r="DN1113" s="7"/>
      <c r="DO1113" s="7"/>
      <c r="DP1113" s="7"/>
      <c r="DQ1113" s="7"/>
      <c r="DR1113" s="7"/>
      <c r="DS1113" s="7"/>
      <c r="DT1113" s="7"/>
      <c r="DU1113" s="7"/>
      <c r="DV1113" s="7"/>
      <c r="DW1113" s="7"/>
      <c r="DX1113" s="7"/>
      <c r="DY1113" s="7"/>
      <c r="DZ1113" s="8"/>
      <c r="EA1113" s="3"/>
      <c r="EB1113" s="2"/>
      <c r="EC1113" s="112"/>
      <c r="ED1113" s="29"/>
      <c r="EE1113" s="2"/>
      <c r="EF1113" s="46"/>
      <c r="EG1113" s="46"/>
      <c r="EH1113" s="29"/>
      <c r="EI1113" s="29"/>
      <c r="EJ1113" s="29"/>
      <c r="EK1113" s="29"/>
      <c r="EL1113" s="29"/>
      <c r="EM1113" s="116"/>
    </row>
    <row r="1114" spans="1:143" x14ac:dyDescent="0.25">
      <c r="A1114" s="59"/>
      <c r="B1114" s="32"/>
      <c r="C1114" s="5"/>
      <c r="D1114" s="6"/>
      <c r="E1114" s="6"/>
      <c r="F1114" s="6"/>
      <c r="G1114" s="5"/>
      <c r="H1114" s="37"/>
      <c r="I1114" s="36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227"/>
      <c r="Z1114" s="228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4"/>
      <c r="AP1114" s="7"/>
      <c r="AQ1114" s="74"/>
      <c r="AR1114" s="70"/>
      <c r="AS1114" s="70"/>
      <c r="AT1114" s="70"/>
      <c r="AU1114" s="7"/>
      <c r="AV1114" s="70"/>
      <c r="AW1114" s="7"/>
      <c r="AX1114" s="8"/>
      <c r="AY1114" s="36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4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  <c r="BZ1114" s="7"/>
      <c r="CA1114" s="7"/>
      <c r="CB1114" s="7"/>
      <c r="CC1114" s="7"/>
      <c r="CD1114" s="7"/>
      <c r="CE1114" s="7"/>
      <c r="CF1114" s="7"/>
      <c r="CG1114" s="7"/>
      <c r="CH1114" s="7"/>
      <c r="CI1114" s="7"/>
      <c r="CJ1114" s="7"/>
      <c r="CK1114" s="101"/>
      <c r="CL1114" s="74"/>
      <c r="CM1114" s="74"/>
      <c r="CN1114" s="74"/>
      <c r="CO1114" s="70"/>
      <c r="CP1114" s="101"/>
      <c r="CQ1114" s="7"/>
      <c r="CR1114" s="74"/>
      <c r="CS1114" s="74"/>
      <c r="CT1114" s="74"/>
      <c r="CU1114" s="74"/>
      <c r="CV1114" s="7"/>
      <c r="CW1114" s="7"/>
      <c r="CX1114" s="7"/>
      <c r="CY1114" s="7"/>
      <c r="CZ1114" s="7"/>
      <c r="DA1114" s="7"/>
      <c r="DB1114" s="7"/>
      <c r="DC1114" s="7"/>
      <c r="DD1114" s="7"/>
      <c r="DE1114" s="74"/>
      <c r="DF1114" s="74"/>
      <c r="DG1114" s="74"/>
      <c r="DH1114" s="7"/>
      <c r="DI1114" s="7"/>
      <c r="DJ1114" s="7"/>
      <c r="DK1114" s="7"/>
      <c r="DL1114" s="7"/>
      <c r="DM1114" s="7"/>
      <c r="DN1114" s="7"/>
      <c r="DO1114" s="7"/>
      <c r="DP1114" s="7"/>
      <c r="DQ1114" s="7"/>
      <c r="DR1114" s="7"/>
      <c r="DS1114" s="7"/>
      <c r="DT1114" s="7"/>
      <c r="DU1114" s="7"/>
      <c r="DV1114" s="7"/>
      <c r="DW1114" s="7"/>
      <c r="DX1114" s="7"/>
      <c r="DY1114" s="7"/>
      <c r="DZ1114" s="8"/>
      <c r="EA1114" s="3"/>
      <c r="EB1114" s="2"/>
      <c r="EC1114" s="112"/>
      <c r="ED1114" s="29"/>
      <c r="EE1114" s="2"/>
      <c r="EF1114" s="46"/>
      <c r="EG1114" s="46"/>
      <c r="EH1114" s="2"/>
      <c r="EI1114" s="29"/>
      <c r="EJ1114" s="29"/>
      <c r="EK1114" s="29"/>
      <c r="EL1114" s="29"/>
      <c r="EM1114" s="116"/>
    </row>
    <row r="1115" spans="1:143" x14ac:dyDescent="0.25">
      <c r="A1115" s="59"/>
      <c r="B1115" s="32"/>
      <c r="C1115" s="5"/>
      <c r="D1115" s="6"/>
      <c r="E1115" s="6"/>
      <c r="F1115" s="6"/>
      <c r="G1115" s="5"/>
      <c r="H1115" s="37"/>
      <c r="I1115" s="36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227"/>
      <c r="Z1115" s="228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4"/>
      <c r="AP1115" s="7"/>
      <c r="AQ1115" s="74"/>
      <c r="AR1115" s="70"/>
      <c r="AS1115" s="70"/>
      <c r="AT1115" s="70"/>
      <c r="AU1115" s="7"/>
      <c r="AV1115" s="70"/>
      <c r="AW1115" s="7"/>
      <c r="AX1115" s="8"/>
      <c r="AY1115" s="36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  <c r="BZ1115" s="7"/>
      <c r="CA1115" s="7"/>
      <c r="CB1115" s="7"/>
      <c r="CC1115" s="7"/>
      <c r="CD1115" s="7"/>
      <c r="CE1115" s="7"/>
      <c r="CF1115" s="7"/>
      <c r="CG1115" s="7"/>
      <c r="CH1115" s="7"/>
      <c r="CI1115" s="7"/>
      <c r="CJ1115" s="7"/>
      <c r="CK1115" s="101"/>
      <c r="CL1115" s="74"/>
      <c r="CM1115" s="74"/>
      <c r="CN1115" s="74"/>
      <c r="CO1115" s="70"/>
      <c r="CP1115" s="101"/>
      <c r="CQ1115" s="7"/>
      <c r="CR1115" s="74"/>
      <c r="CS1115" s="7"/>
      <c r="CT1115" s="74"/>
      <c r="CU1115" s="7"/>
      <c r="CV1115" s="74"/>
      <c r="CW1115" s="7"/>
      <c r="CX1115" s="7"/>
      <c r="CY1115" s="7"/>
      <c r="CZ1115" s="74"/>
      <c r="DA1115" s="74"/>
      <c r="DB1115" s="7"/>
      <c r="DC1115" s="7"/>
      <c r="DD1115" s="7"/>
      <c r="DE1115" s="74"/>
      <c r="DF1115" s="74"/>
      <c r="DG1115" s="74"/>
      <c r="DH1115" s="74"/>
      <c r="DI1115" s="74"/>
      <c r="DJ1115" s="7"/>
      <c r="DK1115" s="7"/>
      <c r="DL1115" s="7"/>
      <c r="DM1115" s="7"/>
      <c r="DN1115" s="7"/>
      <c r="DO1115" s="7"/>
      <c r="DP1115" s="7"/>
      <c r="DQ1115" s="7"/>
      <c r="DR1115" s="7"/>
      <c r="DS1115" s="7"/>
      <c r="DT1115" s="7"/>
      <c r="DU1115" s="7"/>
      <c r="DV1115" s="7"/>
      <c r="DW1115" s="7"/>
      <c r="DX1115" s="7"/>
      <c r="DY1115" s="7"/>
      <c r="DZ1115" s="8"/>
      <c r="EA1115" s="3"/>
      <c r="EB1115" s="2"/>
      <c r="EC1115" s="112"/>
      <c r="ED1115" s="29"/>
      <c r="EE1115" s="2"/>
      <c r="EF1115" s="46"/>
      <c r="EG1115" s="46"/>
      <c r="EH1115" s="2"/>
      <c r="EI1115" s="29"/>
      <c r="EJ1115" s="29"/>
      <c r="EK1115" s="29"/>
      <c r="EL1115" s="29"/>
      <c r="EM1115" s="116"/>
    </row>
    <row r="1116" spans="1:143" x14ac:dyDescent="0.25">
      <c r="A1116" s="59"/>
      <c r="B1116" s="32"/>
      <c r="C1116" s="5"/>
      <c r="D1116" s="6"/>
      <c r="E1116" s="6"/>
      <c r="F1116" s="6"/>
      <c r="G1116" s="5"/>
      <c r="H1116" s="37"/>
      <c r="I1116" s="36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227"/>
      <c r="Z1116" s="228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4"/>
      <c r="AP1116" s="7"/>
      <c r="AQ1116" s="74"/>
      <c r="AR1116" s="70"/>
      <c r="AS1116" s="70"/>
      <c r="AT1116" s="70"/>
      <c r="AU1116" s="7"/>
      <c r="AV1116" s="70"/>
      <c r="AW1116" s="7"/>
      <c r="AX1116" s="8"/>
      <c r="AY1116" s="36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4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  <c r="BZ1116" s="7"/>
      <c r="CA1116" s="7"/>
      <c r="CB1116" s="7"/>
      <c r="CC1116" s="7"/>
      <c r="CD1116" s="7"/>
      <c r="CE1116" s="7"/>
      <c r="CF1116" s="7"/>
      <c r="CG1116" s="7"/>
      <c r="CH1116" s="7"/>
      <c r="CI1116" s="7"/>
      <c r="CJ1116" s="7"/>
      <c r="CK1116" s="101"/>
      <c r="CL1116" s="74"/>
      <c r="CM1116" s="74"/>
      <c r="CN1116" s="74"/>
      <c r="CO1116" s="70"/>
      <c r="CP1116" s="101"/>
      <c r="CQ1116" s="7"/>
      <c r="CR1116" s="74"/>
      <c r="CS1116" s="74"/>
      <c r="CT1116" s="74"/>
      <c r="CU1116" s="74"/>
      <c r="CV1116" s="7"/>
      <c r="CW1116" s="7"/>
      <c r="CX1116" s="7"/>
      <c r="CY1116" s="7"/>
      <c r="CZ1116" s="7"/>
      <c r="DA1116" s="7"/>
      <c r="DB1116" s="7"/>
      <c r="DC1116" s="7"/>
      <c r="DD1116" s="7"/>
      <c r="DE1116" s="74"/>
      <c r="DF1116" s="74"/>
      <c r="DG1116" s="74"/>
      <c r="DH1116" s="7"/>
      <c r="DI1116" s="74"/>
      <c r="DJ1116" s="7"/>
      <c r="DK1116" s="7"/>
      <c r="DL1116" s="7"/>
      <c r="DM1116" s="7"/>
      <c r="DN1116" s="7"/>
      <c r="DO1116" s="7"/>
      <c r="DP1116" s="7"/>
      <c r="DQ1116" s="7"/>
      <c r="DR1116" s="7"/>
      <c r="DS1116" s="7"/>
      <c r="DT1116" s="7"/>
      <c r="DU1116" s="7"/>
      <c r="DV1116" s="7"/>
      <c r="DW1116" s="7"/>
      <c r="DX1116" s="7"/>
      <c r="DY1116" s="7"/>
      <c r="DZ1116" s="8"/>
      <c r="EA1116" s="3"/>
      <c r="EB1116" s="2"/>
      <c r="EC1116" s="112"/>
      <c r="ED1116" s="29"/>
      <c r="EE1116" s="2"/>
      <c r="EF1116" s="46"/>
      <c r="EG1116" s="46"/>
      <c r="EH1116" s="2"/>
      <c r="EI1116" s="29"/>
      <c r="EJ1116" s="29"/>
      <c r="EK1116" s="29"/>
      <c r="EL1116" s="29"/>
      <c r="EM1116" s="116"/>
    </row>
    <row r="1117" spans="1:143" x14ac:dyDescent="0.25">
      <c r="A1117" s="59"/>
      <c r="B1117" s="32"/>
      <c r="C1117" s="5"/>
      <c r="D1117" s="6"/>
      <c r="E1117" s="6"/>
      <c r="F1117" s="6"/>
      <c r="G1117" s="5"/>
      <c r="H1117" s="37"/>
      <c r="I1117" s="36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227"/>
      <c r="Z1117" s="228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4"/>
      <c r="AP1117" s="7"/>
      <c r="AQ1117" s="74"/>
      <c r="AR1117" s="70"/>
      <c r="AS1117" s="70"/>
      <c r="AT1117" s="70"/>
      <c r="AU1117" s="7"/>
      <c r="AV1117" s="70"/>
      <c r="AW1117" s="7"/>
      <c r="AX1117" s="8"/>
      <c r="AY1117" s="36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4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  <c r="BZ1117" s="7"/>
      <c r="CA1117" s="7"/>
      <c r="CB1117" s="7"/>
      <c r="CC1117" s="7"/>
      <c r="CD1117" s="7"/>
      <c r="CE1117" s="7"/>
      <c r="CF1117" s="7"/>
      <c r="CG1117" s="7"/>
      <c r="CH1117" s="7"/>
      <c r="CI1117" s="7"/>
      <c r="CJ1117" s="7"/>
      <c r="CK1117" s="101"/>
      <c r="CL1117" s="74"/>
      <c r="CM1117" s="74"/>
      <c r="CN1117" s="74"/>
      <c r="CO1117" s="70"/>
      <c r="CP1117" s="101"/>
      <c r="CQ1117" s="7"/>
      <c r="CR1117" s="74"/>
      <c r="CS1117" s="74"/>
      <c r="CT1117" s="74"/>
      <c r="CU1117" s="74"/>
      <c r="CV1117" s="7"/>
      <c r="CW1117" s="7"/>
      <c r="CX1117" s="7"/>
      <c r="CY1117" s="7"/>
      <c r="CZ1117" s="7"/>
      <c r="DA1117" s="7"/>
      <c r="DB1117" s="7"/>
      <c r="DC1117" s="7"/>
      <c r="DD1117" s="7"/>
      <c r="DE1117" s="74"/>
      <c r="DF1117" s="74"/>
      <c r="DG1117" s="74"/>
      <c r="DH1117" s="7"/>
      <c r="DI1117" s="74"/>
      <c r="DJ1117" s="7"/>
      <c r="DK1117" s="7"/>
      <c r="DL1117" s="7"/>
      <c r="DM1117" s="7"/>
      <c r="DN1117" s="7"/>
      <c r="DO1117" s="7"/>
      <c r="DP1117" s="7"/>
      <c r="DQ1117" s="7"/>
      <c r="DR1117" s="7"/>
      <c r="DS1117" s="7"/>
      <c r="DT1117" s="7"/>
      <c r="DU1117" s="7"/>
      <c r="DV1117" s="7"/>
      <c r="DW1117" s="7"/>
      <c r="DX1117" s="7"/>
      <c r="DY1117" s="7"/>
      <c r="DZ1117" s="8"/>
      <c r="EA1117" s="3"/>
      <c r="EB1117" s="2"/>
      <c r="EC1117" s="112"/>
      <c r="ED1117" s="29"/>
      <c r="EE1117" s="2"/>
      <c r="EF1117" s="46"/>
      <c r="EG1117" s="46"/>
      <c r="EH1117" s="2"/>
      <c r="EI1117" s="29"/>
      <c r="EJ1117" s="29"/>
      <c r="EK1117" s="29"/>
      <c r="EL1117" s="29"/>
      <c r="EM1117" s="116"/>
    </row>
    <row r="1118" spans="1:143" x14ac:dyDescent="0.25">
      <c r="A1118" s="59"/>
      <c r="B1118" s="32"/>
      <c r="C1118" s="5"/>
      <c r="D1118" s="6"/>
      <c r="E1118" s="6"/>
      <c r="F1118" s="6"/>
      <c r="G1118" s="5"/>
      <c r="H1118" s="99"/>
      <c r="I1118" s="36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227"/>
      <c r="Z1118" s="228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4"/>
      <c r="AP1118" s="7"/>
      <c r="AQ1118" s="74"/>
      <c r="AR1118" s="70"/>
      <c r="AS1118" s="70"/>
      <c r="AT1118" s="70"/>
      <c r="AU1118" s="7"/>
      <c r="AV1118" s="70"/>
      <c r="AW1118" s="7"/>
      <c r="AX1118" s="8"/>
      <c r="AY1118" s="36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4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7"/>
      <c r="CI1118" s="7"/>
      <c r="CJ1118" s="7"/>
      <c r="CK1118" s="101"/>
      <c r="CL1118" s="74"/>
      <c r="CM1118" s="74"/>
      <c r="CN1118" s="74"/>
      <c r="CO1118" s="70"/>
      <c r="CP1118" s="101"/>
      <c r="CQ1118" s="7"/>
      <c r="CR1118" s="74"/>
      <c r="CS1118" s="74"/>
      <c r="CT1118" s="74"/>
      <c r="CU1118" s="74"/>
      <c r="CV1118" s="74"/>
      <c r="CW1118" s="7"/>
      <c r="CX1118" s="7"/>
      <c r="CY1118" s="7"/>
      <c r="CZ1118" s="7"/>
      <c r="DA1118" s="7"/>
      <c r="DB1118" s="7"/>
      <c r="DC1118" s="7"/>
      <c r="DD1118" s="7"/>
      <c r="DE1118" s="74"/>
      <c r="DF1118" s="74"/>
      <c r="DG1118" s="74"/>
      <c r="DH1118" s="74"/>
      <c r="DI1118" s="74"/>
      <c r="DJ1118" s="7"/>
      <c r="DK1118" s="7"/>
      <c r="DL1118" s="7"/>
      <c r="DM1118" s="7"/>
      <c r="DN1118" s="7"/>
      <c r="DO1118" s="7"/>
      <c r="DP1118" s="7"/>
      <c r="DQ1118" s="7"/>
      <c r="DR1118" s="7"/>
      <c r="DS1118" s="7"/>
      <c r="DT1118" s="7"/>
      <c r="DU1118" s="7"/>
      <c r="DV1118" s="7"/>
      <c r="DW1118" s="7"/>
      <c r="DX1118" s="7"/>
      <c r="DY1118" s="7"/>
      <c r="DZ1118" s="8"/>
      <c r="EA1118" s="3"/>
      <c r="EB1118" s="2"/>
      <c r="EC1118" s="112"/>
      <c r="ED1118" s="29"/>
      <c r="EE1118" s="2"/>
      <c r="EF1118" s="46"/>
      <c r="EG1118" s="46"/>
      <c r="EH1118" s="2"/>
      <c r="EI1118" s="29"/>
      <c r="EJ1118" s="29"/>
      <c r="EK1118" s="29"/>
      <c r="EL1118" s="29"/>
      <c r="EM1118" s="116"/>
    </row>
    <row r="1119" spans="1:143" x14ac:dyDescent="0.25">
      <c r="A1119" s="59"/>
    </row>
    <row r="1120" spans="1:143" x14ac:dyDescent="0.25">
      <c r="A1120" s="59"/>
    </row>
    <row r="1121" spans="1:1" x14ac:dyDescent="0.25">
      <c r="A1121" s="59"/>
    </row>
    <row r="1122" spans="1:1" x14ac:dyDescent="0.25">
      <c r="A1122" s="59"/>
    </row>
  </sheetData>
  <sortState ref="A4:EM470">
    <sortCondition ref="B4:B470"/>
  </sortState>
  <phoneticPr fontId="0" type="noConversion"/>
  <pageMargins left="0.75" right="0.75" top="1" bottom="1" header="0.5" footer="0.5"/>
  <pageSetup pageOrder="overThenDown" orientation="landscape" horizontalDpi="4294967292" r:id="rId1"/>
  <headerFooter alignWithMargins="0">
    <oddHeader>&amp;L&amp;"Tahoma,Bold"U.S. Biathlon Association &amp;C&amp;"Tahoma,Bold"&amp;11USBA Race Points &amp;R&amp;"Tahoma,Bold"2009 Season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workbookViewId="0">
      <selection activeCell="C5" sqref="C5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1049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43105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852</v>
      </c>
      <c r="C5" s="22"/>
      <c r="D5" s="22"/>
      <c r="E5" s="22" t="s">
        <v>55</v>
      </c>
      <c r="F5" s="38">
        <f>AVERAGE(C8:C9)*(AVERAGE(D8:D9)/100)</f>
        <v>1.8316872832053455E-2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84</v>
      </c>
      <c r="B8" s="114" t="s">
        <v>189</v>
      </c>
      <c r="C8" s="51">
        <v>1.9765046296296298E-2</v>
      </c>
      <c r="D8" s="29">
        <f>INDEX('Points Summary'!$E$4:$E$1143,G8)</f>
        <v>98.261207131612366</v>
      </c>
      <c r="E8" s="124">
        <f>(AVERAGE($D$8:$D$9)/100*AVERAGE($C$8:$C$9))/C8</f>
        <v>0.92673058071641301</v>
      </c>
      <c r="F8" s="3"/>
      <c r="G8" s="2">
        <f>MATCH(B8,'Points Summary'!$B$4:$B$1144,0)</f>
        <v>120</v>
      </c>
    </row>
    <row r="9" spans="1:7" x14ac:dyDescent="0.25">
      <c r="A9" s="53">
        <v>4</v>
      </c>
      <c r="B9" s="114" t="s">
        <v>7</v>
      </c>
      <c r="C9" s="51">
        <v>1.7631944444444447E-2</v>
      </c>
      <c r="D9" s="29">
        <f>INDEX('Points Summary'!$E$4:$E$1143,G9)</f>
        <v>97.656939962494079</v>
      </c>
      <c r="E9" s="124">
        <f>(AVERAGE($D$8:$D$9)/100*AVERAGE($C$8:$C$9))/C9</f>
        <v>1.0388458794075215</v>
      </c>
      <c r="F9" s="3"/>
      <c r="G9" s="2">
        <f>MATCH(B9,'Points Summary'!$B$4:$B$1144,0)</f>
        <v>63</v>
      </c>
    </row>
    <row r="10" spans="1:7" x14ac:dyDescent="0.25">
      <c r="A10" s="2"/>
      <c r="B10" s="114"/>
      <c r="C10" s="51"/>
      <c r="D10" s="29"/>
      <c r="E10" s="124"/>
      <c r="F10" s="3"/>
      <c r="G10" s="2"/>
    </row>
    <row r="11" spans="1:7" x14ac:dyDescent="0.25">
      <c r="A11" s="2"/>
      <c r="B11" s="114"/>
      <c r="C11" s="51"/>
      <c r="D11" s="29"/>
      <c r="E11" s="124"/>
      <c r="F11" s="3"/>
      <c r="G11" s="2"/>
    </row>
    <row r="12" spans="1:7" x14ac:dyDescent="0.25">
      <c r="A12" s="53"/>
      <c r="B12" s="3"/>
      <c r="C12" s="51"/>
      <c r="D12" s="29"/>
      <c r="E12" s="124"/>
      <c r="F12" s="3"/>
      <c r="G12" s="2"/>
    </row>
    <row r="13" spans="1:7" x14ac:dyDescent="0.25">
      <c r="A13" s="2"/>
      <c r="B13" s="114"/>
      <c r="C13" s="51"/>
      <c r="D13" s="29"/>
      <c r="E13" s="124"/>
      <c r="F13" s="3"/>
      <c r="G13" s="2"/>
    </row>
    <row r="14" spans="1:7" x14ac:dyDescent="0.25">
      <c r="A14" s="2"/>
      <c r="B14" s="114"/>
      <c r="C14" s="51"/>
      <c r="D14" s="29"/>
      <c r="E14" s="124"/>
      <c r="F14" s="3"/>
      <c r="G14" s="2"/>
    </row>
    <row r="15" spans="1:7" x14ac:dyDescent="0.25">
      <c r="A15" s="53"/>
      <c r="B15" s="114"/>
      <c r="C15" s="51"/>
      <c r="D15" s="29"/>
      <c r="E15" s="124"/>
      <c r="F15" s="3"/>
      <c r="G15" s="2"/>
    </row>
    <row r="16" spans="1:7" x14ac:dyDescent="0.25">
      <c r="A16" s="2"/>
      <c r="B16" s="114"/>
      <c r="C16" s="51"/>
      <c r="D16" s="29"/>
      <c r="E16" s="124"/>
      <c r="F16" s="3"/>
      <c r="G16" s="2"/>
    </row>
    <row r="17" spans="1:7" x14ac:dyDescent="0.25">
      <c r="A17" s="53"/>
      <c r="B17" s="114"/>
      <c r="C17" s="51"/>
      <c r="D17" s="29"/>
      <c r="E17" s="124"/>
      <c r="F17" s="3"/>
      <c r="G17" s="2"/>
    </row>
    <row r="18" spans="1:7" x14ac:dyDescent="0.25">
      <c r="A18" s="53"/>
      <c r="B18" s="114"/>
      <c r="C18" s="51"/>
      <c r="D18" s="29"/>
      <c r="E18" s="124"/>
      <c r="F18" s="3"/>
      <c r="G18" s="2"/>
    </row>
    <row r="19" spans="1:7" x14ac:dyDescent="0.25">
      <c r="A19" s="2"/>
      <c r="B19" s="114"/>
      <c r="C19" s="51"/>
      <c r="D19" s="29"/>
      <c r="E19" s="124"/>
      <c r="F19" s="3"/>
      <c r="G19" s="2"/>
    </row>
    <row r="20" spans="1:7" x14ac:dyDescent="0.25">
      <c r="A20" s="2"/>
      <c r="B20" s="114"/>
      <c r="C20" s="51"/>
      <c r="D20" s="29"/>
      <c r="E20" s="124"/>
      <c r="F20" s="3"/>
      <c r="G20" s="2"/>
    </row>
    <row r="21" spans="1:7" x14ac:dyDescent="0.25">
      <c r="A21" s="2"/>
      <c r="C21" s="51"/>
      <c r="D21" s="29"/>
      <c r="E21" s="124"/>
      <c r="F21" s="3"/>
      <c r="G21" s="2"/>
    </row>
    <row r="22" spans="1:7" x14ac:dyDescent="0.25">
      <c r="A22" s="2"/>
      <c r="B22" s="114"/>
      <c r="C22" s="51"/>
      <c r="D22" s="29"/>
      <c r="E22" s="124"/>
      <c r="F22" s="3"/>
      <c r="G22" s="2"/>
    </row>
    <row r="23" spans="1:7" x14ac:dyDescent="0.25">
      <c r="A23" s="2"/>
      <c r="B23" s="114"/>
      <c r="C23" s="51"/>
      <c r="D23" s="29"/>
      <c r="E23" s="124"/>
      <c r="F23" s="3"/>
      <c r="G23" s="2"/>
    </row>
    <row r="24" spans="1:7" x14ac:dyDescent="0.25">
      <c r="A24" s="2"/>
      <c r="B24" s="114"/>
      <c r="C24" s="51"/>
      <c r="D24" s="29"/>
      <c r="E24" s="124"/>
      <c r="F24" s="3"/>
      <c r="G24" s="2"/>
    </row>
    <row r="25" spans="1:7" x14ac:dyDescent="0.25">
      <c r="A25" s="2"/>
      <c r="C25" s="28"/>
      <c r="D25" s="29"/>
      <c r="E25" s="124"/>
      <c r="F25" s="3"/>
      <c r="G25" s="2"/>
    </row>
    <row r="26" spans="1:7" x14ac:dyDescent="0.25">
      <c r="A26" s="2"/>
      <c r="B26" s="3"/>
      <c r="C26" s="28"/>
      <c r="D26" s="29"/>
      <c r="E26" s="124"/>
      <c r="F26" s="3"/>
      <c r="G26" s="2"/>
    </row>
    <row r="27" spans="1:7" x14ac:dyDescent="0.25">
      <c r="A27" s="2"/>
      <c r="B27" s="3"/>
      <c r="C27" s="28"/>
      <c r="D27" s="29"/>
      <c r="E27" s="124"/>
      <c r="F27" s="3"/>
      <c r="G27" s="2"/>
    </row>
    <row r="28" spans="1:7" x14ac:dyDescent="0.25">
      <c r="A28" s="2"/>
      <c r="B28" s="3"/>
      <c r="C28" s="28"/>
      <c r="D28" s="29"/>
      <c r="E28" s="124"/>
      <c r="F28" s="3"/>
      <c r="G28" s="2"/>
    </row>
    <row r="29" spans="1:7" x14ac:dyDescent="0.25">
      <c r="B29" s="3"/>
      <c r="C29" s="28"/>
    </row>
    <row r="30" spans="1:7" x14ac:dyDescent="0.25">
      <c r="C30" s="28"/>
    </row>
    <row r="31" spans="1:7" x14ac:dyDescent="0.25">
      <c r="C31" s="28"/>
    </row>
    <row r="32" spans="1:7" x14ac:dyDescent="0.25">
      <c r="B32" s="3"/>
      <c r="C32" s="28"/>
    </row>
    <row r="33" spans="2:3" x14ac:dyDescent="0.25">
      <c r="B33" s="3"/>
      <c r="C33" s="28"/>
    </row>
    <row r="34" spans="2:3" x14ac:dyDescent="0.25">
      <c r="B34" s="3"/>
      <c r="C34" s="28"/>
    </row>
    <row r="35" spans="2:3" x14ac:dyDescent="0.25">
      <c r="B35" s="3"/>
      <c r="C35" s="28"/>
    </row>
    <row r="36" spans="2:3" x14ac:dyDescent="0.25">
      <c r="B36" s="3"/>
      <c r="C36" s="28"/>
    </row>
  </sheetData>
  <sortState ref="A8:G9">
    <sortCondition descending="1" ref="D8:D9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workbookViewId="0">
      <selection activeCell="C8" sqref="C8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1050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43106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1051</v>
      </c>
      <c r="C5" s="22"/>
      <c r="D5" s="22"/>
      <c r="E5" s="22" t="s">
        <v>55</v>
      </c>
      <c r="F5" s="38">
        <f>AVERAGE(C8:C11)*(AVERAGE(D8:D11)/100)</f>
        <v>1.7446568824679806E-2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32</v>
      </c>
      <c r="B8" s="114" t="s">
        <v>70</v>
      </c>
      <c r="C8" s="156">
        <v>1.8641203703703705E-2</v>
      </c>
      <c r="D8" s="29">
        <f>INDEX('Points Summary'!$E$4:$E$1143,G8)</f>
        <v>94.287557018467481</v>
      </c>
      <c r="E8" s="124">
        <f>(AVERAGE($D$8:$D$11)/100*AVERAGE($C$8:$C$11))/C8</f>
        <v>0.93591428439856894</v>
      </c>
      <c r="F8" s="3"/>
      <c r="G8" s="2">
        <f>MATCH(B8,'Points Summary'!$B$4:$B$1144,0)</f>
        <v>309</v>
      </c>
    </row>
    <row r="9" spans="1:7" x14ac:dyDescent="0.25">
      <c r="A9" s="2">
        <v>14</v>
      </c>
      <c r="B9" s="114" t="s">
        <v>50</v>
      </c>
      <c r="C9" s="51">
        <v>1.8193287037037039E-2</v>
      </c>
      <c r="D9" s="29">
        <f>INDEX('Points Summary'!$E$4:$E$1143,G9)</f>
        <v>93.897339942251477</v>
      </c>
      <c r="E9" s="124">
        <f>(AVERAGE($D$8:$D$11)/100*AVERAGE($C$8:$C$11))/C9</f>
        <v>0.95895638809869277</v>
      </c>
      <c r="F9" s="3"/>
      <c r="G9" s="2">
        <f>MATCH(B9,'Points Summary'!$B$4:$B$1144,0)</f>
        <v>104</v>
      </c>
    </row>
    <row r="10" spans="1:7" x14ac:dyDescent="0.25">
      <c r="A10" s="2">
        <v>26</v>
      </c>
      <c r="B10" s="114" t="s">
        <v>762</v>
      </c>
      <c r="C10" s="51">
        <v>1.8486111111111113E-2</v>
      </c>
      <c r="D10" s="29">
        <f>INDEX('Points Summary'!$E$4:$E$1143,G10)</f>
        <v>92.524757170419548</v>
      </c>
      <c r="E10" s="124">
        <f>(AVERAGE($D$8:$D$11)/100*AVERAGE($C$8:$C$11))/C10</f>
        <v>0.94376630757095858</v>
      </c>
      <c r="F10" s="3"/>
      <c r="G10" s="2">
        <f>MATCH(B10,'Points Summary'!$B$4:$B$1144,0)</f>
        <v>366</v>
      </c>
    </row>
    <row r="11" spans="1:7" x14ac:dyDescent="0.25">
      <c r="A11" s="2">
        <v>61</v>
      </c>
      <c r="B11" s="3" t="s">
        <v>460</v>
      </c>
      <c r="C11" s="51">
        <v>1.9570601851851853E-2</v>
      </c>
      <c r="D11" s="29">
        <f>INDEX('Points Summary'!$E$4:$E$1143,G11)</f>
        <v>92.02450874768823</v>
      </c>
      <c r="E11" s="124">
        <f>(AVERAGE($D$8:$D$11)/100*AVERAGE($C$8:$C$11))/C11</f>
        <v>0.89146818052654508</v>
      </c>
      <c r="F11" s="3"/>
      <c r="G11" s="2">
        <f>MATCH(B11,'Points Summary'!$B$4:$B$1144,0)</f>
        <v>139</v>
      </c>
    </row>
    <row r="12" spans="1:7" x14ac:dyDescent="0.25">
      <c r="A12" s="2"/>
      <c r="B12" s="3"/>
      <c r="C12" s="38"/>
      <c r="D12" s="29"/>
      <c r="E12" s="124"/>
      <c r="F12" s="3"/>
      <c r="G12" s="2"/>
    </row>
    <row r="13" spans="1:7" x14ac:dyDescent="0.25">
      <c r="A13" s="2"/>
      <c r="B13" s="114"/>
      <c r="C13" s="38"/>
      <c r="D13" s="29"/>
      <c r="E13" s="124"/>
      <c r="F13" s="3"/>
      <c r="G13" s="2"/>
    </row>
    <row r="14" spans="1:7" x14ac:dyDescent="0.25">
      <c r="A14" s="2"/>
      <c r="B14" s="114"/>
      <c r="C14" s="38"/>
      <c r="D14" s="29"/>
      <c r="E14" s="124"/>
      <c r="F14" s="3"/>
      <c r="G14" s="2"/>
    </row>
    <row r="15" spans="1:7" x14ac:dyDescent="0.25">
      <c r="A15" s="2"/>
      <c r="B15" s="114"/>
      <c r="C15" s="38"/>
      <c r="D15" s="29"/>
      <c r="E15" s="124"/>
      <c r="F15" s="3"/>
      <c r="G15" s="2"/>
    </row>
    <row r="16" spans="1:7" x14ac:dyDescent="0.25">
      <c r="A16" s="2"/>
      <c r="B16" s="114"/>
      <c r="C16" s="38"/>
      <c r="D16" s="29"/>
      <c r="E16" s="124"/>
      <c r="F16" s="3"/>
      <c r="G16" s="2"/>
    </row>
    <row r="17" spans="1:7" x14ac:dyDescent="0.25">
      <c r="A17" s="2"/>
      <c r="B17" s="114"/>
      <c r="C17" s="38"/>
      <c r="D17" s="29"/>
      <c r="E17" s="124"/>
      <c r="F17" s="3"/>
      <c r="G17" s="2"/>
    </row>
    <row r="18" spans="1:7" x14ac:dyDescent="0.25">
      <c r="A18" s="2"/>
      <c r="B18" s="114"/>
      <c r="C18" s="38"/>
      <c r="D18" s="29"/>
      <c r="E18" s="124"/>
      <c r="F18" s="3"/>
      <c r="G18" s="2"/>
    </row>
    <row r="19" spans="1:7" x14ac:dyDescent="0.25">
      <c r="A19" s="2"/>
      <c r="B19" s="114"/>
      <c r="C19" s="38"/>
      <c r="D19" s="29"/>
      <c r="E19" s="124"/>
      <c r="F19" s="3"/>
      <c r="G19" s="2"/>
    </row>
    <row r="20" spans="1:7" x14ac:dyDescent="0.25">
      <c r="A20" s="2"/>
      <c r="B20" s="114"/>
      <c r="C20" s="38"/>
      <c r="D20" s="29"/>
      <c r="E20" s="124"/>
      <c r="F20" s="3"/>
      <c r="G20" s="2"/>
    </row>
    <row r="21" spans="1:7" x14ac:dyDescent="0.25">
      <c r="A21" s="2"/>
      <c r="B21" s="114"/>
      <c r="C21" s="38"/>
      <c r="D21" s="29"/>
      <c r="E21" s="124"/>
      <c r="F21" s="3"/>
      <c r="G21" s="2"/>
    </row>
    <row r="22" spans="1:7" x14ac:dyDescent="0.25">
      <c r="A22" s="2"/>
      <c r="B22" s="114"/>
      <c r="C22" s="38"/>
      <c r="D22" s="29"/>
      <c r="E22" s="124"/>
      <c r="F22" s="3"/>
      <c r="G22" s="2"/>
    </row>
    <row r="23" spans="1:7" x14ac:dyDescent="0.25">
      <c r="A23" s="42"/>
      <c r="C23" s="38"/>
      <c r="D23" s="29"/>
      <c r="E23" s="30"/>
      <c r="F23" s="3"/>
      <c r="G23" s="2"/>
    </row>
    <row r="24" spans="1:7" x14ac:dyDescent="0.25">
      <c r="A24" s="42"/>
      <c r="B24" s="3"/>
      <c r="C24" s="38"/>
      <c r="D24" s="29"/>
      <c r="E24" s="30"/>
      <c r="F24" s="3"/>
      <c r="G24" s="2"/>
    </row>
    <row r="25" spans="1:7" x14ac:dyDescent="0.25">
      <c r="A25" s="42"/>
      <c r="C25" s="38"/>
      <c r="D25" s="29"/>
      <c r="E25" s="30"/>
      <c r="F25" s="3"/>
      <c r="G25" s="2"/>
    </row>
    <row r="26" spans="1:7" x14ac:dyDescent="0.25">
      <c r="A26" s="42"/>
      <c r="B26" s="3"/>
      <c r="C26" s="38"/>
      <c r="D26" s="29"/>
      <c r="E26" s="30"/>
      <c r="F26" s="3"/>
      <c r="G26" s="2"/>
    </row>
    <row r="27" spans="1:7" x14ac:dyDescent="0.25">
      <c r="A27" s="42"/>
      <c r="B27" s="3"/>
      <c r="C27" s="38"/>
      <c r="D27" s="29"/>
      <c r="E27" s="30"/>
      <c r="F27" s="3"/>
      <c r="G27" s="2"/>
    </row>
    <row r="28" spans="1:7" x14ac:dyDescent="0.25">
      <c r="A28" s="42"/>
      <c r="B28" s="3"/>
      <c r="C28" s="38"/>
      <c r="D28" s="29"/>
      <c r="E28" s="30"/>
      <c r="F28" s="3"/>
      <c r="G28" s="2"/>
    </row>
    <row r="29" spans="1:7" x14ac:dyDescent="0.25">
      <c r="A29" s="42"/>
      <c r="B29" s="3"/>
      <c r="C29" s="38"/>
      <c r="D29" s="29"/>
      <c r="E29" s="30"/>
      <c r="F29" s="3"/>
      <c r="G29" s="2"/>
    </row>
    <row r="30" spans="1:7" x14ac:dyDescent="0.25">
      <c r="A30" s="42"/>
      <c r="C30" s="38"/>
      <c r="D30" s="29"/>
      <c r="E30" s="30"/>
      <c r="F30" s="3"/>
      <c r="G30" s="2"/>
    </row>
  </sheetData>
  <sortState ref="A8:E11">
    <sortCondition descending="1" ref="D8:D11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2018 Race Points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workbookViewId="0">
      <selection activeCell="A8" sqref="A8:G8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1050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43107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883</v>
      </c>
      <c r="C5" s="22"/>
      <c r="D5" s="22"/>
      <c r="E5" s="22" t="s">
        <v>55</v>
      </c>
      <c r="F5" s="38">
        <f>AVERAGE(C8:C11)*(AVERAGE(D8:D11)/100)</f>
        <v>1.7701367568835252E-2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15</v>
      </c>
      <c r="B8" s="114" t="s">
        <v>70</v>
      </c>
      <c r="C8" s="51">
        <v>1.8438657407407407E-2</v>
      </c>
      <c r="D8" s="29">
        <f>INDEX('Points Summary'!$E$4:$E$1143,G8)</f>
        <v>94.287557018467481</v>
      </c>
      <c r="E8" s="124">
        <f>(AVERAGE($D$8:$D$11)/100*AVERAGE($C$8:$C$11))/C8</f>
        <v>0.96001390869836534</v>
      </c>
      <c r="F8" s="3"/>
      <c r="G8" s="2">
        <f>MATCH(B8,'Points Summary'!$B$4:$B$1144,0)</f>
        <v>309</v>
      </c>
    </row>
    <row r="9" spans="1:7" x14ac:dyDescent="0.25">
      <c r="A9" s="2">
        <v>27</v>
      </c>
      <c r="B9" s="114" t="s">
        <v>50</v>
      </c>
      <c r="C9" s="51">
        <v>1.8802083333333334E-2</v>
      </c>
      <c r="D9" s="29">
        <f>INDEX('Points Summary'!$E$4:$E$1143,G9)</f>
        <v>93.897339942251477</v>
      </c>
      <c r="E9" s="124">
        <f>(AVERAGE($D$8:$D$11)/100*AVERAGE($C$8:$C$11))/C9</f>
        <v>0.94145777651422946</v>
      </c>
      <c r="F9" s="3"/>
      <c r="G9" s="2">
        <f>MATCH(B9,'Points Summary'!$B$4:$B$1144,0)</f>
        <v>104</v>
      </c>
    </row>
    <row r="10" spans="1:7" x14ac:dyDescent="0.25">
      <c r="A10" s="2">
        <v>49</v>
      </c>
      <c r="B10" s="114" t="s">
        <v>762</v>
      </c>
      <c r="C10" s="51">
        <v>1.9377314814814816E-2</v>
      </c>
      <c r="D10" s="29">
        <f>INDEX('Points Summary'!$E$4:$E$1143,G10)</f>
        <v>92.524757170419548</v>
      </c>
      <c r="E10" s="124">
        <f>(AVERAGE($D$8:$D$11)/100*AVERAGE($C$8:$C$11))/C10</f>
        <v>0.91350983033530386</v>
      </c>
      <c r="F10" s="3"/>
      <c r="G10" s="2">
        <f>MATCH(B10,'Points Summary'!$B$4:$B$1144,0)</f>
        <v>366</v>
      </c>
    </row>
    <row r="11" spans="1:7" x14ac:dyDescent="0.25">
      <c r="A11" s="2">
        <v>48</v>
      </c>
      <c r="B11" s="3" t="s">
        <v>460</v>
      </c>
      <c r="C11" s="51">
        <v>1.9366898148148147E-2</v>
      </c>
      <c r="D11" s="29">
        <f>INDEX('Points Summary'!$E$4:$E$1143,G11)</f>
        <v>92.02450874768823</v>
      </c>
      <c r="E11" s="124">
        <f>(AVERAGE($D$8:$D$11)/100*AVERAGE($C$8:$C$11))/C11</f>
        <v>0.91400117011137627</v>
      </c>
      <c r="F11" s="3"/>
      <c r="G11" s="2">
        <f>MATCH(B11,'Points Summary'!$B$4:$B$1144,0)</f>
        <v>139</v>
      </c>
    </row>
    <row r="12" spans="1:7" x14ac:dyDescent="0.25">
      <c r="A12" s="2"/>
      <c r="B12" s="114"/>
      <c r="C12" s="51"/>
      <c r="D12" s="29"/>
      <c r="E12" s="124"/>
      <c r="F12" s="3"/>
      <c r="G12" s="2"/>
    </row>
    <row r="13" spans="1:7" x14ac:dyDescent="0.25">
      <c r="A13" s="2"/>
      <c r="B13" s="114"/>
      <c r="C13" s="51"/>
      <c r="D13" s="29"/>
      <c r="E13" s="124"/>
      <c r="F13" s="3"/>
      <c r="G13" s="2"/>
    </row>
    <row r="14" spans="1:7" x14ac:dyDescent="0.25">
      <c r="A14" s="2"/>
      <c r="B14" s="114"/>
      <c r="C14" s="51"/>
      <c r="D14" s="29"/>
      <c r="E14" s="124"/>
      <c r="F14" s="3"/>
      <c r="G14" s="2"/>
    </row>
    <row r="15" spans="1:7" x14ac:dyDescent="0.25">
      <c r="A15" s="2"/>
      <c r="B15" s="114"/>
      <c r="C15" s="51"/>
      <c r="D15" s="29"/>
      <c r="E15" s="124"/>
      <c r="F15" s="3"/>
      <c r="G15" s="2"/>
    </row>
    <row r="16" spans="1:7" x14ac:dyDescent="0.25">
      <c r="A16" s="2"/>
      <c r="B16" s="114"/>
      <c r="C16" s="51"/>
      <c r="D16" s="29"/>
      <c r="E16" s="124"/>
      <c r="F16" s="3"/>
      <c r="G16" s="2"/>
    </row>
    <row r="17" spans="1:7" x14ac:dyDescent="0.25">
      <c r="A17" s="2"/>
      <c r="B17" s="114"/>
      <c r="C17" s="51"/>
      <c r="D17" s="29"/>
      <c r="E17" s="124"/>
      <c r="F17" s="3"/>
      <c r="G17" s="2"/>
    </row>
    <row r="18" spans="1:7" x14ac:dyDescent="0.25">
      <c r="A18" s="2"/>
      <c r="B18" s="114"/>
      <c r="C18" s="51"/>
      <c r="D18" s="29"/>
      <c r="E18" s="124"/>
      <c r="F18" s="3"/>
      <c r="G18" s="2"/>
    </row>
    <row r="19" spans="1:7" x14ac:dyDescent="0.25">
      <c r="A19" s="2"/>
      <c r="B19" s="114"/>
      <c r="C19" s="51"/>
      <c r="D19" s="29"/>
      <c r="E19" s="124"/>
      <c r="F19" s="3"/>
      <c r="G19" s="2"/>
    </row>
    <row r="20" spans="1:7" x14ac:dyDescent="0.25">
      <c r="A20" s="2"/>
      <c r="B20" s="114"/>
      <c r="C20" s="51"/>
      <c r="D20" s="29"/>
      <c r="E20" s="124"/>
      <c r="F20" s="3"/>
      <c r="G20" s="2"/>
    </row>
    <row r="21" spans="1:7" x14ac:dyDescent="0.25">
      <c r="A21" s="2"/>
      <c r="B21" s="114"/>
      <c r="C21" s="51"/>
      <c r="D21" s="29"/>
      <c r="E21" s="124"/>
      <c r="F21" s="3"/>
      <c r="G21" s="2"/>
    </row>
    <row r="22" spans="1:7" x14ac:dyDescent="0.25">
      <c r="A22" s="2"/>
      <c r="B22" s="114"/>
      <c r="C22" s="51"/>
      <c r="D22" s="29"/>
      <c r="E22" s="124"/>
      <c r="F22" s="3"/>
      <c r="G22" s="2"/>
    </row>
    <row r="23" spans="1:7" x14ac:dyDescent="0.25">
      <c r="A23" s="2"/>
      <c r="B23" s="114"/>
      <c r="C23" s="51"/>
      <c r="D23" s="29"/>
      <c r="E23" s="124"/>
      <c r="F23" s="3"/>
      <c r="G23" s="2"/>
    </row>
    <row r="24" spans="1:7" x14ac:dyDescent="0.25">
      <c r="A24" s="2"/>
      <c r="B24" s="114"/>
      <c r="C24" s="51"/>
      <c r="D24" s="29"/>
      <c r="E24" s="30"/>
      <c r="F24" s="3"/>
      <c r="G24" s="2"/>
    </row>
    <row r="25" spans="1:7" x14ac:dyDescent="0.25">
      <c r="A25" s="2"/>
      <c r="B25" s="114"/>
      <c r="C25" s="51"/>
      <c r="D25" s="29"/>
      <c r="E25" s="30"/>
      <c r="F25" s="3"/>
      <c r="G25" s="2"/>
    </row>
    <row r="26" spans="1:7" x14ac:dyDescent="0.25">
      <c r="A26" s="2"/>
      <c r="B26" s="114"/>
      <c r="C26" s="51"/>
      <c r="D26" s="29"/>
      <c r="E26" s="30"/>
      <c r="F26" s="3"/>
      <c r="G26" s="2"/>
    </row>
    <row r="27" spans="1:7" x14ac:dyDescent="0.25">
      <c r="A27" s="2"/>
      <c r="B27" s="114"/>
      <c r="C27" s="51"/>
      <c r="D27" s="29"/>
      <c r="E27" s="30"/>
      <c r="F27" s="3"/>
      <c r="G27" s="2"/>
    </row>
    <row r="28" spans="1:7" x14ac:dyDescent="0.25">
      <c r="A28" s="2"/>
      <c r="B28" s="114"/>
      <c r="C28" s="51"/>
      <c r="D28" s="29"/>
      <c r="E28" s="30"/>
      <c r="F28" s="3"/>
      <c r="G28" s="2"/>
    </row>
    <row r="29" spans="1:7" x14ac:dyDescent="0.25">
      <c r="A29" s="2"/>
      <c r="B29" s="114"/>
      <c r="C29" s="51"/>
      <c r="D29" s="29"/>
      <c r="E29" s="30"/>
      <c r="F29" s="3"/>
      <c r="G29" s="2"/>
    </row>
    <row r="30" spans="1:7" x14ac:dyDescent="0.25">
      <c r="A30" s="2"/>
      <c r="B30" s="114"/>
      <c r="C30" s="51"/>
      <c r="D30" s="29"/>
      <c r="E30" s="30"/>
      <c r="F30" s="3"/>
      <c r="G30" s="2"/>
    </row>
    <row r="31" spans="1:7" x14ac:dyDescent="0.25">
      <c r="A31" s="2"/>
      <c r="B31" s="114"/>
      <c r="C31" s="51"/>
      <c r="D31" s="29"/>
      <c r="E31" s="30"/>
      <c r="F31" s="3"/>
      <c r="G31" s="2"/>
    </row>
    <row r="32" spans="1:7" x14ac:dyDescent="0.25">
      <c r="A32" s="2"/>
      <c r="B32" s="181"/>
      <c r="C32" s="51"/>
      <c r="D32" s="29"/>
      <c r="E32" s="30"/>
      <c r="F32" s="3"/>
      <c r="G32" s="2"/>
    </row>
    <row r="33" spans="1:7" x14ac:dyDescent="0.25">
      <c r="A33" s="2"/>
      <c r="B33" s="114"/>
      <c r="C33" s="51"/>
      <c r="D33" s="29"/>
      <c r="E33" s="30"/>
      <c r="F33" s="3"/>
      <c r="G33" s="2"/>
    </row>
    <row r="34" spans="1:7" x14ac:dyDescent="0.25">
      <c r="A34" s="2"/>
      <c r="B34" s="114"/>
      <c r="C34" s="51"/>
      <c r="D34" s="29"/>
      <c r="E34" s="30"/>
      <c r="F34" s="3"/>
      <c r="G34" s="2"/>
    </row>
    <row r="35" spans="1:7" x14ac:dyDescent="0.25">
      <c r="A35" s="2"/>
      <c r="B35" s="114"/>
      <c r="C35" s="51"/>
      <c r="D35" s="29"/>
      <c r="E35" s="30"/>
      <c r="F35" s="3"/>
      <c r="G35" s="2"/>
    </row>
    <row r="36" spans="1:7" x14ac:dyDescent="0.25">
      <c r="A36" s="2"/>
      <c r="B36" s="114"/>
      <c r="C36" s="51"/>
      <c r="D36" s="29"/>
      <c r="E36" s="30"/>
      <c r="F36" s="3"/>
      <c r="G36" s="2"/>
    </row>
    <row r="37" spans="1:7" x14ac:dyDescent="0.25">
      <c r="A37" s="2"/>
      <c r="B37" s="114"/>
      <c r="C37" s="51"/>
      <c r="D37" s="29"/>
      <c r="E37" s="30"/>
      <c r="F37" s="3"/>
      <c r="G37" s="2"/>
    </row>
  </sheetData>
  <sortState ref="A8:E11">
    <sortCondition descending="1" ref="D8:D11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2018 Race Points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"/>
  <sheetViews>
    <sheetView workbookViewId="0">
      <selection activeCell="B23" sqref="B23"/>
    </sheetView>
  </sheetViews>
  <sheetFormatPr defaultRowHeight="13.2" x14ac:dyDescent="0.25"/>
  <cols>
    <col min="2" max="2" width="24.6640625" customWidth="1"/>
    <col min="3" max="3" width="9.6640625" style="42" customWidth="1"/>
    <col min="4" max="7" width="9.6640625" customWidth="1"/>
  </cols>
  <sheetData>
    <row r="1" spans="1:9" x14ac:dyDescent="0.25">
      <c r="A1" s="16" t="s">
        <v>22</v>
      </c>
      <c r="B1" s="17" t="s">
        <v>1052</v>
      </c>
      <c r="C1" s="133"/>
      <c r="D1" s="18"/>
      <c r="E1" s="18"/>
      <c r="F1" s="18"/>
      <c r="G1" s="19"/>
    </row>
    <row r="2" spans="1:9" x14ac:dyDescent="0.25">
      <c r="A2" s="20" t="s">
        <v>23</v>
      </c>
      <c r="B2" s="21">
        <v>43107</v>
      </c>
      <c r="C2" s="56"/>
      <c r="D2" s="22"/>
      <c r="E2" s="22"/>
      <c r="F2" s="22"/>
      <c r="G2" s="23"/>
    </row>
    <row r="3" spans="1:9" x14ac:dyDescent="0.25">
      <c r="A3" s="20" t="s">
        <v>24</v>
      </c>
      <c r="B3" s="24" t="s">
        <v>42</v>
      </c>
      <c r="C3" s="56"/>
      <c r="D3" s="22"/>
      <c r="E3" s="22"/>
      <c r="F3" s="22"/>
      <c r="G3" s="23"/>
    </row>
    <row r="4" spans="1:9" x14ac:dyDescent="0.25">
      <c r="A4" s="20" t="s">
        <v>1</v>
      </c>
      <c r="B4" s="24" t="s">
        <v>26</v>
      </c>
      <c r="C4" s="56"/>
      <c r="D4" s="22"/>
      <c r="E4" s="22"/>
      <c r="F4" s="22"/>
      <c r="G4" s="23"/>
    </row>
    <row r="5" spans="1:9" x14ac:dyDescent="0.25">
      <c r="A5" s="20" t="s">
        <v>27</v>
      </c>
      <c r="B5" s="24" t="s">
        <v>879</v>
      </c>
      <c r="C5" s="56"/>
      <c r="D5" s="22"/>
      <c r="E5" s="22" t="s">
        <v>55</v>
      </c>
      <c r="F5" s="38">
        <f>AVERAGE(C8:C12)*(AVERAGE(D8:D12)/100)</f>
        <v>1.5900233476621912E-2</v>
      </c>
      <c r="G5" s="23"/>
    </row>
    <row r="6" spans="1:9" x14ac:dyDescent="0.25">
      <c r="A6" s="25" t="s">
        <v>29</v>
      </c>
      <c r="B6" s="26"/>
      <c r="C6" s="134"/>
      <c r="D6" s="26"/>
      <c r="E6" s="26"/>
      <c r="F6" s="26"/>
      <c r="G6" s="27"/>
    </row>
    <row r="7" spans="1:9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9" x14ac:dyDescent="0.25">
      <c r="A8" s="2">
        <v>1</v>
      </c>
      <c r="B8" s="114" t="s">
        <v>375</v>
      </c>
      <c r="C8" s="51">
        <v>2.4130787037037037E-2</v>
      </c>
      <c r="D8" s="29">
        <f>INDEX('Points Summary'!$E$4:$E$1143,G8)</f>
        <v>65.490025820618669</v>
      </c>
      <c r="E8" s="124">
        <f t="shared" ref="E8:E25" si="0">(AVERAGE($D$8:$D$12)/100*AVERAGE($C$8:$C$12))/C8</f>
        <v>0.65891897567275803</v>
      </c>
      <c r="F8" s="3"/>
      <c r="G8" s="2">
        <f>MATCH(B8,'Points Summary'!$B$4:$B$1144,0)</f>
        <v>86</v>
      </c>
      <c r="I8" s="51"/>
    </row>
    <row r="9" spans="1:9" x14ac:dyDescent="0.25">
      <c r="A9" s="2">
        <v>2</v>
      </c>
      <c r="B9" s="114" t="s">
        <v>788</v>
      </c>
      <c r="C9" s="51">
        <v>2.5278935185185186E-2</v>
      </c>
      <c r="D9" s="29">
        <f>INDEX('Points Summary'!$E$4:$E$1143,G9)</f>
        <v>62.02919256713249</v>
      </c>
      <c r="E9" s="124">
        <f t="shared" si="0"/>
        <v>0.62899142547508502</v>
      </c>
      <c r="F9" s="3"/>
      <c r="G9" s="2">
        <f>MATCH(B9,'Points Summary'!$B$4:$B$1144,0)</f>
        <v>286</v>
      </c>
      <c r="I9" s="51"/>
    </row>
    <row r="10" spans="1:9" x14ac:dyDescent="0.25">
      <c r="A10" s="2">
        <v>3</v>
      </c>
      <c r="B10" s="114" t="s">
        <v>789</v>
      </c>
      <c r="C10" s="51">
        <v>2.5974537037037036E-2</v>
      </c>
      <c r="D10" s="29">
        <f>INDEX('Points Summary'!$E$4:$E$1143,G10)</f>
        <v>60.953875628497315</v>
      </c>
      <c r="E10" s="124">
        <f t="shared" si="0"/>
        <v>0.612146944292012</v>
      </c>
      <c r="F10" s="3"/>
      <c r="G10" s="2">
        <f>MATCH(B10,'Points Summary'!$B$4:$B$1144,0)</f>
        <v>138</v>
      </c>
      <c r="I10" s="51"/>
    </row>
    <row r="11" spans="1:9" x14ac:dyDescent="0.25">
      <c r="A11" s="2">
        <v>7</v>
      </c>
      <c r="B11" s="114" t="s">
        <v>751</v>
      </c>
      <c r="C11" s="51">
        <v>2.921759259259259E-2</v>
      </c>
      <c r="D11" s="29">
        <f>INDEX('Points Summary'!$E$4:$E$1143,G11)</f>
        <v>55.050726803545487</v>
      </c>
      <c r="E11" s="124">
        <f t="shared" si="0"/>
        <v>0.54420067040886277</v>
      </c>
      <c r="F11" s="3"/>
      <c r="G11" s="2">
        <f>MATCH(B11,'Points Summary'!$B$4:$B$1144,0)</f>
        <v>190</v>
      </c>
      <c r="I11" s="51"/>
    </row>
    <row r="12" spans="1:9" x14ac:dyDescent="0.25">
      <c r="A12" s="2">
        <v>4</v>
      </c>
      <c r="B12" s="114" t="s">
        <v>792</v>
      </c>
      <c r="C12" s="51">
        <v>2.9019675925925928E-2</v>
      </c>
      <c r="D12" s="29">
        <f>INDEX('Points Summary'!$E$4:$E$1143,G12)</f>
        <v>53.962552466274587</v>
      </c>
      <c r="E12" s="124">
        <f t="shared" si="0"/>
        <v>0.54791216542900056</v>
      </c>
      <c r="F12" s="3"/>
      <c r="G12" s="2">
        <f>MATCH(B12,'Points Summary'!$B$4:$B$1144,0)</f>
        <v>235</v>
      </c>
      <c r="I12" s="51"/>
    </row>
    <row r="13" spans="1:9" x14ac:dyDescent="0.25">
      <c r="A13" s="2">
        <v>6</v>
      </c>
      <c r="B13" s="114" t="s">
        <v>1094</v>
      </c>
      <c r="C13" s="51">
        <v>2.912962962962963E-2</v>
      </c>
      <c r="D13" s="29">
        <f>INDEX('Points Summary'!$E$4:$E$1143,G13)</f>
        <v>53.610747506068513</v>
      </c>
      <c r="E13" s="124">
        <f t="shared" si="0"/>
        <v>0.54584399729026267</v>
      </c>
      <c r="F13" s="3"/>
      <c r="G13" s="2">
        <f>MATCH(B13,'Points Summary'!$B$4:$B$1144,0)</f>
        <v>319</v>
      </c>
      <c r="I13" s="51"/>
    </row>
    <row r="14" spans="1:9" x14ac:dyDescent="0.25">
      <c r="A14" s="2">
        <v>5</v>
      </c>
      <c r="B14" s="114" t="s">
        <v>907</v>
      </c>
      <c r="C14" s="51">
        <v>2.8443287037037038E-2</v>
      </c>
      <c r="D14" s="29">
        <f>INDEX('Points Summary'!$E$4:$E$1143,G14)</f>
        <v>51.9619471013281</v>
      </c>
      <c r="E14" s="124">
        <f t="shared" si="0"/>
        <v>0.55901532955447941</v>
      </c>
      <c r="F14" s="3"/>
      <c r="G14" s="2">
        <f>MATCH(B14,'Points Summary'!$B$4:$B$1144,0)</f>
        <v>250</v>
      </c>
      <c r="I14" s="51"/>
    </row>
    <row r="15" spans="1:9" x14ac:dyDescent="0.25">
      <c r="A15" s="2">
        <v>8</v>
      </c>
      <c r="B15" s="114" t="s">
        <v>816</v>
      </c>
      <c r="C15" s="51">
        <v>3.1363425925925927E-2</v>
      </c>
      <c r="D15" s="29">
        <f>INDEX('Points Summary'!$E$4:$E$1143,G15)</f>
        <v>50.037446296979134</v>
      </c>
      <c r="E15" s="124">
        <f t="shared" si="0"/>
        <v>0.50696736747366344</v>
      </c>
      <c r="F15" s="3"/>
      <c r="G15" s="2">
        <f>MATCH(B15,'Points Summary'!$B$4:$B$1144,0)</f>
        <v>410</v>
      </c>
      <c r="I15" s="51"/>
    </row>
    <row r="16" spans="1:9" x14ac:dyDescent="0.25">
      <c r="A16" s="2">
        <v>11</v>
      </c>
      <c r="B16" s="114" t="s">
        <v>791</v>
      </c>
      <c r="C16" s="51">
        <v>3.5214120370370368E-2</v>
      </c>
      <c r="D16" s="29">
        <f>INDEX('Points Summary'!$E$4:$E$1143,G16)</f>
        <v>48.261767136117484</v>
      </c>
      <c r="E16" s="124">
        <f t="shared" si="0"/>
        <v>0.45153004844047107</v>
      </c>
      <c r="F16" s="3"/>
      <c r="G16" s="2">
        <f>MATCH(B16,'Points Summary'!$B$4:$B$1144,0)</f>
        <v>52</v>
      </c>
      <c r="I16" s="51"/>
    </row>
    <row r="17" spans="1:9" x14ac:dyDescent="0.25">
      <c r="A17" s="2">
        <v>13</v>
      </c>
      <c r="B17" s="114" t="s">
        <v>908</v>
      </c>
      <c r="C17" s="51">
        <v>3.6481481481481483E-2</v>
      </c>
      <c r="D17" s="29">
        <f>INDEX('Points Summary'!$E$4:$E$1143,G17)</f>
        <v>43.724213155970737</v>
      </c>
      <c r="E17" s="124">
        <f t="shared" si="0"/>
        <v>0.43584396331857017</v>
      </c>
      <c r="F17" s="3"/>
      <c r="G17" s="2">
        <f>MATCH(B17,'Points Summary'!$B$4:$B$1144,0)</f>
        <v>200</v>
      </c>
      <c r="I17" s="51"/>
    </row>
    <row r="18" spans="1:9" x14ac:dyDescent="0.25">
      <c r="A18" s="2">
        <v>15</v>
      </c>
      <c r="B18" s="114" t="s">
        <v>882</v>
      </c>
      <c r="C18" s="51">
        <v>3.9660879629629629E-2</v>
      </c>
      <c r="D18" s="29">
        <f>INDEX('Points Summary'!$E$4:$E$1143,G18)</f>
        <v>43.673279471570424</v>
      </c>
      <c r="E18" s="124">
        <f t="shared" si="0"/>
        <v>0.40090471076549833</v>
      </c>
      <c r="F18" s="3"/>
      <c r="G18" s="2">
        <f>MATCH(B18,'Points Summary'!$B$4:$B$1144,0)</f>
        <v>415</v>
      </c>
      <c r="I18" s="51"/>
    </row>
    <row r="19" spans="1:9" x14ac:dyDescent="0.25">
      <c r="A19" s="2">
        <v>12</v>
      </c>
      <c r="B19" s="114" t="s">
        <v>814</v>
      </c>
      <c r="C19" s="51">
        <v>3.5909722222222225E-2</v>
      </c>
      <c r="D19" s="29">
        <f>INDEX('Points Summary'!$E$4:$E$1143,G19)</f>
        <v>42.871754071716111</v>
      </c>
      <c r="E19" s="124">
        <f t="shared" si="0"/>
        <v>0.44278352748666699</v>
      </c>
      <c r="F19" s="3"/>
      <c r="G19" s="2">
        <f>MATCH(B19,'Points Summary'!$B$4:$B$1144,0)</f>
        <v>428</v>
      </c>
      <c r="I19" s="51"/>
    </row>
    <row r="20" spans="1:9" x14ac:dyDescent="0.25">
      <c r="A20" s="2">
        <v>16</v>
      </c>
      <c r="B20" s="114" t="s">
        <v>817</v>
      </c>
      <c r="C20" s="51">
        <v>4.0616898148148152E-2</v>
      </c>
      <c r="D20" s="29">
        <f>INDEX('Points Summary'!$E$4:$E$1143,G20)</f>
        <v>41.838699749319133</v>
      </c>
      <c r="E20" s="124">
        <f t="shared" si="0"/>
        <v>0.39146843312915197</v>
      </c>
      <c r="F20" s="3"/>
      <c r="G20" s="2">
        <f>MATCH(B20,'Points Summary'!$B$4:$B$1144,0)</f>
        <v>420</v>
      </c>
      <c r="I20" s="51"/>
    </row>
    <row r="21" spans="1:9" x14ac:dyDescent="0.25">
      <c r="A21" s="2">
        <v>17</v>
      </c>
      <c r="B21" s="114" t="s">
        <v>822</v>
      </c>
      <c r="C21" s="51">
        <f>TIME(1,3,9.1)</f>
        <v>4.3854166666666666E-2</v>
      </c>
      <c r="D21" s="29">
        <f>INDEX('Points Summary'!$E$4:$E$1143,G21)</f>
        <v>31.829904729434844</v>
      </c>
      <c r="E21" s="124">
        <f t="shared" si="0"/>
        <v>0.36257064459755428</v>
      </c>
      <c r="F21" s="3"/>
      <c r="G21" s="2">
        <f>MATCH(B21,'Points Summary'!$B$4:$B$1144,0)</f>
        <v>342</v>
      </c>
      <c r="I21" s="51"/>
    </row>
    <row r="22" spans="1:9" x14ac:dyDescent="0.25">
      <c r="A22" s="2">
        <v>9</v>
      </c>
      <c r="B22" s="114" t="s">
        <v>752</v>
      </c>
      <c r="C22" s="51">
        <v>3.3239583333333336E-2</v>
      </c>
      <c r="D22" s="29">
        <f>INDEX('Points Summary'!$E$4:$E$1143,G22)</f>
        <v>0</v>
      </c>
      <c r="E22" s="124">
        <f t="shared" si="0"/>
        <v>0.47835237034023925</v>
      </c>
      <c r="F22" s="3"/>
      <c r="G22" s="2">
        <f>MATCH(B22,'Points Summary'!$B$4:$B$1144,0)</f>
        <v>6</v>
      </c>
      <c r="I22" s="51"/>
    </row>
    <row r="23" spans="1:9" x14ac:dyDescent="0.25">
      <c r="A23" s="2">
        <v>18</v>
      </c>
      <c r="B23" s="114" t="s">
        <v>1173</v>
      </c>
      <c r="C23" s="51">
        <f>TIME(1,3,57.1)</f>
        <v>4.4409722222222225E-2</v>
      </c>
      <c r="D23" s="29">
        <f>INDEX('Points Summary'!$E$4:$E$1143,G23)</f>
        <v>0</v>
      </c>
      <c r="E23" s="124">
        <f t="shared" si="0"/>
        <v>0.3580349680427764</v>
      </c>
      <c r="F23" s="3"/>
      <c r="G23" s="2">
        <f>MATCH(B23,'Points Summary'!$B$4:$B$1144,0)</f>
        <v>109</v>
      </c>
      <c r="I23" s="51"/>
    </row>
    <row r="24" spans="1:9" x14ac:dyDescent="0.25">
      <c r="A24" s="2">
        <v>14</v>
      </c>
      <c r="B24" s="114" t="s">
        <v>1095</v>
      </c>
      <c r="C24" s="51">
        <v>3.8984953703703702E-2</v>
      </c>
      <c r="D24" s="29">
        <f>INDEX('Points Summary'!$E$4:$E$1143,G24)</f>
        <v>0</v>
      </c>
      <c r="E24" s="124">
        <f t="shared" si="0"/>
        <v>0.40785564598762974</v>
      </c>
      <c r="F24" s="3"/>
      <c r="G24" s="2">
        <f>MATCH(B24,'Points Summary'!$B$4:$B$1144,0)</f>
        <v>172</v>
      </c>
      <c r="I24" s="51"/>
    </row>
    <row r="25" spans="1:9" x14ac:dyDescent="0.25">
      <c r="A25" s="2">
        <v>10</v>
      </c>
      <c r="B25" s="114" t="s">
        <v>750</v>
      </c>
      <c r="C25" s="51">
        <v>3.2631944444444443E-2</v>
      </c>
      <c r="D25" s="29">
        <f>INDEX('Points Summary'!$E$4:$E$1143,G25)</f>
        <v>0</v>
      </c>
      <c r="E25" s="124">
        <f t="shared" si="0"/>
        <v>0.48725976178624292</v>
      </c>
      <c r="F25" s="3"/>
      <c r="G25" s="2">
        <f>MATCH(B25,'Points Summary'!$B$4:$B$1144,0)</f>
        <v>244</v>
      </c>
      <c r="I25" s="51"/>
    </row>
    <row r="26" spans="1:9" x14ac:dyDescent="0.25">
      <c r="A26" s="2"/>
      <c r="B26" s="114"/>
      <c r="C26" s="51"/>
      <c r="D26" s="29"/>
      <c r="E26" s="124"/>
      <c r="F26" s="3"/>
      <c r="G26" s="2"/>
    </row>
    <row r="27" spans="1:9" x14ac:dyDescent="0.25">
      <c r="A27" s="2"/>
      <c r="B27" s="114"/>
      <c r="C27" s="51"/>
      <c r="D27" s="29"/>
      <c r="E27" s="124"/>
      <c r="F27" s="3"/>
      <c r="G27" s="2"/>
    </row>
    <row r="28" spans="1:9" x14ac:dyDescent="0.25">
      <c r="A28" s="2"/>
      <c r="B28" s="62"/>
      <c r="C28" s="51"/>
      <c r="D28" s="29"/>
      <c r="E28" s="124"/>
      <c r="F28" s="3"/>
      <c r="G28" s="2"/>
    </row>
    <row r="29" spans="1:9" x14ac:dyDescent="0.25">
      <c r="A29" s="2"/>
      <c r="B29" s="62"/>
      <c r="C29" s="51"/>
      <c r="D29" s="29"/>
      <c r="E29" s="124"/>
      <c r="F29" s="3"/>
      <c r="G29" s="2"/>
    </row>
    <row r="30" spans="1:9" x14ac:dyDescent="0.25">
      <c r="A30" s="2"/>
      <c r="B30" s="62"/>
      <c r="C30" s="51"/>
      <c r="D30" s="29"/>
      <c r="E30" s="124"/>
      <c r="F30" s="3"/>
      <c r="G30" s="2"/>
    </row>
    <row r="31" spans="1:9" x14ac:dyDescent="0.25">
      <c r="A31" s="2"/>
      <c r="B31" s="62"/>
      <c r="C31" s="51"/>
      <c r="D31" s="29"/>
      <c r="E31" s="124"/>
      <c r="F31" s="3"/>
      <c r="G31" s="2"/>
    </row>
    <row r="32" spans="1:9" x14ac:dyDescent="0.25">
      <c r="A32" s="42"/>
      <c r="B32" s="182"/>
      <c r="C32" s="51"/>
      <c r="D32" s="29"/>
      <c r="E32" s="124"/>
      <c r="F32" s="3"/>
      <c r="G32" s="2"/>
    </row>
    <row r="33" spans="1:7" x14ac:dyDescent="0.25">
      <c r="A33" s="2"/>
      <c r="B33" s="62"/>
      <c r="C33" s="51"/>
      <c r="D33" s="29"/>
      <c r="E33" s="124"/>
      <c r="F33" s="3"/>
      <c r="G33" s="2"/>
    </row>
    <row r="34" spans="1:7" x14ac:dyDescent="0.25">
      <c r="A34" s="2"/>
      <c r="B34" s="62"/>
      <c r="C34" s="51"/>
      <c r="D34" s="29"/>
      <c r="E34" s="124"/>
      <c r="F34" s="3"/>
      <c r="G34" s="2"/>
    </row>
    <row r="35" spans="1:7" x14ac:dyDescent="0.25">
      <c r="A35" s="2"/>
      <c r="B35" s="155"/>
      <c r="C35" s="51"/>
      <c r="D35" s="29"/>
      <c r="E35" s="124"/>
      <c r="F35" s="3"/>
      <c r="G35" s="2"/>
    </row>
    <row r="36" spans="1:7" x14ac:dyDescent="0.25">
      <c r="A36" s="2"/>
      <c r="B36" s="62"/>
      <c r="C36" s="51"/>
      <c r="D36" s="29"/>
      <c r="E36" s="124"/>
      <c r="F36" s="3"/>
      <c r="G36" s="2"/>
    </row>
    <row r="37" spans="1:7" x14ac:dyDescent="0.25">
      <c r="A37" s="2"/>
      <c r="B37" s="62"/>
      <c r="C37" s="51"/>
      <c r="D37" s="29"/>
      <c r="E37" s="124"/>
      <c r="F37" s="3"/>
      <c r="G37" s="2"/>
    </row>
    <row r="38" spans="1:7" x14ac:dyDescent="0.25">
      <c r="A38" s="2"/>
      <c r="B38" s="182"/>
      <c r="C38" s="51"/>
      <c r="D38" s="29"/>
      <c r="E38" s="124"/>
      <c r="F38" s="3"/>
      <c r="G38" s="2"/>
    </row>
    <row r="39" spans="1:7" x14ac:dyDescent="0.25">
      <c r="A39" s="2"/>
      <c r="B39" s="3"/>
      <c r="C39" s="51"/>
      <c r="D39" s="29"/>
      <c r="E39" s="124"/>
      <c r="F39" s="3"/>
      <c r="G39" s="2"/>
    </row>
    <row r="40" spans="1:7" x14ac:dyDescent="0.25">
      <c r="A40" s="2"/>
      <c r="B40" s="62"/>
      <c r="C40" s="51"/>
      <c r="D40" s="29"/>
      <c r="E40" s="124"/>
      <c r="F40" s="3"/>
      <c r="G40" s="2"/>
    </row>
    <row r="41" spans="1:7" x14ac:dyDescent="0.25">
      <c r="A41" s="2"/>
      <c r="B41" s="62"/>
      <c r="C41" s="51"/>
      <c r="D41" s="29"/>
      <c r="E41" s="124"/>
      <c r="F41" s="3"/>
      <c r="G41" s="2"/>
    </row>
    <row r="42" spans="1:7" x14ac:dyDescent="0.25">
      <c r="A42" s="2"/>
      <c r="B42" s="62"/>
      <c r="C42" s="51"/>
      <c r="D42" s="29"/>
      <c r="E42" s="124"/>
      <c r="F42" s="3"/>
      <c r="G42" s="2"/>
    </row>
  </sheetData>
  <sortState ref="A8:G25">
    <sortCondition descending="1" ref="D8:D25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2018 Race Points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zoomScaleNormal="100" workbookViewId="0">
      <selection activeCell="B13" sqref="B13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995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43107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25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840</v>
      </c>
      <c r="C5" s="22"/>
      <c r="D5" s="22"/>
      <c r="E5" s="22" t="s">
        <v>55</v>
      </c>
      <c r="F5" s="38">
        <f>AVERAGE(C8:C12)*(AVERAGE(D8:D12)/100)</f>
        <v>2.5256569519612262E-2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5</v>
      </c>
      <c r="B8" s="114" t="s">
        <v>715</v>
      </c>
      <c r="C8" s="28">
        <f>TIME(0,55,40.3)</f>
        <v>3.8657407407407404E-2</v>
      </c>
      <c r="D8" s="29">
        <f>INDEX('Points Summary'!$E$4:$E$1143,G8)</f>
        <v>67.376687844768071</v>
      </c>
      <c r="E8" s="124">
        <f t="shared" ref="E8:E20" si="0">(AVERAGE($D$8:$D$12)/100*AVERAGE($C$8:$C$12))/C8</f>
        <v>0.65334359475883219</v>
      </c>
      <c r="F8" s="3"/>
      <c r="G8" s="2">
        <f>MATCH(B8,'Points Summary'!$B$4:$B$1144,0)</f>
        <v>236</v>
      </c>
    </row>
    <row r="9" spans="1:7" x14ac:dyDescent="0.25">
      <c r="A9" s="2">
        <v>1</v>
      </c>
      <c r="B9" s="114" t="s">
        <v>760</v>
      </c>
      <c r="C9" s="28">
        <f>TIME(0,50,49.1)</f>
        <v>3.5289351851851856E-2</v>
      </c>
      <c r="D9" s="29">
        <f>INDEX('Points Summary'!$E$4:$E$1143,G9)</f>
        <v>67.2926081091029</v>
      </c>
      <c r="E9" s="124">
        <f t="shared" si="0"/>
        <v>0.71569944457018664</v>
      </c>
      <c r="F9" s="3"/>
      <c r="G9" s="2">
        <f>MATCH(B9,'Points Summary'!$B$4:$B$1144,0)</f>
        <v>337</v>
      </c>
    </row>
    <row r="10" spans="1:7" x14ac:dyDescent="0.25">
      <c r="A10" s="2">
        <v>2</v>
      </c>
      <c r="B10" s="114" t="s">
        <v>106</v>
      </c>
      <c r="C10" s="28">
        <f>TIME(0,51,56.9)</f>
        <v>3.6064814814814813E-2</v>
      </c>
      <c r="D10" s="29">
        <f>INDEX('Points Summary'!$E$4:$E$1143,G10)</f>
        <v>66.743668731500662</v>
      </c>
      <c r="E10" s="124">
        <f t="shared" si="0"/>
        <v>0.70031052840003194</v>
      </c>
      <c r="F10" s="3"/>
      <c r="G10" s="2">
        <f>MATCH(B10,'Points Summary'!$B$4:$B$1144,0)</f>
        <v>45</v>
      </c>
    </row>
    <row r="11" spans="1:7" x14ac:dyDescent="0.25">
      <c r="A11" s="2">
        <v>3</v>
      </c>
      <c r="B11" s="114" t="s">
        <v>1056</v>
      </c>
      <c r="C11" s="28">
        <f>TIME(0,54,30.1)</f>
        <v>3.784722222222222E-2</v>
      </c>
      <c r="D11" s="29">
        <f>INDEX('Points Summary'!$E$4:$E$1143,G11)</f>
        <v>66.477902826298617</v>
      </c>
      <c r="E11" s="124">
        <f t="shared" si="0"/>
        <v>0.66732954327048921</v>
      </c>
      <c r="F11" s="3"/>
      <c r="G11" s="2">
        <f>MATCH(B11,'Points Summary'!$B$4:$B$1144,0)</f>
        <v>361</v>
      </c>
    </row>
    <row r="12" spans="1:7" x14ac:dyDescent="0.25">
      <c r="A12" s="2">
        <v>12</v>
      </c>
      <c r="B12" s="114" t="s">
        <v>1054</v>
      </c>
      <c r="C12" s="28">
        <f>TIME(1,5,57.4)</f>
        <v>4.5798611111111109E-2</v>
      </c>
      <c r="D12" s="29">
        <f>INDEX('Points Summary'!$E$4:$E$1143,G12)</f>
        <v>58.156169079069009</v>
      </c>
      <c r="E12" s="124">
        <f t="shared" si="0"/>
        <v>0.55147020634179922</v>
      </c>
      <c r="F12" s="3"/>
      <c r="G12" s="2">
        <f>MATCH(B12,'Points Summary'!$B$4:$B$1144,0)</f>
        <v>217</v>
      </c>
    </row>
    <row r="13" spans="1:7" x14ac:dyDescent="0.25">
      <c r="A13" s="2">
        <v>4</v>
      </c>
      <c r="B13" s="114" t="s">
        <v>98</v>
      </c>
      <c r="C13" s="28">
        <f>TIME(0,54,58.9)</f>
        <v>3.8171296296296293E-2</v>
      </c>
      <c r="D13" s="29">
        <f>INDEX('Points Summary'!$E$4:$E$1143,G13)</f>
        <v>57.073595074319748</v>
      </c>
      <c r="E13" s="124">
        <f t="shared" si="0"/>
        <v>0.66166391949499681</v>
      </c>
      <c r="F13" s="3"/>
      <c r="G13" s="2">
        <f>MATCH(B13,'Points Summary'!$B$4:$B$1144,0)</f>
        <v>38</v>
      </c>
    </row>
    <row r="14" spans="1:7" x14ac:dyDescent="0.25">
      <c r="A14" s="2">
        <v>9</v>
      </c>
      <c r="B14" s="32" t="s">
        <v>710</v>
      </c>
      <c r="C14" s="28">
        <f>TIME(1,3,46.9)</f>
        <v>4.4282407407407409E-2</v>
      </c>
      <c r="D14" s="29">
        <f>INDEX('Points Summary'!$E$4:$E$1143,G14)</f>
        <v>55.346530216192669</v>
      </c>
      <c r="E14" s="124">
        <f t="shared" si="0"/>
        <v>0.57035222333886548</v>
      </c>
      <c r="F14" s="3"/>
      <c r="G14" s="2">
        <f>MATCH(B14,'Points Summary'!$B$4:$B$1144,0)</f>
        <v>351</v>
      </c>
    </row>
    <row r="15" spans="1:7" x14ac:dyDescent="0.25">
      <c r="A15" s="2">
        <v>11</v>
      </c>
      <c r="B15" s="114" t="s">
        <v>1017</v>
      </c>
      <c r="C15" s="28">
        <f>TIME(1,5,46.2)</f>
        <v>4.5671296296296293E-2</v>
      </c>
      <c r="D15" s="29">
        <f>INDEX('Points Summary'!$E$4:$E$1143,G15)</f>
        <v>55.192586848526851</v>
      </c>
      <c r="E15" s="124">
        <f t="shared" si="0"/>
        <v>0.55300750291294976</v>
      </c>
      <c r="F15" s="3"/>
      <c r="G15" s="2">
        <f>MATCH(B15,'Points Summary'!$B$4:$B$1144,0)</f>
        <v>261</v>
      </c>
    </row>
    <row r="16" spans="1:7" x14ac:dyDescent="0.25">
      <c r="A16" s="2">
        <v>7</v>
      </c>
      <c r="B16" s="114" t="s">
        <v>1057</v>
      </c>
      <c r="C16" s="28">
        <f>TIME(1,2,13.5)</f>
        <v>4.3206018518518519E-2</v>
      </c>
      <c r="D16" s="29">
        <f>INDEX('Points Summary'!$E$4:$E$1143,G16)</f>
        <v>53.490303573813378</v>
      </c>
      <c r="E16" s="124">
        <f t="shared" si="0"/>
        <v>0.58456137329078472</v>
      </c>
      <c r="F16" s="3"/>
      <c r="G16" s="2">
        <f>MATCH(B16,'Points Summary'!$B$4:$B$1144,0)</f>
        <v>134</v>
      </c>
    </row>
    <row r="17" spans="1:7" x14ac:dyDescent="0.25">
      <c r="A17" s="2">
        <v>8</v>
      </c>
      <c r="B17" s="114" t="s">
        <v>757</v>
      </c>
      <c r="C17" s="28">
        <f>TIME(1,2,23.3)</f>
        <v>4.3321759259259261E-2</v>
      </c>
      <c r="D17" s="29">
        <f>INDEX('Points Summary'!$E$4:$E$1143,G17)</f>
        <v>60.328448077557226</v>
      </c>
      <c r="E17" s="124">
        <f t="shared" si="0"/>
        <v>0.58299962770357983</v>
      </c>
      <c r="F17" s="3"/>
      <c r="G17" s="2">
        <f>MATCH(B17,'Points Summary'!$B$4:$B$1144,0)</f>
        <v>240</v>
      </c>
    </row>
    <row r="18" spans="1:7" x14ac:dyDescent="0.25">
      <c r="A18" s="2">
        <v>10</v>
      </c>
      <c r="B18" s="114" t="s">
        <v>1058</v>
      </c>
      <c r="C18" s="28">
        <f>TIME(1,5,46.2)</f>
        <v>4.5671296296296293E-2</v>
      </c>
      <c r="D18" s="29">
        <f>INDEX('Points Summary'!$E$4:$E$1143,G18)</f>
        <v>52.63724253082016</v>
      </c>
      <c r="E18" s="124">
        <f t="shared" si="0"/>
        <v>0.55300750291294976</v>
      </c>
      <c r="F18" s="3"/>
      <c r="G18" s="2">
        <f>MATCH(B18,'Points Summary'!$B$4:$B$1144,0)</f>
        <v>162</v>
      </c>
    </row>
    <row r="19" spans="1:7" x14ac:dyDescent="0.25">
      <c r="A19" s="2">
        <v>6</v>
      </c>
      <c r="B19" s="114" t="s">
        <v>1053</v>
      </c>
      <c r="C19" s="28">
        <f>TIME(1,0,43.9)</f>
        <v>4.2164351851851856E-2</v>
      </c>
      <c r="D19" s="29">
        <f>INDEX('Points Summary'!$E$4:$E$1143,G19)</f>
        <v>0</v>
      </c>
      <c r="E19" s="124">
        <f t="shared" si="0"/>
        <v>0.59900291147254991</v>
      </c>
      <c r="F19" s="3"/>
      <c r="G19" s="2">
        <f>MATCH(B19,'Points Summary'!$B$4:$B$1144,0)</f>
        <v>315</v>
      </c>
    </row>
    <row r="20" spans="1:7" x14ac:dyDescent="0.25">
      <c r="A20" s="2">
        <v>13</v>
      </c>
      <c r="B20" s="114" t="s">
        <v>1055</v>
      </c>
      <c r="C20" s="28">
        <f>TIME(1,8,53.3)</f>
        <v>4.7835648148148148E-2</v>
      </c>
      <c r="D20" s="29">
        <f>INDEX('Points Summary'!$E$4:$E$1143,G20)</f>
        <v>0</v>
      </c>
      <c r="E20" s="124">
        <f t="shared" si="0"/>
        <v>0.52798635530958127</v>
      </c>
      <c r="F20" s="3"/>
      <c r="G20" s="2">
        <f>MATCH(B20,'Points Summary'!$B$4:$B$1144,0)</f>
        <v>60</v>
      </c>
    </row>
    <row r="21" spans="1:7" x14ac:dyDescent="0.25">
      <c r="A21" s="2"/>
      <c r="B21" s="114"/>
      <c r="C21" s="28"/>
      <c r="D21" s="29"/>
      <c r="E21" s="30"/>
      <c r="F21" s="3"/>
      <c r="G21" s="2"/>
    </row>
    <row r="22" spans="1:7" x14ac:dyDescent="0.25">
      <c r="A22" s="2"/>
      <c r="B22" s="114"/>
      <c r="C22" s="28"/>
      <c r="D22" s="29"/>
      <c r="E22" s="30"/>
      <c r="F22" s="3"/>
      <c r="G22" s="2"/>
    </row>
    <row r="23" spans="1:7" x14ac:dyDescent="0.25">
      <c r="A23" s="2"/>
      <c r="B23" s="114"/>
      <c r="C23" s="28"/>
      <c r="D23" s="29"/>
      <c r="E23" s="30"/>
      <c r="F23" s="3"/>
      <c r="G23" s="2"/>
    </row>
    <row r="24" spans="1:7" x14ac:dyDescent="0.25">
      <c r="A24" s="2"/>
      <c r="B24" s="114"/>
      <c r="C24" s="28"/>
      <c r="D24" s="29"/>
      <c r="E24" s="30"/>
      <c r="F24" s="3"/>
      <c r="G24" s="2"/>
    </row>
    <row r="25" spans="1:7" x14ac:dyDescent="0.25">
      <c r="A25" s="42"/>
      <c r="B25" s="114"/>
      <c r="C25" s="28"/>
      <c r="D25" s="29"/>
      <c r="E25" s="30"/>
      <c r="F25" s="3"/>
      <c r="G25" s="2"/>
    </row>
    <row r="26" spans="1:7" x14ac:dyDescent="0.25">
      <c r="A26" s="42"/>
      <c r="B26" s="114"/>
      <c r="C26" s="28"/>
      <c r="D26" s="29"/>
      <c r="E26" s="30"/>
      <c r="F26" s="3"/>
      <c r="G26" s="2"/>
    </row>
    <row r="27" spans="1:7" x14ac:dyDescent="0.25">
      <c r="A27" s="42"/>
      <c r="B27" s="114"/>
      <c r="C27" s="28"/>
      <c r="D27" s="29"/>
      <c r="E27" s="30"/>
      <c r="F27" s="3"/>
      <c r="G27" s="2"/>
    </row>
    <row r="28" spans="1:7" x14ac:dyDescent="0.25">
      <c r="C28" s="28"/>
      <c r="D28" s="29"/>
      <c r="E28" s="30"/>
      <c r="F28" s="3"/>
      <c r="G28" s="2"/>
    </row>
    <row r="29" spans="1:7" x14ac:dyDescent="0.25">
      <c r="C29" s="28"/>
      <c r="D29" s="29"/>
      <c r="E29" s="30"/>
      <c r="F29" s="3"/>
      <c r="G29" s="2"/>
    </row>
    <row r="30" spans="1:7" x14ac:dyDescent="0.25">
      <c r="C30" s="28"/>
      <c r="D30" s="29"/>
      <c r="E30" s="30"/>
      <c r="F30" s="3"/>
      <c r="G30" s="2"/>
    </row>
    <row r="31" spans="1:7" x14ac:dyDescent="0.25">
      <c r="C31" s="28"/>
      <c r="D31" s="29"/>
      <c r="E31" s="30"/>
      <c r="F31" s="3"/>
      <c r="G31" s="2"/>
    </row>
    <row r="32" spans="1:7" x14ac:dyDescent="0.25">
      <c r="C32" s="28"/>
      <c r="D32" s="29"/>
      <c r="E32" s="30"/>
      <c r="F32" s="3"/>
      <c r="G32" s="2"/>
    </row>
    <row r="33" spans="3:7" x14ac:dyDescent="0.25">
      <c r="C33" s="28"/>
      <c r="D33" s="29"/>
      <c r="E33" s="30"/>
      <c r="F33" s="3"/>
      <c r="G33" s="2"/>
    </row>
  </sheetData>
  <sortState ref="A8:G20">
    <sortCondition descending="1" ref="D8:D20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2018 Race Points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workbookViewId="0">
      <selection activeCell="D10" sqref="D10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1059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43110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44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530</v>
      </c>
      <c r="C5" s="22"/>
      <c r="D5" s="22"/>
      <c r="E5" s="22" t="s">
        <v>55</v>
      </c>
      <c r="F5" s="38">
        <f>AVERAGE(C8:C10)*(AVERAGE(D8:D10)/100)</f>
        <v>3.3452260088726267E-2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31</v>
      </c>
      <c r="B8" s="114" t="s">
        <v>189</v>
      </c>
      <c r="C8" s="51">
        <v>3.381365740740741E-2</v>
      </c>
      <c r="D8" s="29">
        <f>INDEX('Points Summary'!$E$4:$E$1143,G8)</f>
        <v>98.261207131612366</v>
      </c>
      <c r="E8" s="124">
        <f>(AVERAGE($D$8:$D$10)/100*AVERAGE($C$8:$C$10))/C8</f>
        <v>0.98931209025019651</v>
      </c>
      <c r="F8" s="3"/>
      <c r="G8" s="2">
        <f>MATCH(B8,'Points Summary'!$B$4:$B$1144,0)</f>
        <v>120</v>
      </c>
    </row>
    <row r="9" spans="1:7" x14ac:dyDescent="0.25">
      <c r="A9" s="2">
        <v>36</v>
      </c>
      <c r="B9" s="62" t="s">
        <v>7</v>
      </c>
      <c r="C9" s="51">
        <v>3.4061342592592588E-2</v>
      </c>
      <c r="D9" s="29">
        <f>INDEX('Points Summary'!$E$4:$E$1143,G9)</f>
        <v>97.656939962494079</v>
      </c>
      <c r="E9" s="124">
        <f>(AVERAGE($D$8:$D$10)/100*AVERAGE($C$8:$C$10))/C9</f>
        <v>0.98211807117671346</v>
      </c>
      <c r="F9" s="3"/>
      <c r="G9" s="2">
        <f>MATCH(B9,'Points Summary'!$B$4:$B$1144,0)</f>
        <v>63</v>
      </c>
    </row>
    <row r="10" spans="1:7" x14ac:dyDescent="0.25">
      <c r="A10" s="2">
        <v>37</v>
      </c>
      <c r="B10" s="3" t="s">
        <v>84</v>
      </c>
      <c r="C10" s="51">
        <v>3.4077546296296293E-2</v>
      </c>
      <c r="D10" s="29">
        <f>INDEX('Points Summary'!$E$4:$E$1143,G10)</f>
        <v>99.386238853803533</v>
      </c>
      <c r="E10" s="124">
        <f>(AVERAGE($D$8:$D$10)/100*AVERAGE($C$8:$C$10))/C10</f>
        <v>0.98165107892060921</v>
      </c>
      <c r="F10" s="3"/>
      <c r="G10" s="2">
        <f>MATCH(B10,'Points Summary'!$B$4:$B$1144,0)</f>
        <v>13</v>
      </c>
    </row>
    <row r="11" spans="1:7" x14ac:dyDescent="0.25">
      <c r="A11" s="2"/>
      <c r="B11" s="114"/>
      <c r="C11" s="51"/>
      <c r="D11" s="29"/>
      <c r="E11" s="124"/>
      <c r="F11" s="3"/>
      <c r="G11" s="2"/>
    </row>
    <row r="12" spans="1:7" x14ac:dyDescent="0.25">
      <c r="A12" s="2"/>
      <c r="B12" s="62"/>
      <c r="C12" s="51"/>
      <c r="D12" s="29"/>
      <c r="E12" s="124"/>
      <c r="F12" s="3"/>
      <c r="G12" s="2"/>
    </row>
    <row r="13" spans="1:7" x14ac:dyDescent="0.25">
      <c r="A13" s="2"/>
      <c r="B13" s="62"/>
      <c r="C13" s="51"/>
      <c r="D13" s="29"/>
      <c r="E13" s="124"/>
      <c r="F13" s="3"/>
      <c r="G13" s="2"/>
    </row>
    <row r="14" spans="1:7" x14ac:dyDescent="0.25">
      <c r="A14" s="2"/>
      <c r="B14" s="62"/>
      <c r="C14" s="51"/>
      <c r="D14" s="29"/>
      <c r="E14" s="124"/>
      <c r="F14" s="3"/>
      <c r="G14" s="2"/>
    </row>
    <row r="15" spans="1:7" x14ac:dyDescent="0.25">
      <c r="A15" s="2"/>
      <c r="B15" s="114"/>
      <c r="C15" s="51"/>
      <c r="D15" s="29"/>
      <c r="E15" s="124"/>
      <c r="F15" s="3"/>
      <c r="G15" s="2"/>
    </row>
    <row r="16" spans="1:7" x14ac:dyDescent="0.25">
      <c r="A16" s="2"/>
      <c r="B16" s="62"/>
      <c r="C16" s="51"/>
      <c r="D16" s="29"/>
      <c r="E16" s="124"/>
      <c r="F16" s="3"/>
      <c r="G16" s="2"/>
    </row>
    <row r="17" spans="1:7" x14ac:dyDescent="0.25">
      <c r="A17" s="2"/>
      <c r="B17" s="62"/>
      <c r="C17" s="51"/>
      <c r="D17" s="29"/>
      <c r="E17" s="124"/>
      <c r="F17" s="3"/>
      <c r="G17" s="2"/>
    </row>
    <row r="18" spans="1:7" x14ac:dyDescent="0.25">
      <c r="A18" s="2"/>
      <c r="B18" s="62"/>
      <c r="C18" s="28"/>
      <c r="D18" s="29"/>
      <c r="E18" s="30"/>
      <c r="F18" s="3"/>
      <c r="G18" s="2"/>
    </row>
    <row r="19" spans="1:7" x14ac:dyDescent="0.25">
      <c r="A19" s="2"/>
      <c r="B19" s="62"/>
      <c r="C19" s="28"/>
      <c r="D19" s="29"/>
      <c r="E19" s="30"/>
      <c r="F19" s="3"/>
      <c r="G19" s="2"/>
    </row>
    <row r="20" spans="1:7" x14ac:dyDescent="0.25">
      <c r="A20" s="2"/>
      <c r="B20" s="3"/>
      <c r="C20" s="28"/>
      <c r="D20" s="29"/>
      <c r="E20" s="30"/>
      <c r="F20" s="3"/>
      <c r="G20" s="2"/>
    </row>
    <row r="21" spans="1:7" x14ac:dyDescent="0.25">
      <c r="A21" s="2"/>
      <c r="B21" s="3"/>
      <c r="C21" s="28"/>
      <c r="D21" s="29"/>
      <c r="E21" s="30"/>
      <c r="F21" s="3"/>
      <c r="G21" s="2"/>
    </row>
    <row r="22" spans="1:7" x14ac:dyDescent="0.25">
      <c r="A22" s="2"/>
      <c r="B22" s="3"/>
      <c r="C22" s="28"/>
      <c r="D22" s="29"/>
      <c r="E22" s="30"/>
      <c r="F22" s="3"/>
      <c r="G22" s="2"/>
    </row>
    <row r="23" spans="1:7" x14ac:dyDescent="0.25">
      <c r="A23" s="2"/>
      <c r="B23" s="3"/>
      <c r="C23" s="28"/>
      <c r="D23" s="29"/>
      <c r="E23" s="30"/>
      <c r="F23" s="3"/>
      <c r="G23" s="2"/>
    </row>
    <row r="24" spans="1:7" x14ac:dyDescent="0.25">
      <c r="A24" s="2"/>
      <c r="B24" s="3"/>
      <c r="C24" s="28"/>
      <c r="D24" s="29"/>
      <c r="E24" s="30"/>
      <c r="F24" s="3" t="s">
        <v>29</v>
      </c>
      <c r="G24" s="2"/>
    </row>
    <row r="25" spans="1:7" x14ac:dyDescent="0.25">
      <c r="A25" s="2"/>
      <c r="B25" s="3"/>
      <c r="C25" s="28"/>
      <c r="D25" s="29"/>
      <c r="E25" s="30"/>
      <c r="F25" s="3"/>
      <c r="G25" s="2"/>
    </row>
    <row r="26" spans="1:7" x14ac:dyDescent="0.25">
      <c r="A26" s="2"/>
      <c r="B26" s="3"/>
      <c r="C26" s="28"/>
      <c r="D26" s="29"/>
      <c r="E26" s="30"/>
      <c r="F26" s="3"/>
      <c r="G26" s="2"/>
    </row>
    <row r="27" spans="1:7" x14ac:dyDescent="0.25">
      <c r="A27" s="2"/>
      <c r="B27" s="3"/>
      <c r="C27" s="28"/>
      <c r="D27" s="29"/>
      <c r="E27" s="30"/>
      <c r="F27" s="3"/>
      <c r="G27" s="2"/>
    </row>
    <row r="28" spans="1:7" x14ac:dyDescent="0.25">
      <c r="A28" s="2"/>
      <c r="B28" s="3"/>
      <c r="C28" s="28"/>
      <c r="D28" s="29"/>
      <c r="E28" s="30"/>
      <c r="F28" s="3"/>
      <c r="G28" s="2"/>
    </row>
    <row r="29" spans="1:7" x14ac:dyDescent="0.25">
      <c r="A29" s="2"/>
      <c r="B29" s="3"/>
      <c r="C29" s="28"/>
      <c r="D29" s="29"/>
      <c r="E29" s="30"/>
      <c r="F29" s="3"/>
      <c r="G29" s="2"/>
    </row>
    <row r="30" spans="1:7" x14ac:dyDescent="0.25">
      <c r="B30" s="3"/>
      <c r="C30" s="28"/>
      <c r="D30" s="29"/>
      <c r="E30" s="30"/>
      <c r="F30" s="3"/>
      <c r="G30" s="2"/>
    </row>
    <row r="31" spans="1:7" x14ac:dyDescent="0.25">
      <c r="C31" s="28"/>
      <c r="D31" s="29"/>
      <c r="E31" s="30"/>
      <c r="F31" s="3"/>
      <c r="G31" s="2"/>
    </row>
    <row r="32" spans="1:7" x14ac:dyDescent="0.25">
      <c r="B32" s="3"/>
      <c r="C32" s="28"/>
      <c r="D32" s="29"/>
      <c r="E32" s="30"/>
      <c r="F32" s="3"/>
      <c r="G32" s="2"/>
    </row>
    <row r="33" spans="2:7" x14ac:dyDescent="0.25">
      <c r="B33" s="3"/>
      <c r="C33" s="28"/>
      <c r="D33" s="29"/>
      <c r="E33" s="30"/>
      <c r="F33" s="3"/>
      <c r="G33" s="2"/>
    </row>
    <row r="34" spans="2:7" x14ac:dyDescent="0.25">
      <c r="B34" s="3"/>
      <c r="C34" s="28"/>
      <c r="D34" s="29"/>
      <c r="E34" s="30"/>
      <c r="F34" s="3"/>
      <c r="G34" s="2"/>
    </row>
    <row r="35" spans="2:7" x14ac:dyDescent="0.25">
      <c r="B35" s="3"/>
      <c r="C35" s="28"/>
      <c r="D35" s="29"/>
      <c r="E35" s="30"/>
      <c r="F35" s="3"/>
      <c r="G35" s="2"/>
    </row>
    <row r="36" spans="2:7" x14ac:dyDescent="0.25">
      <c r="B36" s="3"/>
      <c r="C36" s="28"/>
      <c r="D36" s="29"/>
      <c r="E36" s="30"/>
      <c r="F36" s="3"/>
      <c r="G36" s="2"/>
    </row>
    <row r="37" spans="2:7" x14ac:dyDescent="0.25">
      <c r="B37" s="3"/>
      <c r="C37" s="28"/>
      <c r="D37" s="29"/>
      <c r="E37" s="30"/>
      <c r="F37" s="3"/>
      <c r="G37" s="2"/>
    </row>
    <row r="38" spans="2:7" x14ac:dyDescent="0.25">
      <c r="B38" s="3"/>
      <c r="C38" s="28"/>
      <c r="D38" s="29"/>
      <c r="E38" s="30"/>
      <c r="F38" s="3"/>
      <c r="G38" s="2"/>
    </row>
    <row r="39" spans="2:7" x14ac:dyDescent="0.25">
      <c r="B39" s="3"/>
      <c r="C39" s="28"/>
      <c r="D39" s="29"/>
      <c r="E39" s="30"/>
      <c r="F39" s="3"/>
      <c r="G39" s="2"/>
    </row>
    <row r="40" spans="2:7" x14ac:dyDescent="0.25">
      <c r="B40" s="3"/>
      <c r="C40" s="28"/>
      <c r="D40" s="29"/>
      <c r="E40" s="30"/>
      <c r="F40" s="3"/>
      <c r="G40" s="2"/>
    </row>
    <row r="41" spans="2:7" x14ac:dyDescent="0.25">
      <c r="B41" s="3"/>
      <c r="C41" s="28"/>
      <c r="D41" s="29"/>
      <c r="E41" s="30"/>
      <c r="F41" s="3"/>
      <c r="G41" s="2"/>
    </row>
    <row r="42" spans="2:7" x14ac:dyDescent="0.25">
      <c r="B42" s="3"/>
      <c r="C42" s="28"/>
      <c r="D42" s="29"/>
      <c r="E42" s="30"/>
      <c r="F42" s="3"/>
      <c r="G42" s="2"/>
    </row>
    <row r="43" spans="2:7" x14ac:dyDescent="0.25">
      <c r="C43" s="28"/>
      <c r="D43" s="29"/>
      <c r="E43" s="30"/>
      <c r="F43" s="3"/>
      <c r="G43" s="2"/>
    </row>
  </sheetData>
  <sortState ref="A8:G17">
    <sortCondition descending="1" ref="D8:D17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2018 Race Points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workbookViewId="0">
      <selection activeCell="D8" sqref="D8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1060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43113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819</v>
      </c>
      <c r="C5" s="22"/>
      <c r="D5" s="22"/>
      <c r="E5" s="22" t="s">
        <v>55</v>
      </c>
      <c r="F5" s="38">
        <f>AVERAGE(C8:C10)*(AVERAGE(D8:D10)/100)</f>
        <v>1.8481496210002276E-2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15</v>
      </c>
      <c r="B8" s="50" t="s">
        <v>70</v>
      </c>
      <c r="C8" s="51">
        <v>1.9276620370370371E-2</v>
      </c>
      <c r="D8" s="29">
        <f>INDEX('Points Summary'!$E$4:$E$1143,G8)</f>
        <v>94.287557018467481</v>
      </c>
      <c r="E8" s="124">
        <f>(AVERAGE($D$8:$D$10)/100*AVERAGE($C$8:$C$10))/C8</f>
        <v>0.95875188984941251</v>
      </c>
      <c r="F8" s="3"/>
      <c r="G8" s="2">
        <f>MATCH(B8,'Points Summary'!$B$4:$B$1144,0)</f>
        <v>309</v>
      </c>
    </row>
    <row r="9" spans="1:7" x14ac:dyDescent="0.25">
      <c r="A9" s="2">
        <v>33</v>
      </c>
      <c r="B9" s="62" t="s">
        <v>851</v>
      </c>
      <c r="C9" s="51">
        <v>1.9909722222222224E-2</v>
      </c>
      <c r="D9" s="29">
        <f>INDEX('Points Summary'!$E$4:$E$1143,G9)</f>
        <v>92.524757170419548</v>
      </c>
      <c r="E9" s="124">
        <f>(AVERAGE($D$8:$D$10)/100*AVERAGE($C$8:$C$10))/C9</f>
        <v>0.92826489509603327</v>
      </c>
      <c r="F9" s="3"/>
      <c r="G9" s="2">
        <f>MATCH(B9,'Points Summary'!$B$4:$B$1144,0)</f>
        <v>366</v>
      </c>
    </row>
    <row r="10" spans="1:7" x14ac:dyDescent="0.25">
      <c r="A10" s="2">
        <v>40</v>
      </c>
      <c r="B10" s="114" t="s">
        <v>50</v>
      </c>
      <c r="C10" s="51">
        <v>2.0068287037037037E-2</v>
      </c>
      <c r="D10" s="29">
        <f>INDEX('Points Summary'!$E$4:$E$1143,G10)</f>
        <v>93.897339942251477</v>
      </c>
      <c r="E10" s="124">
        <f>(AVERAGE($D$8:$D$10)/100*AVERAGE($C$8:$C$10))/C10</f>
        <v>0.92093042998108121</v>
      </c>
      <c r="F10" s="3"/>
      <c r="G10" s="2">
        <f>MATCH(B10,'Points Summary'!$B$4:$B$1144,0)</f>
        <v>104</v>
      </c>
    </row>
    <row r="11" spans="1:7" x14ac:dyDescent="0.25">
      <c r="A11" s="2"/>
      <c r="B11" s="62"/>
      <c r="C11" s="51"/>
      <c r="D11" s="29"/>
      <c r="E11" s="124"/>
      <c r="F11" s="3"/>
      <c r="G11" s="2"/>
    </row>
    <row r="12" spans="1:7" x14ac:dyDescent="0.25">
      <c r="A12" s="42"/>
      <c r="B12" s="3"/>
      <c r="C12" s="51"/>
      <c r="D12" s="29"/>
      <c r="E12" s="124"/>
      <c r="F12" s="3"/>
      <c r="G12" s="2"/>
    </row>
    <row r="13" spans="1:7" x14ac:dyDescent="0.25">
      <c r="A13" s="2"/>
      <c r="B13" s="62"/>
      <c r="C13" s="51"/>
      <c r="D13" s="29"/>
      <c r="E13" s="124"/>
      <c r="F13" s="3"/>
      <c r="G13" s="2"/>
    </row>
    <row r="14" spans="1:7" x14ac:dyDescent="0.25">
      <c r="A14" s="2"/>
      <c r="B14" s="62"/>
      <c r="C14" s="51"/>
      <c r="D14" s="29"/>
      <c r="E14" s="124"/>
      <c r="F14" s="3"/>
      <c r="G14" s="2"/>
    </row>
    <row r="15" spans="1:7" x14ac:dyDescent="0.25">
      <c r="A15" s="2"/>
      <c r="B15" s="62"/>
      <c r="C15" s="51"/>
      <c r="D15" s="29"/>
      <c r="E15" s="124"/>
      <c r="F15" s="3"/>
      <c r="G15" s="2"/>
    </row>
    <row r="16" spans="1:7" x14ac:dyDescent="0.25">
      <c r="A16" s="2"/>
      <c r="B16" s="62"/>
      <c r="C16" s="51"/>
      <c r="D16" s="29"/>
      <c r="E16" s="124"/>
      <c r="F16" s="3"/>
      <c r="G16" s="2"/>
    </row>
    <row r="17" spans="1:7" x14ac:dyDescent="0.25">
      <c r="A17" s="2"/>
      <c r="B17" s="62"/>
      <c r="C17" s="51"/>
      <c r="D17" s="29"/>
      <c r="E17" s="124"/>
      <c r="F17" s="3"/>
      <c r="G17" s="2"/>
    </row>
    <row r="18" spans="1:7" x14ac:dyDescent="0.25">
      <c r="A18" s="2"/>
      <c r="B18" s="3"/>
      <c r="C18" s="51"/>
      <c r="D18" s="29"/>
      <c r="E18" s="124"/>
      <c r="F18" s="3"/>
      <c r="G18" s="2"/>
    </row>
    <row r="19" spans="1:7" x14ac:dyDescent="0.25">
      <c r="A19" s="2"/>
      <c r="B19" s="62"/>
      <c r="C19" s="51"/>
      <c r="D19" s="29"/>
      <c r="E19" s="124"/>
      <c r="F19" s="3"/>
      <c r="G19" s="2"/>
    </row>
    <row r="20" spans="1:7" x14ac:dyDescent="0.25">
      <c r="A20" s="2"/>
      <c r="B20" s="73"/>
      <c r="C20" s="51"/>
      <c r="D20" s="29"/>
      <c r="E20" s="124"/>
      <c r="F20" s="3"/>
      <c r="G20" s="2"/>
    </row>
    <row r="21" spans="1:7" x14ac:dyDescent="0.25">
      <c r="A21" s="2"/>
      <c r="B21" s="3"/>
      <c r="C21" s="51"/>
      <c r="D21" s="29"/>
      <c r="E21" s="124"/>
      <c r="F21" s="3"/>
      <c r="G21" s="2"/>
    </row>
    <row r="22" spans="1:7" x14ac:dyDescent="0.25">
      <c r="A22" s="2"/>
      <c r="B22" s="3"/>
      <c r="C22" s="51"/>
      <c r="D22" s="29"/>
      <c r="E22" s="124"/>
      <c r="F22" s="3"/>
      <c r="G22" s="2"/>
    </row>
    <row r="23" spans="1:7" x14ac:dyDescent="0.25">
      <c r="A23" s="42"/>
      <c r="B23" s="3"/>
      <c r="C23" s="51"/>
      <c r="D23" s="29"/>
      <c r="E23" s="124"/>
      <c r="F23" s="3"/>
      <c r="G23" s="2"/>
    </row>
    <row r="24" spans="1:7" x14ac:dyDescent="0.25">
      <c r="A24" s="42"/>
      <c r="B24" s="3"/>
      <c r="C24" s="51"/>
      <c r="D24" s="29"/>
      <c r="E24" s="124"/>
      <c r="F24" s="3"/>
      <c r="G24" s="2"/>
    </row>
    <row r="25" spans="1:7" x14ac:dyDescent="0.25">
      <c r="A25" s="42"/>
      <c r="B25" s="3"/>
      <c r="C25" s="51"/>
      <c r="D25" s="29"/>
      <c r="E25" s="124"/>
      <c r="F25" s="3"/>
      <c r="G25" s="2"/>
    </row>
    <row r="26" spans="1:7" x14ac:dyDescent="0.25">
      <c r="A26" s="42"/>
      <c r="B26" s="3"/>
      <c r="C26" s="51"/>
      <c r="D26" s="29"/>
      <c r="E26" s="124"/>
      <c r="F26" s="3"/>
      <c r="G26" s="2"/>
    </row>
    <row r="27" spans="1:7" x14ac:dyDescent="0.25">
      <c r="A27" s="2"/>
      <c r="B27" s="62"/>
      <c r="C27" s="51"/>
      <c r="D27" s="29"/>
      <c r="E27" s="124"/>
      <c r="F27" s="3"/>
      <c r="G27" s="2"/>
    </row>
    <row r="28" spans="1:7" x14ac:dyDescent="0.25">
      <c r="A28" s="2"/>
      <c r="B28" s="62"/>
      <c r="C28" s="51"/>
      <c r="D28" s="29"/>
      <c r="E28" s="124"/>
      <c r="F28" s="3"/>
      <c r="G28" s="2"/>
    </row>
    <row r="29" spans="1:7" x14ac:dyDescent="0.25">
      <c r="A29" s="2"/>
      <c r="B29" s="62"/>
      <c r="C29" s="51"/>
      <c r="D29" s="29"/>
      <c r="E29" s="124"/>
      <c r="F29" s="3"/>
      <c r="G29" s="2"/>
    </row>
    <row r="30" spans="1:7" x14ac:dyDescent="0.25">
      <c r="A30" s="42"/>
      <c r="C30" s="28"/>
      <c r="D30" s="29"/>
      <c r="E30" s="30"/>
      <c r="F30" s="3"/>
      <c r="G30" s="2"/>
    </row>
    <row r="31" spans="1:7" x14ac:dyDescent="0.25">
      <c r="A31" s="42"/>
      <c r="C31" s="28"/>
      <c r="D31" s="29"/>
      <c r="E31" s="30"/>
      <c r="F31" s="3"/>
      <c r="G31" s="2"/>
    </row>
    <row r="32" spans="1:7" x14ac:dyDescent="0.25">
      <c r="A32" s="42"/>
      <c r="C32" s="28"/>
      <c r="D32" s="29"/>
      <c r="E32" s="30"/>
      <c r="F32" s="3"/>
      <c r="G32" s="2"/>
    </row>
  </sheetData>
  <sortState ref="A8:G26">
    <sortCondition descending="1" ref="D8:D26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workbookViewId="0">
      <selection activeCell="D9" sqref="D9:D32"/>
    </sheetView>
  </sheetViews>
  <sheetFormatPr defaultRowHeight="13.2" x14ac:dyDescent="0.25"/>
  <cols>
    <col min="2" max="2" width="24.6640625" customWidth="1"/>
    <col min="3" max="4" width="9.6640625" customWidth="1"/>
    <col min="5" max="5" width="9.6640625" style="42" customWidth="1"/>
    <col min="6" max="7" width="9.6640625" customWidth="1"/>
  </cols>
  <sheetData>
    <row r="1" spans="1:9" x14ac:dyDescent="0.25">
      <c r="A1" s="16" t="s">
        <v>22</v>
      </c>
      <c r="B1" s="17" t="s">
        <v>1061</v>
      </c>
      <c r="C1" s="18"/>
      <c r="D1" s="18"/>
      <c r="E1" s="133"/>
      <c r="F1" s="18"/>
      <c r="G1" s="19"/>
    </row>
    <row r="2" spans="1:9" x14ac:dyDescent="0.25">
      <c r="A2" s="20" t="s">
        <v>23</v>
      </c>
      <c r="B2" s="21">
        <v>43113</v>
      </c>
      <c r="C2" s="22"/>
      <c r="D2" s="22"/>
      <c r="E2" s="56"/>
      <c r="F2" s="22"/>
      <c r="G2" s="23"/>
    </row>
    <row r="3" spans="1:9" x14ac:dyDescent="0.25">
      <c r="A3" s="20" t="s">
        <v>24</v>
      </c>
      <c r="B3" s="24" t="s">
        <v>42</v>
      </c>
      <c r="C3" s="22"/>
      <c r="D3" s="22"/>
      <c r="E3" s="56"/>
      <c r="F3" s="22"/>
      <c r="G3" s="23"/>
    </row>
    <row r="4" spans="1:9" x14ac:dyDescent="0.25">
      <c r="A4" s="20" t="s">
        <v>1</v>
      </c>
      <c r="B4" s="24" t="s">
        <v>26</v>
      </c>
      <c r="C4" s="22"/>
      <c r="D4" s="22"/>
      <c r="E4" s="56"/>
      <c r="F4" s="22"/>
      <c r="G4" s="23"/>
    </row>
    <row r="5" spans="1:9" x14ac:dyDescent="0.25">
      <c r="A5" s="20" t="s">
        <v>27</v>
      </c>
      <c r="B5" s="24" t="s">
        <v>1062</v>
      </c>
      <c r="C5" s="22"/>
      <c r="D5" s="22"/>
      <c r="E5" s="56" t="s">
        <v>55</v>
      </c>
      <c r="F5" s="38">
        <f>AVERAGE(C8:C12)*(AVERAGE(D8:D12)/100)</f>
        <v>1.8980661491564691E-2</v>
      </c>
      <c r="G5" s="23"/>
    </row>
    <row r="6" spans="1:9" x14ac:dyDescent="0.25">
      <c r="A6" s="25" t="s">
        <v>29</v>
      </c>
      <c r="B6" s="26"/>
      <c r="C6" s="26"/>
      <c r="D6" s="26"/>
      <c r="E6" s="134"/>
      <c r="F6" s="26"/>
      <c r="G6" s="27"/>
    </row>
    <row r="7" spans="1:9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9" x14ac:dyDescent="0.25">
      <c r="A8" s="2">
        <v>1</v>
      </c>
      <c r="B8" s="62" t="s">
        <v>165</v>
      </c>
      <c r="C8" s="51">
        <v>2.6736111111111113E-2</v>
      </c>
      <c r="D8" s="29">
        <f>INDEX('Points Summary'!$E$4:$E$1143,G8)</f>
        <v>75.432601758267779</v>
      </c>
      <c r="E8" s="124">
        <f t="shared" ref="E8:E32" si="0">(AVERAGE($D$8:$D$12)/100*AVERAGE($C$8:$C$12))/C8</f>
        <v>0.70992604020397798</v>
      </c>
      <c r="F8" s="3"/>
      <c r="G8" s="2">
        <f>MATCH(B8,'Points Summary'!$B$4:$B$1144,0)</f>
        <v>367</v>
      </c>
      <c r="H8" s="117"/>
      <c r="I8" s="117"/>
    </row>
    <row r="9" spans="1:9" x14ac:dyDescent="0.25">
      <c r="A9" s="2">
        <v>5</v>
      </c>
      <c r="B9" s="62" t="s">
        <v>71</v>
      </c>
      <c r="C9" s="51">
        <v>2.8692129629629633E-2</v>
      </c>
      <c r="D9" s="29">
        <f>INDEX('Points Summary'!$E$4:$E$1143,G9)</f>
        <v>69.344626471468658</v>
      </c>
      <c r="E9" s="124">
        <f t="shared" si="0"/>
        <v>0.66152850055312185</v>
      </c>
      <c r="F9" s="3"/>
      <c r="G9" s="2">
        <f>MATCH(B9,'Points Summary'!$B$4:$B$1144,0)</f>
        <v>431</v>
      </c>
      <c r="H9" s="117"/>
      <c r="I9" s="117"/>
    </row>
    <row r="10" spans="1:9" x14ac:dyDescent="0.25">
      <c r="A10" s="2">
        <v>1</v>
      </c>
      <c r="B10" s="62" t="s">
        <v>164</v>
      </c>
      <c r="C10" s="51">
        <v>2.3287037037037037E-2</v>
      </c>
      <c r="D10" s="29">
        <f>INDEX('Points Summary'!$E$4:$E$1143,G10)</f>
        <v>67.672507412190882</v>
      </c>
      <c r="E10" s="124">
        <f t="shared" si="0"/>
        <v>0.8150741316457204</v>
      </c>
      <c r="F10" s="3"/>
      <c r="G10" s="2">
        <f>MATCH(B10,'Points Summary'!$B$4:$B$1144,0)</f>
        <v>314</v>
      </c>
      <c r="H10" s="117"/>
      <c r="I10" s="117"/>
    </row>
    <row r="11" spans="1:9" x14ac:dyDescent="0.25">
      <c r="A11" s="2">
        <v>3</v>
      </c>
      <c r="B11" s="62" t="s">
        <v>715</v>
      </c>
      <c r="C11" s="51">
        <v>2.8275462962962964E-2</v>
      </c>
      <c r="D11" s="29">
        <f>INDEX('Points Summary'!$E$4:$E$1143,G11)</f>
        <v>67.376687844768071</v>
      </c>
      <c r="E11" s="124">
        <f t="shared" si="0"/>
        <v>0.6712767715395781</v>
      </c>
      <c r="F11" s="3"/>
      <c r="G11" s="2">
        <f>MATCH(B11,'Points Summary'!$B$4:$B$1144,0)</f>
        <v>236</v>
      </c>
      <c r="H11" s="117"/>
      <c r="I11" s="117"/>
    </row>
    <row r="12" spans="1:9" x14ac:dyDescent="0.25">
      <c r="A12" s="2">
        <v>8</v>
      </c>
      <c r="B12" s="62" t="s">
        <v>760</v>
      </c>
      <c r="C12" s="51">
        <v>2.9710648148148149E-2</v>
      </c>
      <c r="D12" s="29">
        <f>INDEX('Points Summary'!$E$4:$E$1143,G12)</f>
        <v>67.2926081091029</v>
      </c>
      <c r="E12" s="124">
        <f t="shared" si="0"/>
        <v>0.63885046859025685</v>
      </c>
      <c r="F12" s="3"/>
      <c r="G12" s="2">
        <f>MATCH(B12,'Points Summary'!$B$4:$B$1144,0)</f>
        <v>337</v>
      </c>
      <c r="H12" s="117"/>
      <c r="I12" s="117"/>
    </row>
    <row r="13" spans="1:9" x14ac:dyDescent="0.25">
      <c r="A13" s="2">
        <v>6</v>
      </c>
      <c r="B13" s="62" t="s">
        <v>768</v>
      </c>
      <c r="C13" s="51">
        <v>2.8912037037037038E-2</v>
      </c>
      <c r="D13" s="29">
        <f>INDEX('Points Summary'!$E$4:$E$1143,G13)</f>
        <v>66.87248684387076</v>
      </c>
      <c r="E13" s="124">
        <f t="shared" si="0"/>
        <v>0.65649685863538398</v>
      </c>
      <c r="F13" s="3"/>
      <c r="G13" s="2">
        <f>MATCH(B13,'Points Summary'!$B$4:$B$1144,0)</f>
        <v>202</v>
      </c>
      <c r="H13" s="117"/>
      <c r="I13" s="117"/>
    </row>
    <row r="14" spans="1:9" x14ac:dyDescent="0.25">
      <c r="A14" s="2">
        <v>2</v>
      </c>
      <c r="B14" s="62" t="s">
        <v>106</v>
      </c>
      <c r="C14" s="51">
        <v>2.8055555555555556E-2</v>
      </c>
      <c r="D14" s="29">
        <f>INDEX('Points Summary'!$E$4:$E$1143,G14)</f>
        <v>66.743668731500662</v>
      </c>
      <c r="E14" s="124">
        <f t="shared" si="0"/>
        <v>0.6765384294023058</v>
      </c>
      <c r="F14" s="3"/>
      <c r="G14" s="2">
        <f>MATCH(B14,'Points Summary'!$B$4:$B$1144,0)</f>
        <v>45</v>
      </c>
      <c r="H14" s="117"/>
      <c r="I14" s="117"/>
    </row>
    <row r="15" spans="1:9" x14ac:dyDescent="0.25">
      <c r="A15" s="2">
        <v>9</v>
      </c>
      <c r="B15" s="62" t="s">
        <v>114</v>
      </c>
      <c r="C15" s="51">
        <v>3.0023148148148149E-2</v>
      </c>
      <c r="D15" s="29">
        <f>INDEX('Points Summary'!$E$4:$E$1143,G15)</f>
        <v>63.748424264420898</v>
      </c>
      <c r="E15" s="124">
        <f t="shared" si="0"/>
        <v>0.63220090704363496</v>
      </c>
      <c r="F15" s="3"/>
      <c r="G15" s="2">
        <f>MATCH(B15,'Points Summary'!$B$4:$B$1144,0)</f>
        <v>186</v>
      </c>
      <c r="H15" s="117"/>
      <c r="I15" s="117"/>
    </row>
    <row r="16" spans="1:9" x14ac:dyDescent="0.25">
      <c r="A16" s="2">
        <v>3</v>
      </c>
      <c r="B16" s="62" t="s">
        <v>498</v>
      </c>
      <c r="C16" s="51">
        <v>2.836805555555556E-2</v>
      </c>
      <c r="D16" s="29">
        <f>INDEX('Points Summary'!$E$4:$E$1143,G16)</f>
        <v>61.922713069928847</v>
      </c>
      <c r="E16" s="124">
        <f t="shared" si="0"/>
        <v>0.66908574168551171</v>
      </c>
      <c r="F16" s="3"/>
      <c r="G16" s="2">
        <f>MATCH(B16,'Points Summary'!$B$4:$B$1144,0)</f>
        <v>127</v>
      </c>
      <c r="H16" s="117"/>
      <c r="I16" s="117"/>
    </row>
    <row r="17" spans="1:9" x14ac:dyDescent="0.25">
      <c r="A17" s="2">
        <v>10</v>
      </c>
      <c r="B17" s="62" t="s">
        <v>664</v>
      </c>
      <c r="C17" s="51">
        <v>3.0451388888888889E-2</v>
      </c>
      <c r="D17" s="29">
        <f>INDEX('Points Summary'!$E$4:$E$1143,G17)</f>
        <v>60.9207907589808</v>
      </c>
      <c r="E17" s="124">
        <f t="shared" si="0"/>
        <v>0.62331020633644596</v>
      </c>
      <c r="F17" s="3"/>
      <c r="G17" s="2">
        <f>MATCH(B17,'Points Summary'!$B$4:$B$1144,0)</f>
        <v>264</v>
      </c>
      <c r="H17" s="117"/>
      <c r="I17" s="117"/>
    </row>
    <row r="18" spans="1:9" x14ac:dyDescent="0.25">
      <c r="A18" s="2">
        <v>2</v>
      </c>
      <c r="B18" s="62" t="s">
        <v>802</v>
      </c>
      <c r="C18" s="51">
        <v>2.5902777777777775E-2</v>
      </c>
      <c r="D18" s="29">
        <f>INDEX('Points Summary'!$E$4:$E$1143,G18)</f>
        <v>58.89129381208145</v>
      </c>
      <c r="E18" s="124">
        <f t="shared" si="0"/>
        <v>0.73276548385665308</v>
      </c>
      <c r="F18" s="3"/>
      <c r="G18" s="2">
        <f>MATCH(B18,'Points Summary'!$B$4:$B$1144,0)</f>
        <v>196</v>
      </c>
    </row>
    <row r="19" spans="1:9" x14ac:dyDescent="0.25">
      <c r="A19" s="2">
        <v>12</v>
      </c>
      <c r="B19" s="62" t="s">
        <v>800</v>
      </c>
      <c r="C19" s="51">
        <v>3.4791666666666672E-2</v>
      </c>
      <c r="D19" s="29">
        <f>INDEX('Points Summary'!$E$4:$E$1143,G19)</f>
        <v>58.263114292057047</v>
      </c>
      <c r="E19" s="124">
        <f t="shared" si="0"/>
        <v>0.54555194706293719</v>
      </c>
      <c r="F19" s="3"/>
      <c r="G19" s="2">
        <f>MATCH(B19,'Points Summary'!$B$4:$B$1144,0)</f>
        <v>436</v>
      </c>
    </row>
    <row r="20" spans="1:9" x14ac:dyDescent="0.25">
      <c r="A20" s="2">
        <v>4</v>
      </c>
      <c r="B20" s="62" t="s">
        <v>709</v>
      </c>
      <c r="C20" s="51">
        <v>2.9675925925925925E-2</v>
      </c>
      <c r="D20" s="29">
        <f>INDEX('Points Summary'!$E$4:$E$1143,G20)</f>
        <v>57.385103389992111</v>
      </c>
      <c r="E20" s="124">
        <f t="shared" si="0"/>
        <v>0.63959795353790538</v>
      </c>
      <c r="F20" s="3"/>
      <c r="G20" s="2">
        <f>MATCH(B20,'Points Summary'!$B$4:$B$1144,0)</f>
        <v>230</v>
      </c>
    </row>
    <row r="21" spans="1:9" x14ac:dyDescent="0.25">
      <c r="A21" s="2">
        <v>1</v>
      </c>
      <c r="B21" s="62" t="s">
        <v>716</v>
      </c>
      <c r="C21" s="51">
        <v>2.7002314814814812E-2</v>
      </c>
      <c r="D21" s="29">
        <f>INDEX('Points Summary'!$E$4:$E$1143,G21)</f>
        <v>55.959542997423206</v>
      </c>
      <c r="E21" s="124">
        <f t="shared" si="0"/>
        <v>0.70292719797307734</v>
      </c>
      <c r="F21" s="3"/>
      <c r="G21" s="2">
        <f>MATCH(B21,'Points Summary'!$B$4:$B$1144,0)</f>
        <v>384</v>
      </c>
    </row>
    <row r="22" spans="1:9" x14ac:dyDescent="0.25">
      <c r="A22" s="2">
        <v>15</v>
      </c>
      <c r="B22" s="62" t="s">
        <v>797</v>
      </c>
      <c r="C22" s="51">
        <v>3.770833333333333E-2</v>
      </c>
      <c r="D22" s="29">
        <f>INDEX('Points Summary'!$E$4:$E$1143,G22)</f>
        <v>51.877823989586943</v>
      </c>
      <c r="E22" s="124">
        <f t="shared" si="0"/>
        <v>0.50335455889232339</v>
      </c>
      <c r="F22" s="3"/>
      <c r="G22" s="2">
        <f>MATCH(B22,'Points Summary'!$B$4:$B$1144,0)</f>
        <v>181</v>
      </c>
    </row>
    <row r="23" spans="1:9" x14ac:dyDescent="0.25">
      <c r="A23" s="2">
        <v>14</v>
      </c>
      <c r="B23" s="62" t="s">
        <v>280</v>
      </c>
      <c r="C23" s="51">
        <v>3.7488425925925925E-2</v>
      </c>
      <c r="D23" s="29">
        <f>INDEX('Points Summary'!$E$4:$E$1143,G23)</f>
        <v>51.87683747526976</v>
      </c>
      <c r="E23" s="124">
        <f t="shared" si="0"/>
        <v>0.50630724077529776</v>
      </c>
      <c r="F23" s="3"/>
      <c r="G23" s="2">
        <f>MATCH(B23,'Points Summary'!$B$4:$B$1144,0)</f>
        <v>390</v>
      </c>
    </row>
    <row r="24" spans="1:9" x14ac:dyDescent="0.25">
      <c r="A24" s="2">
        <v>18</v>
      </c>
      <c r="B24" s="62" t="s">
        <v>281</v>
      </c>
      <c r="C24" s="51">
        <f>TIME(1,2,0)</f>
        <v>4.3055555555555562E-2</v>
      </c>
      <c r="D24" s="29">
        <f>INDEX('Points Summary'!$E$4:$E$1143,G24)</f>
        <v>45.781614416307285</v>
      </c>
      <c r="E24" s="124">
        <f t="shared" si="0"/>
        <v>0.44084117012666374</v>
      </c>
      <c r="F24" s="3"/>
      <c r="G24" s="2">
        <f>MATCH(B24,'Points Summary'!$B$4:$B$1144,0)</f>
        <v>443</v>
      </c>
    </row>
    <row r="25" spans="1:9" x14ac:dyDescent="0.25">
      <c r="A25" s="2">
        <v>16</v>
      </c>
      <c r="B25" s="62" t="s">
        <v>771</v>
      </c>
      <c r="C25" s="51">
        <v>3.9641203703703706E-2</v>
      </c>
      <c r="D25" s="29">
        <f>INDEX('Points Summary'!$E$4:$E$1143,G25)</f>
        <v>40.260450989066918</v>
      </c>
      <c r="E25" s="124">
        <f t="shared" si="0"/>
        <v>0.47881143149523775</v>
      </c>
      <c r="F25" s="3"/>
      <c r="G25" s="2">
        <f>MATCH(B25,'Points Summary'!$B$4:$B$1144,0)</f>
        <v>344</v>
      </c>
    </row>
    <row r="26" spans="1:9" x14ac:dyDescent="0.25">
      <c r="A26" s="2">
        <v>17</v>
      </c>
      <c r="B26" s="62" t="s">
        <v>903</v>
      </c>
      <c r="C26" s="51">
        <f>TIME(1,1,23)</f>
        <v>4.2627314814814819E-2</v>
      </c>
      <c r="D26" s="29">
        <f>INDEX('Points Summary'!$E$4:$E$1143,G26)</f>
        <v>37.334250691874701</v>
      </c>
      <c r="E26" s="124">
        <f t="shared" si="0"/>
        <v>0.44526993018495498</v>
      </c>
      <c r="F26" s="3"/>
      <c r="G26" s="2">
        <f>MATCH(B26,'Points Summary'!$B$4:$B$1144,0)</f>
        <v>61</v>
      </c>
    </row>
    <row r="27" spans="1:9" x14ac:dyDescent="0.25">
      <c r="A27" s="2">
        <v>19</v>
      </c>
      <c r="B27" s="62" t="s">
        <v>904</v>
      </c>
      <c r="C27" s="51">
        <f>TIME(1,20,30)</f>
        <v>5.590277777777778E-2</v>
      </c>
      <c r="D27" s="29">
        <f>INDEX('Points Summary'!$E$4:$E$1143,G27)</f>
        <v>25.061784301215965</v>
      </c>
      <c r="E27" s="124">
        <f t="shared" si="0"/>
        <v>0.33952984531494601</v>
      </c>
      <c r="F27" s="3"/>
      <c r="G27" s="2">
        <f>MATCH(B27,'Points Summary'!$B$4:$B$1144,0)</f>
        <v>364</v>
      </c>
    </row>
    <row r="28" spans="1:9" x14ac:dyDescent="0.25">
      <c r="A28" s="2">
        <v>4</v>
      </c>
      <c r="B28" s="62" t="s">
        <v>1063</v>
      </c>
      <c r="C28" s="51">
        <v>2.8449074074074075E-2</v>
      </c>
      <c r="D28" s="29">
        <f>INDEX('Points Summary'!$E$4:$E$1143,G28)</f>
        <v>0</v>
      </c>
      <c r="E28" s="124">
        <f t="shared" si="0"/>
        <v>0.66718029002082557</v>
      </c>
      <c r="F28" s="3"/>
      <c r="G28" s="2">
        <f>MATCH(B28,'Points Summary'!$B$4:$B$1144,0)</f>
        <v>335</v>
      </c>
    </row>
    <row r="29" spans="1:9" x14ac:dyDescent="0.25">
      <c r="A29" s="2">
        <v>7</v>
      </c>
      <c r="B29" s="62" t="s">
        <v>1064</v>
      </c>
      <c r="C29" s="51">
        <v>2.9328703703703704E-2</v>
      </c>
      <c r="D29" s="29">
        <f>INDEX('Points Summary'!$E$4:$E$1143,G29)</f>
        <v>0</v>
      </c>
      <c r="E29" s="124">
        <f t="shared" si="0"/>
        <v>0.64717014714727283</v>
      </c>
      <c r="F29" s="3"/>
      <c r="G29" s="2">
        <f>MATCH(B29,'Points Summary'!$B$4:$B$1144,0)</f>
        <v>232</v>
      </c>
    </row>
    <row r="30" spans="1:9" x14ac:dyDescent="0.25">
      <c r="A30" s="2">
        <v>11</v>
      </c>
      <c r="B30" s="62" t="s">
        <v>1065</v>
      </c>
      <c r="C30" s="51">
        <v>3.1689814814814816E-2</v>
      </c>
      <c r="D30" s="29">
        <f>INDEX('Points Summary'!$E$4:$E$1143,G30)</f>
        <v>0</v>
      </c>
      <c r="E30" s="124">
        <f t="shared" si="0"/>
        <v>0.59895148023052935</v>
      </c>
      <c r="F30" s="3"/>
      <c r="G30" s="2">
        <f>MATCH(B30,'Points Summary'!$B$4:$B$1144,0)</f>
        <v>115</v>
      </c>
    </row>
    <row r="31" spans="1:9" x14ac:dyDescent="0.25">
      <c r="A31" s="2">
        <v>13</v>
      </c>
      <c r="B31" s="62" t="s">
        <v>1066</v>
      </c>
      <c r="C31" s="51">
        <v>3.5300925925925923E-2</v>
      </c>
      <c r="D31" s="29">
        <f>INDEX('Points Summary'!$E$4:$E$1143,G31)</f>
        <v>0</v>
      </c>
      <c r="E31" s="124">
        <f t="shared" si="0"/>
        <v>0.53768168946596373</v>
      </c>
      <c r="F31" s="3"/>
      <c r="G31" s="2">
        <f>MATCH(B31,'Points Summary'!$B$4:$B$1144,0)</f>
        <v>9</v>
      </c>
    </row>
    <row r="32" spans="1:9" x14ac:dyDescent="0.25">
      <c r="A32" s="2">
        <v>2</v>
      </c>
      <c r="B32" s="62" t="s">
        <v>1067</v>
      </c>
      <c r="C32" s="51">
        <v>3.8784722222222227E-2</v>
      </c>
      <c r="D32" s="29">
        <f>INDEX('Points Summary'!$E$4:$E$1143,G32)</f>
        <v>0</v>
      </c>
      <c r="E32" s="124">
        <f t="shared" si="0"/>
        <v>0.48938500533309132</v>
      </c>
      <c r="F32" s="3"/>
      <c r="G32" s="2">
        <f>MATCH(B32,'Points Summary'!$B$4:$B$1144,0)</f>
        <v>419</v>
      </c>
    </row>
    <row r="33" spans="1:7" x14ac:dyDescent="0.25">
      <c r="A33" s="2"/>
      <c r="B33" s="62"/>
      <c r="C33" s="28"/>
      <c r="D33" s="29"/>
      <c r="E33" s="30"/>
      <c r="F33" s="3"/>
      <c r="G33" s="2"/>
    </row>
    <row r="34" spans="1:7" x14ac:dyDescent="0.25">
      <c r="A34" s="2"/>
      <c r="B34" s="62"/>
      <c r="C34" s="28"/>
      <c r="D34" s="29"/>
      <c r="E34" s="30"/>
      <c r="F34" s="3"/>
      <c r="G34" s="2"/>
    </row>
    <row r="35" spans="1:7" x14ac:dyDescent="0.25">
      <c r="A35" s="2"/>
      <c r="B35" s="62"/>
      <c r="C35" s="28"/>
      <c r="D35" s="29"/>
      <c r="E35" s="30"/>
      <c r="F35" s="3"/>
      <c r="G35" s="2"/>
    </row>
    <row r="36" spans="1:7" x14ac:dyDescent="0.25">
      <c r="A36" s="2"/>
      <c r="B36" s="62"/>
      <c r="C36" s="28"/>
      <c r="D36" s="29"/>
      <c r="E36" s="30"/>
      <c r="F36" s="3"/>
      <c r="G36" s="2"/>
    </row>
    <row r="37" spans="1:7" x14ac:dyDescent="0.25">
      <c r="A37" s="2"/>
      <c r="B37" s="62"/>
      <c r="C37" s="28"/>
      <c r="D37" s="29"/>
      <c r="E37" s="30"/>
      <c r="F37" s="3"/>
      <c r="G37" s="2"/>
    </row>
    <row r="38" spans="1:7" x14ac:dyDescent="0.25">
      <c r="A38" s="2"/>
      <c r="B38" s="62"/>
      <c r="C38" s="28"/>
      <c r="D38" s="29"/>
      <c r="E38" s="30"/>
      <c r="F38" s="3"/>
      <c r="G38" s="2"/>
    </row>
    <row r="39" spans="1:7" x14ac:dyDescent="0.25">
      <c r="A39" s="2"/>
      <c r="B39" s="62"/>
      <c r="C39" s="28"/>
      <c r="D39" s="29"/>
      <c r="E39" s="30"/>
      <c r="F39" s="3"/>
      <c r="G39" s="2"/>
    </row>
  </sheetData>
  <sortState ref="A8:G32">
    <sortCondition descending="1" ref="D8:D32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workbookViewId="0">
      <selection activeCell="B1" sqref="B1:B10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9" x14ac:dyDescent="0.25">
      <c r="A1" s="16" t="s">
        <v>22</v>
      </c>
      <c r="B1" s="17" t="s">
        <v>1068</v>
      </c>
      <c r="C1" s="18"/>
      <c r="D1" s="18"/>
      <c r="E1" s="18"/>
      <c r="F1" s="18"/>
      <c r="G1" s="19"/>
    </row>
    <row r="2" spans="1:9" x14ac:dyDescent="0.25">
      <c r="A2" s="20" t="s">
        <v>23</v>
      </c>
      <c r="B2" s="21">
        <v>43119</v>
      </c>
      <c r="C2" s="22"/>
      <c r="D2" s="22"/>
      <c r="E2" s="22"/>
      <c r="F2" s="22"/>
      <c r="G2" s="23"/>
    </row>
    <row r="3" spans="1:9" x14ac:dyDescent="0.25">
      <c r="A3" s="20" t="s">
        <v>24</v>
      </c>
      <c r="B3" s="24" t="s">
        <v>42</v>
      </c>
      <c r="C3" s="22" t="s">
        <v>29</v>
      </c>
      <c r="D3" s="22"/>
      <c r="E3" s="22"/>
      <c r="F3" s="22"/>
      <c r="G3" s="23"/>
    </row>
    <row r="4" spans="1:9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9" x14ac:dyDescent="0.25">
      <c r="A5" s="20" t="s">
        <v>27</v>
      </c>
      <c r="B5" s="24" t="s">
        <v>1069</v>
      </c>
      <c r="C5" s="22"/>
      <c r="D5" s="22"/>
      <c r="E5" s="22" t="s">
        <v>55</v>
      </c>
      <c r="F5" s="38">
        <f>AVERAGE(C8:C12)*(AVERAGE(D8:D12)/100)</f>
        <v>1.7471198610586675E-2</v>
      </c>
      <c r="G5" s="23"/>
    </row>
    <row r="6" spans="1:9" x14ac:dyDescent="0.25">
      <c r="A6" s="25" t="s">
        <v>29</v>
      </c>
      <c r="B6" s="26"/>
      <c r="C6" s="26"/>
      <c r="D6" s="26"/>
      <c r="E6" s="26"/>
      <c r="F6" s="26"/>
      <c r="G6" s="27"/>
    </row>
    <row r="7" spans="1:9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9" x14ac:dyDescent="0.25">
      <c r="A8" s="2">
        <v>41</v>
      </c>
      <c r="B8" s="62" t="s">
        <v>84</v>
      </c>
      <c r="C8" s="28">
        <v>1.783912037037037E-2</v>
      </c>
      <c r="D8" s="29">
        <f>INDEX('Points Summary'!$E$4:$E$1143,G8)</f>
        <v>99.386238853803533</v>
      </c>
      <c r="E8" s="124">
        <f>(AVERAGE($D$8:$D$12)/100*AVERAGE($C$8:$C$12))/C8</f>
        <v>0.97937556605118326</v>
      </c>
      <c r="F8" s="3"/>
      <c r="G8" s="2">
        <f>MATCH(B8,'Points Summary'!$B$4:$B$1144,0)</f>
        <v>13</v>
      </c>
    </row>
    <row r="9" spans="1:9" x14ac:dyDescent="0.25">
      <c r="A9" s="2">
        <v>75</v>
      </c>
      <c r="B9" s="3" t="s">
        <v>189</v>
      </c>
      <c r="C9" s="28">
        <v>1.8462962962962962E-2</v>
      </c>
      <c r="D9" s="29">
        <f>INDEX('Points Summary'!$E$4:$E$1143,G9)</f>
        <v>98.261207131612366</v>
      </c>
      <c r="E9" s="124">
        <f>(AVERAGE($D$8:$D$12)/100*AVERAGE($C$8:$C$12))/C9</f>
        <v>0.94628357569877686</v>
      </c>
      <c r="F9" s="3"/>
      <c r="G9" s="2">
        <f>MATCH(B9,'Points Summary'!$B$4:$B$1144,0)</f>
        <v>120</v>
      </c>
    </row>
    <row r="10" spans="1:9" x14ac:dyDescent="0.25">
      <c r="A10" s="2">
        <v>43</v>
      </c>
      <c r="B10" s="3" t="s">
        <v>7</v>
      </c>
      <c r="C10" s="28">
        <v>1.7843750000000002E-2</v>
      </c>
      <c r="D10" s="29">
        <f>INDEX('Points Summary'!$E$4:$E$1143,G10)</f>
        <v>97.656939962494079</v>
      </c>
      <c r="E10" s="124">
        <f>(AVERAGE($D$8:$D$12)/100*AVERAGE($C$8:$C$12))/C10</f>
        <v>0.97912146329032146</v>
      </c>
      <c r="F10" s="3"/>
      <c r="G10" s="2">
        <f>MATCH(B10,'Points Summary'!$B$4:$B$1144,0)</f>
        <v>63</v>
      </c>
    </row>
    <row r="11" spans="1:9" x14ac:dyDescent="0.25">
      <c r="A11" s="2">
        <v>50</v>
      </c>
      <c r="B11" s="114" t="s">
        <v>70</v>
      </c>
      <c r="C11" s="28">
        <v>1.7967592592592594E-2</v>
      </c>
      <c r="D11" s="29">
        <f>INDEX('Points Summary'!$E$4:$E$1143,G11)</f>
        <v>94.287557018467481</v>
      </c>
      <c r="E11" s="124">
        <f>(AVERAGE($D$8:$D$12)/100*AVERAGE($C$8:$C$12))/C11</f>
        <v>0.97237281625527483</v>
      </c>
      <c r="F11" s="3"/>
      <c r="G11" s="2">
        <f>MATCH(B11,'Points Summary'!$B$4:$B$1144,0)</f>
        <v>309</v>
      </c>
    </row>
    <row r="12" spans="1:9" x14ac:dyDescent="0.25">
      <c r="A12" s="2">
        <v>63</v>
      </c>
      <c r="B12" s="62" t="s">
        <v>50</v>
      </c>
      <c r="C12" s="28">
        <v>1.8225694444444444E-2</v>
      </c>
      <c r="D12" s="29">
        <f>INDEX('Points Summary'!$E$4:$E$1143,G12)</f>
        <v>93.897339942251477</v>
      </c>
      <c r="E12" s="124">
        <f>(AVERAGE($D$8:$D$12)/100*AVERAGE($C$8:$C$12))/C12</f>
        <v>0.95860262904342974</v>
      </c>
      <c r="F12" s="3"/>
      <c r="G12" s="2">
        <f>MATCH(B12,'Points Summary'!$B$4:$B$1144,0)</f>
        <v>104</v>
      </c>
      <c r="H12" s="117"/>
      <c r="I12" s="117"/>
    </row>
    <row r="13" spans="1:9" x14ac:dyDescent="0.25">
      <c r="A13" s="2"/>
      <c r="B13" s="62"/>
      <c r="C13" s="28"/>
      <c r="D13" s="29"/>
      <c r="E13" s="124"/>
      <c r="F13" s="3"/>
      <c r="G13" s="2"/>
      <c r="H13" s="117"/>
      <c r="I13" s="117"/>
    </row>
    <row r="14" spans="1:9" x14ac:dyDescent="0.25">
      <c r="A14" s="2"/>
      <c r="B14" s="62"/>
      <c r="C14" s="28"/>
      <c r="D14" s="29"/>
      <c r="E14" s="124"/>
      <c r="F14" s="3"/>
      <c r="G14" s="2"/>
      <c r="H14" s="117"/>
      <c r="I14" s="117"/>
    </row>
    <row r="15" spans="1:9" x14ac:dyDescent="0.25">
      <c r="A15" s="2"/>
      <c r="B15" s="62"/>
      <c r="C15" s="28"/>
      <c r="D15" s="29"/>
      <c r="E15" s="124"/>
      <c r="F15" s="3"/>
      <c r="G15" s="2"/>
      <c r="H15" s="117"/>
      <c r="I15" s="117"/>
    </row>
    <row r="16" spans="1:9" x14ac:dyDescent="0.25">
      <c r="A16" s="2"/>
      <c r="B16" s="62"/>
      <c r="C16" s="28"/>
      <c r="D16" s="29"/>
      <c r="E16" s="124"/>
      <c r="F16" s="3"/>
      <c r="G16" s="2"/>
      <c r="H16" s="117"/>
      <c r="I16" s="117"/>
    </row>
    <row r="17" spans="1:9" x14ac:dyDescent="0.25">
      <c r="A17" s="2"/>
      <c r="B17" s="62"/>
      <c r="C17" s="28"/>
      <c r="D17" s="29"/>
      <c r="E17" s="124"/>
      <c r="F17" s="3"/>
      <c r="G17" s="2"/>
      <c r="H17" s="117"/>
      <c r="I17" s="117"/>
    </row>
    <row r="18" spans="1:9" x14ac:dyDescent="0.25">
      <c r="A18" s="2"/>
      <c r="B18" s="3"/>
      <c r="C18" s="28"/>
      <c r="D18" s="29"/>
      <c r="E18" s="124"/>
      <c r="F18" s="3"/>
      <c r="G18" s="2"/>
      <c r="H18" s="117"/>
      <c r="I18" s="117"/>
    </row>
    <row r="19" spans="1:9" x14ac:dyDescent="0.25">
      <c r="A19" s="2"/>
      <c r="B19" s="62"/>
      <c r="C19" s="28"/>
      <c r="D19" s="29"/>
      <c r="E19" s="124"/>
      <c r="F19" s="3"/>
      <c r="G19" s="2"/>
      <c r="H19" s="117"/>
      <c r="I19" s="117"/>
    </row>
    <row r="20" spans="1:9" x14ac:dyDescent="0.25">
      <c r="A20" s="2"/>
      <c r="B20" s="73"/>
      <c r="C20" s="28"/>
      <c r="D20" s="29"/>
      <c r="E20" s="124"/>
      <c r="F20" s="3"/>
      <c r="G20" s="2"/>
      <c r="H20" s="117"/>
      <c r="I20" s="117"/>
    </row>
    <row r="21" spans="1:9" x14ac:dyDescent="0.25">
      <c r="A21" s="2"/>
      <c r="B21" s="3"/>
      <c r="C21" s="28"/>
      <c r="D21" s="29"/>
      <c r="E21" s="124"/>
      <c r="F21" s="3"/>
      <c r="G21" s="2"/>
      <c r="H21" s="117"/>
      <c r="I21" s="117"/>
    </row>
    <row r="22" spans="1:9" x14ac:dyDescent="0.25">
      <c r="A22" s="2"/>
      <c r="B22" s="3"/>
      <c r="C22" s="28"/>
      <c r="D22" s="29"/>
      <c r="E22" s="124"/>
      <c r="F22" s="3"/>
      <c r="G22" s="2"/>
      <c r="H22" s="117"/>
      <c r="I22" s="117"/>
    </row>
    <row r="23" spans="1:9" x14ac:dyDescent="0.25">
      <c r="A23" s="2"/>
      <c r="B23" s="3"/>
      <c r="C23" s="28"/>
      <c r="D23" s="29"/>
      <c r="E23" s="124"/>
      <c r="F23" s="3"/>
      <c r="G23" s="2"/>
      <c r="H23" s="117"/>
      <c r="I23" s="117"/>
    </row>
    <row r="24" spans="1:9" x14ac:dyDescent="0.25">
      <c r="A24" s="2"/>
      <c r="B24" s="3"/>
      <c r="C24" s="28"/>
      <c r="D24" s="29"/>
      <c r="E24" s="124"/>
      <c r="F24" s="3"/>
      <c r="G24" s="2"/>
      <c r="H24" s="117"/>
      <c r="I24" s="117"/>
    </row>
    <row r="25" spans="1:9" x14ac:dyDescent="0.25">
      <c r="A25" s="2"/>
      <c r="B25" s="3"/>
      <c r="C25" s="28"/>
      <c r="D25" s="29"/>
      <c r="E25" s="124"/>
      <c r="F25" s="3"/>
      <c r="G25" s="2"/>
      <c r="H25" s="117"/>
      <c r="I25" s="117"/>
    </row>
    <row r="26" spans="1:9" x14ac:dyDescent="0.25">
      <c r="A26" s="2"/>
      <c r="B26" s="3"/>
      <c r="C26" s="28"/>
      <c r="D26" s="29"/>
      <c r="E26" s="124"/>
      <c r="F26" s="3"/>
      <c r="G26" s="2"/>
    </row>
    <row r="27" spans="1:9" x14ac:dyDescent="0.25">
      <c r="A27" s="2"/>
      <c r="B27" s="62"/>
      <c r="C27" s="28"/>
      <c r="D27" s="29"/>
      <c r="E27" s="124"/>
      <c r="F27" s="3"/>
      <c r="G27" s="2"/>
    </row>
    <row r="28" spans="1:9" x14ac:dyDescent="0.25">
      <c r="A28" s="2"/>
      <c r="B28" s="62"/>
      <c r="C28" s="28"/>
      <c r="D28" s="29"/>
      <c r="E28" s="124"/>
      <c r="F28" s="3"/>
      <c r="G28" s="2"/>
    </row>
    <row r="29" spans="1:9" x14ac:dyDescent="0.25">
      <c r="A29" s="2"/>
      <c r="B29" s="62"/>
      <c r="C29" s="28"/>
      <c r="D29" s="29"/>
      <c r="E29" s="124"/>
      <c r="F29" s="3"/>
      <c r="G29" s="2"/>
    </row>
    <row r="30" spans="1:9" x14ac:dyDescent="0.25">
      <c r="A30" s="2"/>
      <c r="B30" s="62"/>
      <c r="C30" s="28"/>
      <c r="D30" s="29"/>
      <c r="E30" s="124"/>
      <c r="F30" s="3"/>
      <c r="G30" s="2"/>
    </row>
    <row r="31" spans="1:9" x14ac:dyDescent="0.25">
      <c r="A31" s="2"/>
      <c r="B31" s="62"/>
      <c r="C31" s="28"/>
      <c r="D31" s="29"/>
      <c r="E31" s="124"/>
      <c r="F31" s="3"/>
      <c r="G31" s="2"/>
    </row>
    <row r="32" spans="1:9" x14ac:dyDescent="0.25">
      <c r="A32" s="2"/>
      <c r="B32" s="62"/>
      <c r="C32" s="28"/>
      <c r="D32" s="29"/>
      <c r="E32" s="124"/>
      <c r="F32" s="3"/>
      <c r="G32" s="2"/>
    </row>
    <row r="33" spans="1:7" x14ac:dyDescent="0.25">
      <c r="A33" s="2"/>
      <c r="B33" s="62"/>
      <c r="C33" s="28"/>
      <c r="D33" s="29"/>
      <c r="E33" s="124"/>
      <c r="F33" s="3"/>
      <c r="G33" s="2"/>
    </row>
    <row r="34" spans="1:7" x14ac:dyDescent="0.25">
      <c r="A34" s="2"/>
      <c r="B34" s="62"/>
      <c r="C34" s="28"/>
      <c r="D34" s="29"/>
      <c r="E34" s="124"/>
      <c r="F34" s="3"/>
      <c r="G34" s="2"/>
    </row>
    <row r="35" spans="1:7" x14ac:dyDescent="0.25">
      <c r="A35" s="2"/>
      <c r="B35" s="62"/>
      <c r="C35" s="28"/>
      <c r="D35" s="29"/>
      <c r="E35" s="124"/>
      <c r="F35" s="3"/>
      <c r="G35" s="2"/>
    </row>
    <row r="36" spans="1:7" x14ac:dyDescent="0.25">
      <c r="A36" s="2"/>
      <c r="B36" s="62"/>
      <c r="C36" s="28"/>
      <c r="D36" s="29"/>
      <c r="E36" s="124"/>
      <c r="F36" s="3"/>
      <c r="G36" s="2"/>
    </row>
    <row r="37" spans="1:7" x14ac:dyDescent="0.25">
      <c r="A37" s="2"/>
      <c r="B37" s="62"/>
      <c r="C37" s="28"/>
      <c r="D37" s="29"/>
      <c r="E37" s="124"/>
      <c r="F37" s="3"/>
      <c r="G37" s="2"/>
    </row>
    <row r="38" spans="1:7" x14ac:dyDescent="0.25">
      <c r="A38" s="2"/>
      <c r="B38" s="62"/>
      <c r="C38" s="28"/>
      <c r="D38" s="29"/>
      <c r="E38" s="124"/>
      <c r="F38" s="3"/>
      <c r="G38" s="2"/>
    </row>
  </sheetData>
  <sortState ref="A8:G12">
    <sortCondition descending="1" ref="D8:D12"/>
  </sortState>
  <phoneticPr fontId="0" type="noConversion"/>
  <printOptions horizontalCentered="1"/>
  <pageMargins left="0.75" right="0.75" top="1" bottom="1" header="0.5" footer="0.5"/>
  <pageSetup orientation="portrait" horizontalDpi="300" verticalDpi="300" r:id="rId1"/>
  <headerFooter alignWithMargins="0">
    <oddHeader>&amp;L&amp;"Tahoma,Bold"&amp;11U.S. Biathlon Association&amp;R&amp;"Tahoma,Bold"&amp;11 2018 Race Points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workbookViewId="0">
      <selection activeCell="D5" sqref="D5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9" x14ac:dyDescent="0.25">
      <c r="A1" s="16" t="s">
        <v>22</v>
      </c>
      <c r="B1" s="17" t="s">
        <v>1068</v>
      </c>
      <c r="C1" s="133"/>
      <c r="D1" s="18"/>
      <c r="E1" s="18"/>
      <c r="F1" s="18"/>
      <c r="G1" s="19"/>
    </row>
    <row r="2" spans="1:9" x14ac:dyDescent="0.25">
      <c r="A2" s="20" t="s">
        <v>23</v>
      </c>
      <c r="B2" s="21">
        <v>43120</v>
      </c>
      <c r="C2" s="56"/>
      <c r="D2" s="22"/>
      <c r="E2" s="22"/>
      <c r="F2" s="22"/>
      <c r="G2" s="23"/>
    </row>
    <row r="3" spans="1:9" x14ac:dyDescent="0.25">
      <c r="A3" s="20" t="s">
        <v>24</v>
      </c>
      <c r="B3" s="24" t="s">
        <v>43</v>
      </c>
      <c r="C3" s="56"/>
      <c r="D3" s="22"/>
      <c r="E3" s="22"/>
      <c r="F3" s="22"/>
      <c r="G3" s="23"/>
    </row>
    <row r="4" spans="1:9" x14ac:dyDescent="0.25">
      <c r="A4" s="20" t="s">
        <v>1</v>
      </c>
      <c r="B4" s="24" t="s">
        <v>26</v>
      </c>
      <c r="C4" s="56"/>
      <c r="D4" s="22"/>
      <c r="E4" s="22"/>
      <c r="F4" s="22"/>
      <c r="G4" s="23"/>
    </row>
    <row r="5" spans="1:9" x14ac:dyDescent="0.25">
      <c r="A5" s="20" t="s">
        <v>27</v>
      </c>
      <c r="B5" s="24" t="s">
        <v>1069</v>
      </c>
      <c r="C5" s="56"/>
      <c r="D5" s="22"/>
      <c r="E5" s="22" t="s">
        <v>55</v>
      </c>
      <c r="F5" s="38">
        <f>AVERAGE(C8:C10)*(AVERAGE(D8:D10)/100)</f>
        <v>2.20491209688112E-2</v>
      </c>
      <c r="G5" s="23"/>
    </row>
    <row r="6" spans="1:9" x14ac:dyDescent="0.25">
      <c r="A6" s="25" t="s">
        <v>29</v>
      </c>
      <c r="B6" s="26"/>
      <c r="C6" s="134"/>
      <c r="D6" s="26"/>
      <c r="E6" s="26"/>
      <c r="F6" s="26"/>
      <c r="G6" s="27"/>
    </row>
    <row r="7" spans="1:9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  <c r="I7" s="65"/>
    </row>
    <row r="8" spans="1:9" x14ac:dyDescent="0.25">
      <c r="A8" s="2">
        <v>35</v>
      </c>
      <c r="B8" s="62" t="s">
        <v>84</v>
      </c>
      <c r="C8" s="51">
        <f>E13-F13</f>
        <v>2.2768518518518518E-2</v>
      </c>
      <c r="D8" s="29">
        <f>INDEX('Points Summary'!$E$4:$E$1143,G8)</f>
        <v>99.386238853803533</v>
      </c>
      <c r="E8" s="124">
        <f>(AVERAGE($D$8:$D$10)/100*AVERAGE($C$8:$C$10))/C8</f>
        <v>0.96840384897584775</v>
      </c>
      <c r="F8" s="3"/>
      <c r="G8" s="2">
        <f>MATCH(B8,'Points Summary'!$B$4:$B$1144,0)</f>
        <v>13</v>
      </c>
      <c r="H8" s="117"/>
      <c r="I8" s="117"/>
    </row>
    <row r="9" spans="1:9" x14ac:dyDescent="0.25">
      <c r="A9" s="2">
        <v>44</v>
      </c>
      <c r="B9" s="3" t="s">
        <v>70</v>
      </c>
      <c r="C9" s="51">
        <f>E14-F14</f>
        <v>2.317361111111111E-2</v>
      </c>
      <c r="D9" s="29">
        <f>INDEX('Points Summary'!$E$4:$E$1143,G9)</f>
        <v>94.287557018467481</v>
      </c>
      <c r="E9" s="124">
        <f>(AVERAGE($D$8:$D$10)/100*AVERAGE($C$8:$C$10))/C9</f>
        <v>0.95147540290944344</v>
      </c>
      <c r="F9" s="3"/>
      <c r="G9" s="2">
        <f>MATCH(B9,'Points Summary'!$B$4:$B$1144,0)</f>
        <v>309</v>
      </c>
      <c r="H9" s="117"/>
      <c r="I9" s="117"/>
    </row>
    <row r="10" spans="1:9" x14ac:dyDescent="0.25">
      <c r="A10" s="2">
        <v>21</v>
      </c>
      <c r="B10" s="3" t="s">
        <v>7</v>
      </c>
      <c r="C10" s="51">
        <f>E15-F15</f>
        <v>2.2173611111111109E-2</v>
      </c>
      <c r="D10" s="29">
        <f>INDEX('Points Summary'!$E$4:$E$1143,G10)</f>
        <v>97.656939962494079</v>
      </c>
      <c r="E10" s="124">
        <f>(AVERAGE($D$8:$D$10)/100*AVERAGE($C$8:$C$10))/C10</f>
        <v>0.99438566223263802</v>
      </c>
      <c r="F10" s="3"/>
      <c r="G10" s="2">
        <f>MATCH(B10,'Points Summary'!$B$4:$B$1144,0)</f>
        <v>63</v>
      </c>
      <c r="H10" s="117"/>
      <c r="I10" s="117"/>
    </row>
    <row r="11" spans="1:9" x14ac:dyDescent="0.25">
      <c r="A11" s="2"/>
      <c r="B11" s="62"/>
      <c r="C11" s="51"/>
      <c r="D11" s="29"/>
      <c r="E11" s="124"/>
      <c r="F11" s="3"/>
      <c r="G11" s="2"/>
      <c r="H11" s="117"/>
      <c r="I11" s="117"/>
    </row>
    <row r="12" spans="1:9" x14ac:dyDescent="0.25">
      <c r="A12" s="2"/>
      <c r="B12" s="62"/>
      <c r="C12" s="51"/>
      <c r="D12" s="29"/>
      <c r="E12" s="124"/>
      <c r="F12" s="3"/>
      <c r="G12" s="2"/>
      <c r="H12" s="117"/>
      <c r="I12" s="117"/>
    </row>
    <row r="13" spans="1:9" x14ac:dyDescent="0.25">
      <c r="A13" s="2"/>
      <c r="B13" s="62"/>
      <c r="C13" s="51">
        <v>2.1694444444444443E-2</v>
      </c>
      <c r="D13" s="51">
        <v>2.7175925925925926E-3</v>
      </c>
      <c r="E13" s="51">
        <f>C13+D13</f>
        <v>2.4412037037037038E-2</v>
      </c>
      <c r="F13" s="51">
        <v>1.6435185185185183E-3</v>
      </c>
      <c r="G13" s="2"/>
      <c r="H13" s="117"/>
      <c r="I13" s="117"/>
    </row>
    <row r="14" spans="1:9" x14ac:dyDescent="0.25">
      <c r="A14" s="2"/>
      <c r="B14" s="62"/>
      <c r="C14" s="51">
        <v>2.1694444444444443E-2</v>
      </c>
      <c r="D14" s="51">
        <v>3.2499999999999999E-3</v>
      </c>
      <c r="E14" s="51">
        <f>C14+D14</f>
        <v>2.4944444444444443E-2</v>
      </c>
      <c r="F14" s="51">
        <v>1.7708333333333332E-3</v>
      </c>
      <c r="G14" s="2"/>
      <c r="H14" s="65"/>
    </row>
    <row r="15" spans="1:9" x14ac:dyDescent="0.25">
      <c r="A15" s="2"/>
      <c r="B15" s="62"/>
      <c r="C15" s="51">
        <v>2.1694444444444443E-2</v>
      </c>
      <c r="D15" s="51">
        <v>2.1226851851851854E-3</v>
      </c>
      <c r="E15" s="51">
        <f>C15+D15</f>
        <v>2.3817129629629629E-2</v>
      </c>
      <c r="F15" s="51">
        <v>1.6435185185185183E-3</v>
      </c>
      <c r="G15" s="2"/>
      <c r="H15" s="65"/>
    </row>
    <row r="16" spans="1:9" x14ac:dyDescent="0.25">
      <c r="A16" s="2"/>
      <c r="B16" s="3"/>
      <c r="C16" s="51"/>
      <c r="D16" s="29"/>
      <c r="E16" s="124"/>
      <c r="F16" s="3"/>
      <c r="G16" s="2"/>
      <c r="H16" s="66"/>
    </row>
    <row r="17" spans="1:8" x14ac:dyDescent="0.25">
      <c r="A17" s="2"/>
      <c r="B17" s="62"/>
      <c r="C17" s="51"/>
      <c r="D17" s="29"/>
      <c r="E17" s="124"/>
      <c r="F17" s="3"/>
      <c r="G17" s="2"/>
      <c r="H17" s="66"/>
    </row>
    <row r="18" spans="1:8" x14ac:dyDescent="0.25">
      <c r="A18" s="2"/>
      <c r="B18" s="73"/>
      <c r="C18" s="51"/>
      <c r="D18" s="29"/>
      <c r="E18" s="124"/>
      <c r="F18" s="3"/>
      <c r="G18" s="2"/>
      <c r="H18" s="66"/>
    </row>
    <row r="19" spans="1:8" x14ac:dyDescent="0.25">
      <c r="A19" s="2"/>
      <c r="B19" s="3"/>
      <c r="C19" s="51"/>
      <c r="D19" s="29"/>
      <c r="E19" s="124"/>
      <c r="F19" s="3"/>
      <c r="G19" s="2"/>
      <c r="H19" s="65"/>
    </row>
    <row r="20" spans="1:8" x14ac:dyDescent="0.25">
      <c r="A20" s="2"/>
      <c r="B20" s="3"/>
      <c r="C20" s="51"/>
      <c r="D20" s="29"/>
      <c r="E20" s="124"/>
      <c r="F20" s="3"/>
      <c r="G20" s="2"/>
      <c r="H20" s="66"/>
    </row>
    <row r="21" spans="1:8" x14ac:dyDescent="0.25">
      <c r="A21" s="2"/>
      <c r="B21" s="3"/>
      <c r="C21" s="51"/>
      <c r="D21" s="29"/>
      <c r="E21" s="124"/>
      <c r="F21" s="3"/>
      <c r="G21" s="2"/>
      <c r="H21" s="66"/>
    </row>
    <row r="22" spans="1:8" x14ac:dyDescent="0.25">
      <c r="A22" s="2"/>
      <c r="B22" s="3"/>
      <c r="C22" s="51"/>
      <c r="D22" s="29"/>
      <c r="E22" s="124"/>
      <c r="F22" s="3"/>
      <c r="G22" s="2"/>
      <c r="H22" s="65"/>
    </row>
    <row r="23" spans="1:8" x14ac:dyDescent="0.25">
      <c r="A23" s="2"/>
      <c r="B23" s="3"/>
      <c r="C23" s="51"/>
      <c r="D23" s="29"/>
      <c r="E23" s="124"/>
      <c r="F23" s="3"/>
      <c r="G23" s="2"/>
      <c r="H23" s="65"/>
    </row>
    <row r="24" spans="1:8" x14ac:dyDescent="0.25">
      <c r="A24" s="2"/>
      <c r="B24" s="3"/>
      <c r="C24" s="51"/>
      <c r="D24" s="29"/>
      <c r="E24" s="124"/>
      <c r="F24" s="3"/>
      <c r="G24" s="2"/>
    </row>
    <row r="25" spans="1:8" x14ac:dyDescent="0.25">
      <c r="A25" s="2"/>
      <c r="B25" s="62"/>
      <c r="C25" s="51"/>
      <c r="D25" s="29"/>
      <c r="E25" s="124"/>
      <c r="F25" s="3"/>
      <c r="G25" s="2"/>
    </row>
    <row r="26" spans="1:8" x14ac:dyDescent="0.25">
      <c r="A26" s="2"/>
      <c r="B26" s="62"/>
      <c r="C26" s="51"/>
      <c r="D26" s="29"/>
      <c r="E26" s="124"/>
      <c r="F26" s="3"/>
      <c r="G26" s="2"/>
    </row>
    <row r="27" spans="1:8" x14ac:dyDescent="0.25">
      <c r="A27" s="2"/>
      <c r="B27" s="62"/>
      <c r="C27" s="51"/>
      <c r="D27" s="29"/>
      <c r="E27" s="124"/>
      <c r="F27" s="3"/>
      <c r="G27" s="2"/>
    </row>
    <row r="28" spans="1:8" x14ac:dyDescent="0.25">
      <c r="A28" s="2"/>
      <c r="B28" s="62"/>
      <c r="C28" s="51"/>
      <c r="D28" s="29"/>
      <c r="E28" s="124"/>
      <c r="F28" s="3"/>
      <c r="G28" s="2"/>
    </row>
    <row r="29" spans="1:8" x14ac:dyDescent="0.25">
      <c r="A29" s="2"/>
      <c r="B29" s="3"/>
      <c r="C29" s="51"/>
      <c r="D29" s="29"/>
      <c r="E29" s="124"/>
      <c r="F29" s="3"/>
      <c r="G29" s="2"/>
    </row>
    <row r="30" spans="1:8" x14ac:dyDescent="0.25">
      <c r="A30" s="2"/>
      <c r="B30" s="3"/>
      <c r="C30" s="51"/>
      <c r="D30" s="29"/>
      <c r="E30" s="124"/>
      <c r="F30" s="3"/>
      <c r="G30" s="2"/>
    </row>
    <row r="31" spans="1:8" x14ac:dyDescent="0.25">
      <c r="A31" s="2"/>
      <c r="B31" s="3"/>
      <c r="C31" s="51"/>
      <c r="D31" s="29"/>
      <c r="E31" s="124"/>
      <c r="F31" s="3"/>
      <c r="G31" s="2"/>
    </row>
    <row r="32" spans="1:8" x14ac:dyDescent="0.25">
      <c r="A32" s="2"/>
      <c r="C32" s="51"/>
      <c r="D32" s="29"/>
      <c r="E32" s="124"/>
      <c r="F32" s="3"/>
      <c r="G32" s="2"/>
    </row>
    <row r="33" spans="1:7" x14ac:dyDescent="0.25">
      <c r="A33" s="2"/>
      <c r="C33" s="42"/>
      <c r="D33" s="29"/>
      <c r="E33" s="124"/>
      <c r="F33" s="3"/>
      <c r="G33" s="2"/>
    </row>
    <row r="34" spans="1:7" x14ac:dyDescent="0.25">
      <c r="A34" s="2"/>
      <c r="C34" s="42"/>
      <c r="D34" s="29"/>
      <c r="E34" s="124"/>
      <c r="F34" s="3"/>
      <c r="G34" s="2"/>
    </row>
    <row r="35" spans="1:7" x14ac:dyDescent="0.25">
      <c r="A35" s="2"/>
      <c r="C35" s="42"/>
      <c r="D35" s="29"/>
      <c r="E35" s="124"/>
      <c r="F35" s="3"/>
      <c r="G35" s="2"/>
    </row>
    <row r="36" spans="1:7" x14ac:dyDescent="0.25">
      <c r="A36" s="2"/>
      <c r="C36" s="42"/>
      <c r="D36" s="29"/>
      <c r="E36" s="124"/>
      <c r="F36" s="3"/>
      <c r="G36" s="2"/>
    </row>
    <row r="37" spans="1:7" x14ac:dyDescent="0.25">
      <c r="C37" s="42"/>
    </row>
    <row r="38" spans="1:7" x14ac:dyDescent="0.25">
      <c r="C38" s="42"/>
    </row>
    <row r="39" spans="1:7" x14ac:dyDescent="0.25">
      <c r="C39" s="42"/>
    </row>
    <row r="40" spans="1:7" x14ac:dyDescent="0.25">
      <c r="C40" s="42"/>
    </row>
    <row r="41" spans="1:7" x14ac:dyDescent="0.25">
      <c r="C41" s="42"/>
    </row>
    <row r="42" spans="1:7" x14ac:dyDescent="0.25">
      <c r="C42" s="42"/>
    </row>
    <row r="43" spans="1:7" x14ac:dyDescent="0.25">
      <c r="C43" s="42"/>
    </row>
    <row r="44" spans="1:7" x14ac:dyDescent="0.25">
      <c r="C44" s="42"/>
    </row>
    <row r="45" spans="1:7" x14ac:dyDescent="0.25">
      <c r="C45" s="42"/>
    </row>
    <row r="46" spans="1:7" x14ac:dyDescent="0.25">
      <c r="C46" s="42"/>
    </row>
  </sheetData>
  <sortState ref="A8:D35">
    <sortCondition descending="1" ref="D8:D35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workbookViewId="0">
      <selection activeCell="B14" sqref="B14"/>
    </sheetView>
  </sheetViews>
  <sheetFormatPr defaultRowHeight="13.2" x14ac:dyDescent="0.25"/>
  <cols>
    <col min="2" max="2" width="20.6640625" customWidth="1"/>
    <col min="3" max="7" width="9.6640625" customWidth="1"/>
  </cols>
  <sheetData>
    <row r="1" spans="1:9" x14ac:dyDescent="0.25">
      <c r="A1" s="16" t="s">
        <v>22</v>
      </c>
      <c r="B1" s="17" t="s">
        <v>995</v>
      </c>
      <c r="C1" s="18"/>
      <c r="D1" s="18"/>
      <c r="E1" s="18"/>
      <c r="F1" s="18"/>
      <c r="G1" s="19"/>
    </row>
    <row r="2" spans="1:9" x14ac:dyDescent="0.25">
      <c r="A2" s="20" t="s">
        <v>23</v>
      </c>
      <c r="B2" s="21">
        <v>43061</v>
      </c>
      <c r="C2" s="22"/>
      <c r="D2" s="22"/>
      <c r="E2" s="22"/>
      <c r="F2" s="22"/>
      <c r="G2" s="23"/>
    </row>
    <row r="3" spans="1:9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9" x14ac:dyDescent="0.25">
      <c r="A4" s="20" t="s">
        <v>1</v>
      </c>
      <c r="B4" s="24" t="s">
        <v>998</v>
      </c>
      <c r="C4" s="22"/>
      <c r="D4" s="22"/>
      <c r="E4" s="22"/>
      <c r="F4" s="22"/>
      <c r="G4" s="23"/>
    </row>
    <row r="5" spans="1:9" x14ac:dyDescent="0.25">
      <c r="A5" s="20" t="s">
        <v>27</v>
      </c>
      <c r="B5" s="24" t="s">
        <v>840</v>
      </c>
      <c r="C5" s="22"/>
      <c r="D5" s="22"/>
      <c r="E5" s="22" t="s">
        <v>55</v>
      </c>
      <c r="F5" s="38">
        <f>AVERAGE(C8:C12)*(AVERAGE(D8:D12)/100)</f>
        <v>1.5078198420604455E-2</v>
      </c>
      <c r="G5" s="23"/>
    </row>
    <row r="6" spans="1:9" x14ac:dyDescent="0.25">
      <c r="A6" s="25" t="s">
        <v>29</v>
      </c>
      <c r="B6" s="26"/>
      <c r="C6" s="26"/>
      <c r="D6" s="26"/>
      <c r="E6" s="26"/>
      <c r="F6" s="26"/>
      <c r="G6" s="27"/>
    </row>
    <row r="7" spans="1:9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9" x14ac:dyDescent="0.25">
      <c r="A8" s="2">
        <v>4</v>
      </c>
      <c r="B8" s="3" t="s">
        <v>150</v>
      </c>
      <c r="C8" s="51">
        <v>2.3715277777777776E-2</v>
      </c>
      <c r="D8" s="29">
        <f>INDEX('Points Summary'!$H$4:$H$1143,G8)</f>
        <v>67.09322222607787</v>
      </c>
      <c r="E8" s="124">
        <f t="shared" ref="E8:E21" si="0">(AVERAGE($D$8:$D$12)/100*AVERAGE($C$8:$C$12))/C8</f>
        <v>0.63580104613969013</v>
      </c>
      <c r="F8" s="3"/>
      <c r="G8" s="2">
        <f>MATCH(B8,'Points Summary'!$B$4:$B$1144,0)</f>
        <v>323</v>
      </c>
      <c r="I8" s="51"/>
    </row>
    <row r="9" spans="1:9" x14ac:dyDescent="0.25">
      <c r="A9" s="2">
        <v>2</v>
      </c>
      <c r="B9" s="3" t="s">
        <v>1004</v>
      </c>
      <c r="C9" s="51">
        <v>2.2657407407407407E-2</v>
      </c>
      <c r="D9" s="29">
        <f>INDEX('Points Summary'!$H$4:$H$1143,G9)</f>
        <v>62.399896367972694</v>
      </c>
      <c r="E9" s="124">
        <f t="shared" si="0"/>
        <v>0.66548648525757303</v>
      </c>
      <c r="F9" s="3"/>
      <c r="G9" s="2">
        <f>MATCH(B9,'Points Summary'!$B$4:$B$1144,0)</f>
        <v>361</v>
      </c>
      <c r="I9" s="51"/>
    </row>
    <row r="10" spans="1:9" x14ac:dyDescent="0.25">
      <c r="A10" s="2">
        <v>5</v>
      </c>
      <c r="B10" s="3" t="s">
        <v>98</v>
      </c>
      <c r="C10" s="51">
        <v>2.4026620370370372E-2</v>
      </c>
      <c r="D10" s="29">
        <f>INDEX('Points Summary'!$H$4:$H$1143,G10)</f>
        <v>57.073595074319748</v>
      </c>
      <c r="E10" s="124">
        <f t="shared" si="0"/>
        <v>0.62756218678174513</v>
      </c>
      <c r="F10" s="3"/>
      <c r="G10" s="2">
        <f>MATCH(B10,'Points Summary'!$B$4:$B$1144,0)</f>
        <v>38</v>
      </c>
      <c r="I10" s="51"/>
    </row>
    <row r="11" spans="1:9" x14ac:dyDescent="0.25">
      <c r="A11" s="2">
        <v>10</v>
      </c>
      <c r="B11" s="3" t="s">
        <v>999</v>
      </c>
      <c r="C11" s="51">
        <v>2.8188657407407409E-2</v>
      </c>
      <c r="D11" s="29">
        <f>INDEX('Points Summary'!$H$4:$H$1143,G11)</f>
        <v>54.920392320597955</v>
      </c>
      <c r="E11" s="124">
        <f t="shared" si="0"/>
        <v>0.5349030357381338</v>
      </c>
      <c r="F11" s="3"/>
      <c r="G11" s="2">
        <f>MATCH(B11,'Points Summary'!$B$4:$B$1144,0)</f>
        <v>134</v>
      </c>
      <c r="I11" s="51"/>
    </row>
    <row r="12" spans="1:9" x14ac:dyDescent="0.25">
      <c r="A12" s="2">
        <v>11</v>
      </c>
      <c r="B12" s="3" t="s">
        <v>1000</v>
      </c>
      <c r="C12" s="51">
        <v>2.8881944444444446E-2</v>
      </c>
      <c r="D12" s="29">
        <f>INDEX('Points Summary'!$H$4:$H$1143,G12)</f>
        <v>54.233639543797466</v>
      </c>
      <c r="E12" s="124">
        <f t="shared" si="0"/>
        <v>0.52206313358188061</v>
      </c>
      <c r="F12" s="3"/>
      <c r="G12" s="2">
        <f>MATCH(B12,'Points Summary'!$B$4:$B$1144,0)</f>
        <v>162</v>
      </c>
      <c r="I12" s="51"/>
    </row>
    <row r="13" spans="1:9" x14ac:dyDescent="0.25">
      <c r="A13" s="2">
        <v>13</v>
      </c>
      <c r="B13" s="3" t="s">
        <v>1002</v>
      </c>
      <c r="C13" s="51">
        <v>3.0480324074074073E-2</v>
      </c>
      <c r="D13" s="29">
        <f>INDEX('Points Summary'!$H$4:$H$1143,G13)</f>
        <v>49.890115442943276</v>
      </c>
      <c r="E13" s="124">
        <f t="shared" si="0"/>
        <v>0.49468628955391114</v>
      </c>
      <c r="F13" s="3"/>
      <c r="G13" s="2">
        <f>MATCH(B13,'Points Summary'!$B$4:$B$1144,0)</f>
        <v>20</v>
      </c>
      <c r="I13" s="51"/>
    </row>
    <row r="14" spans="1:9" x14ac:dyDescent="0.25">
      <c r="A14" s="2">
        <v>9</v>
      </c>
      <c r="B14" s="3" t="s">
        <v>710</v>
      </c>
      <c r="C14" s="51">
        <v>2.6751157407407408E-2</v>
      </c>
      <c r="D14" s="29">
        <f>INDEX('Points Summary'!$H$4:$H$1143,G14)</f>
        <v>48.874975733917452</v>
      </c>
      <c r="E14" s="124">
        <f t="shared" si="0"/>
        <v>0.56364658137854229</v>
      </c>
      <c r="F14" s="3"/>
      <c r="G14" s="2">
        <f>MATCH(B14,'Points Summary'!$B$4:$B$1144,0)</f>
        <v>351</v>
      </c>
      <c r="I14" s="51"/>
    </row>
    <row r="15" spans="1:9" x14ac:dyDescent="0.25">
      <c r="A15" s="2">
        <v>14</v>
      </c>
      <c r="B15" s="3" t="s">
        <v>1142</v>
      </c>
      <c r="C15" s="51">
        <v>3.3881944444444444E-2</v>
      </c>
      <c r="D15" s="29">
        <f>INDEX('Points Summary'!$H$4:$H$1143,G15)</f>
        <v>43.817120259708126</v>
      </c>
      <c r="E15" s="124">
        <f t="shared" si="0"/>
        <v>0.44502163815680296</v>
      </c>
      <c r="F15" s="3"/>
      <c r="G15" s="2">
        <f>MATCH(B15,'Points Summary'!$B$4:$B$1144,0)</f>
        <v>1</v>
      </c>
      <c r="I15" s="51"/>
    </row>
    <row r="16" spans="1:9" x14ac:dyDescent="0.25">
      <c r="A16" s="2">
        <v>1</v>
      </c>
      <c r="B16" s="3" t="s">
        <v>947</v>
      </c>
      <c r="C16" s="51">
        <f>TIME(0,31,40)</f>
        <v>2.1990740740740741E-2</v>
      </c>
      <c r="D16" s="29">
        <f>INDEX('Points Summary'!$H$4:$H$1143,G16)</f>
        <v>0</v>
      </c>
      <c r="E16" s="124">
        <f t="shared" si="0"/>
        <v>0.68566123344222363</v>
      </c>
      <c r="F16" s="3"/>
      <c r="G16" s="2">
        <f>MATCH(B16,'Points Summary'!$B$4:$B$1144,0)</f>
        <v>425</v>
      </c>
      <c r="I16" s="51"/>
    </row>
    <row r="17" spans="1:9" x14ac:dyDescent="0.25">
      <c r="A17" s="2">
        <v>3</v>
      </c>
      <c r="B17" s="3" t="s">
        <v>1005</v>
      </c>
      <c r="C17" s="51">
        <v>2.339236111111111E-2</v>
      </c>
      <c r="D17" s="29">
        <f>INDEX('Points Summary'!$H$4:$H$1143,G17)</f>
        <v>0</v>
      </c>
      <c r="E17" s="124">
        <f t="shared" si="0"/>
        <v>0.6445778751868908</v>
      </c>
      <c r="F17" s="3"/>
      <c r="G17" s="2">
        <f>MATCH(B17,'Points Summary'!$B$4:$B$1144,0)</f>
        <v>137</v>
      </c>
      <c r="I17" s="51"/>
    </row>
    <row r="18" spans="1:9" x14ac:dyDescent="0.25">
      <c r="A18" s="2">
        <v>6</v>
      </c>
      <c r="B18" s="3" t="s">
        <v>1008</v>
      </c>
      <c r="C18" s="51">
        <v>2.4718749999999998E-2</v>
      </c>
      <c r="D18" s="29">
        <f>INDEX('Points Summary'!$H$4:$H$1143,G18)</f>
        <v>0</v>
      </c>
      <c r="E18" s="124">
        <f t="shared" si="0"/>
        <v>0.60999032801433961</v>
      </c>
      <c r="F18" s="3"/>
      <c r="G18" s="2">
        <f>MATCH(B18,'Points Summary'!$B$4:$B$1144,0)</f>
        <v>276</v>
      </c>
      <c r="I18" s="51"/>
    </row>
    <row r="19" spans="1:9" x14ac:dyDescent="0.25">
      <c r="A19" s="2">
        <v>7</v>
      </c>
      <c r="B19" s="3" t="s">
        <v>1054</v>
      </c>
      <c r="C19" s="51">
        <v>2.5927083333333333E-2</v>
      </c>
      <c r="D19" s="29">
        <f>INDEX('Points Summary'!$H$4:$H$1143,G19)</f>
        <v>0</v>
      </c>
      <c r="E19" s="124">
        <f t="shared" si="0"/>
        <v>0.58156169079069009</v>
      </c>
      <c r="F19" s="3"/>
      <c r="G19" s="2">
        <f>MATCH(B19,'Points Summary'!$B$4:$B$1144,0)</f>
        <v>217</v>
      </c>
      <c r="I19" s="51"/>
    </row>
    <row r="20" spans="1:9" x14ac:dyDescent="0.25">
      <c r="A20" s="2">
        <v>8</v>
      </c>
      <c r="B20" s="3" t="s">
        <v>996</v>
      </c>
      <c r="C20" s="51">
        <v>2.6672453703703702E-2</v>
      </c>
      <c r="D20" s="29">
        <f>INDEX('Points Summary'!$H$4:$H$1143,G20)</f>
        <v>0</v>
      </c>
      <c r="E20" s="124">
        <f t="shared" si="0"/>
        <v>0.56530976070307004</v>
      </c>
      <c r="F20" s="3"/>
      <c r="G20" s="2">
        <f>MATCH(B20,'Points Summary'!$B$4:$B$1144,0)</f>
        <v>219</v>
      </c>
      <c r="I20" s="51"/>
    </row>
    <row r="21" spans="1:9" x14ac:dyDescent="0.25">
      <c r="A21" s="2">
        <v>12</v>
      </c>
      <c r="B21" s="3" t="s">
        <v>1001</v>
      </c>
      <c r="C21" s="51">
        <v>2.8968750000000001E-2</v>
      </c>
      <c r="D21" s="29">
        <f>INDEX('Points Summary'!$H$4:$H$1143,G21)</f>
        <v>0</v>
      </c>
      <c r="E21" s="124">
        <f t="shared" si="0"/>
        <v>0.5204987588558172</v>
      </c>
      <c r="F21" s="3"/>
      <c r="G21" s="2">
        <f>MATCH(B21,'Points Summary'!$B$4:$B$1144,0)</f>
        <v>41</v>
      </c>
      <c r="I21" s="51"/>
    </row>
    <row r="22" spans="1:9" x14ac:dyDescent="0.25">
      <c r="A22" s="2"/>
      <c r="B22" s="3"/>
      <c r="C22" s="51"/>
      <c r="D22" s="29"/>
      <c r="E22" s="124"/>
      <c r="F22" s="3"/>
      <c r="G22" s="2"/>
    </row>
    <row r="23" spans="1:9" x14ac:dyDescent="0.25">
      <c r="A23" s="2"/>
      <c r="B23" s="3"/>
      <c r="C23" s="51"/>
      <c r="D23" s="29"/>
      <c r="E23" s="124"/>
      <c r="F23" s="3"/>
      <c r="G23" s="2"/>
    </row>
    <row r="24" spans="1:9" x14ac:dyDescent="0.25">
      <c r="A24" s="2"/>
      <c r="B24" s="3"/>
      <c r="C24" s="51"/>
      <c r="D24" s="29"/>
      <c r="E24" s="30"/>
      <c r="F24" s="3"/>
      <c r="G24" s="2"/>
    </row>
    <row r="25" spans="1:9" x14ac:dyDescent="0.25">
      <c r="A25" s="2"/>
      <c r="B25" s="3"/>
      <c r="C25" s="51"/>
      <c r="D25" s="29"/>
      <c r="E25" s="30"/>
      <c r="F25" s="3"/>
      <c r="G25" s="2"/>
    </row>
    <row r="26" spans="1:9" x14ac:dyDescent="0.25">
      <c r="A26" s="2"/>
      <c r="B26" s="3"/>
      <c r="C26" s="51"/>
      <c r="D26" s="29"/>
      <c r="E26" s="30"/>
      <c r="F26" s="3"/>
      <c r="G26" s="2"/>
    </row>
    <row r="27" spans="1:9" x14ac:dyDescent="0.25">
      <c r="A27" s="2"/>
      <c r="B27" s="3"/>
      <c r="C27" s="51"/>
      <c r="D27" s="29"/>
      <c r="E27" s="30"/>
      <c r="F27" s="3"/>
      <c r="G27" s="2"/>
    </row>
    <row r="28" spans="1:9" x14ac:dyDescent="0.25">
      <c r="A28" s="2"/>
      <c r="B28" s="3"/>
      <c r="C28" s="51"/>
      <c r="D28" s="29"/>
      <c r="E28" s="30"/>
      <c r="F28" s="3"/>
      <c r="G28" s="2"/>
    </row>
    <row r="29" spans="1:9" x14ac:dyDescent="0.25">
      <c r="A29" s="2"/>
      <c r="B29" s="3"/>
      <c r="C29" s="51"/>
      <c r="D29" s="29"/>
      <c r="E29" s="30"/>
      <c r="F29" s="3"/>
      <c r="G29" s="2"/>
    </row>
    <row r="30" spans="1:9" x14ac:dyDescent="0.25">
      <c r="A30" s="2"/>
      <c r="B30" s="3"/>
      <c r="C30" s="51"/>
      <c r="D30" s="29"/>
      <c r="E30" s="30"/>
      <c r="F30" s="3"/>
      <c r="G30" s="2"/>
    </row>
  </sheetData>
  <sortState ref="A8:G21">
    <sortCondition descending="1" ref="D8:D21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2018 Race Points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workbookViewId="0">
      <selection activeCell="B18" sqref="B18"/>
    </sheetView>
  </sheetViews>
  <sheetFormatPr defaultRowHeight="13.2" x14ac:dyDescent="0.25"/>
  <cols>
    <col min="2" max="2" width="24.6640625" customWidth="1"/>
    <col min="3" max="3" width="9.6640625" style="42" customWidth="1"/>
    <col min="4" max="7" width="9.6640625" customWidth="1"/>
  </cols>
  <sheetData>
    <row r="1" spans="1:9" x14ac:dyDescent="0.25">
      <c r="A1" s="16" t="s">
        <v>22</v>
      </c>
      <c r="B1" s="17" t="s">
        <v>1070</v>
      </c>
      <c r="C1" s="133"/>
      <c r="D1" s="18"/>
      <c r="E1" s="18"/>
      <c r="F1" s="18"/>
      <c r="G1" s="19"/>
    </row>
    <row r="2" spans="1:9" x14ac:dyDescent="0.25">
      <c r="A2" s="20" t="s">
        <v>23</v>
      </c>
      <c r="B2" s="21">
        <v>43120</v>
      </c>
      <c r="C2" s="56"/>
      <c r="D2" s="22"/>
      <c r="E2" s="22"/>
      <c r="F2" s="22"/>
      <c r="G2" s="23"/>
    </row>
    <row r="3" spans="1:9" x14ac:dyDescent="0.25">
      <c r="A3" s="20" t="s">
        <v>24</v>
      </c>
      <c r="B3" s="24" t="s">
        <v>25</v>
      </c>
      <c r="C3" s="56"/>
      <c r="D3" s="22"/>
      <c r="E3" s="22"/>
      <c r="F3" s="22"/>
      <c r="G3" s="23"/>
    </row>
    <row r="4" spans="1:9" x14ac:dyDescent="0.25">
      <c r="A4" s="20" t="s">
        <v>1</v>
      </c>
      <c r="B4" s="24" t="s">
        <v>26</v>
      </c>
      <c r="C4" s="56"/>
      <c r="D4" s="22"/>
      <c r="E4" s="22"/>
      <c r="F4" s="22"/>
      <c r="G4" s="23"/>
    </row>
    <row r="5" spans="1:9" x14ac:dyDescent="0.25">
      <c r="A5" s="20" t="s">
        <v>27</v>
      </c>
      <c r="B5" s="24" t="s">
        <v>876</v>
      </c>
      <c r="C5" s="56"/>
      <c r="D5" s="22"/>
      <c r="E5" s="22" t="s">
        <v>55</v>
      </c>
      <c r="F5" s="38">
        <f>AVERAGE(C8:C12)*(AVERAGE(D8:D12)/100)</f>
        <v>1.5160579252989343E-2</v>
      </c>
      <c r="G5" s="23"/>
    </row>
    <row r="6" spans="1:9" x14ac:dyDescent="0.25">
      <c r="A6" s="25" t="s">
        <v>29</v>
      </c>
      <c r="B6" s="26"/>
      <c r="C6" s="134"/>
      <c r="D6" s="26"/>
      <c r="E6" s="26"/>
      <c r="F6" s="26"/>
      <c r="G6" s="27"/>
    </row>
    <row r="7" spans="1:9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  <c r="I7" s="3"/>
    </row>
    <row r="8" spans="1:9" x14ac:dyDescent="0.25">
      <c r="A8" s="2">
        <v>2</v>
      </c>
      <c r="B8" s="114" t="s">
        <v>12</v>
      </c>
      <c r="C8" s="51">
        <f>TIME(0,37,20)</f>
        <v>2.5925925925925925E-2</v>
      </c>
      <c r="D8" s="29">
        <f>INDEX('Points Summary'!$E$4:$E$1143,G8)</f>
        <v>61.556524973626225</v>
      </c>
      <c r="E8" s="124">
        <f t="shared" ref="E8:E18" si="0">(AVERAGE($D$8:$D$12)/100*AVERAGE($C$8:$C$12))/C8</f>
        <v>0.58476519975816044</v>
      </c>
      <c r="F8" s="3"/>
      <c r="G8" s="2">
        <f>MATCH(B8,'Points Summary'!$B$4:$B$1144,0)</f>
        <v>292</v>
      </c>
      <c r="H8" s="117"/>
      <c r="I8" s="117"/>
    </row>
    <row r="9" spans="1:9" x14ac:dyDescent="0.25">
      <c r="A9" s="2">
        <v>1</v>
      </c>
      <c r="B9" s="62" t="s">
        <v>398</v>
      </c>
      <c r="C9" s="51">
        <f>TIME(0,35,33)</f>
        <v>2.4687499999999998E-2</v>
      </c>
      <c r="D9" s="29">
        <f>INDEX('Points Summary'!$E$4:$E$1143,G9)</f>
        <v>60.636529782048591</v>
      </c>
      <c r="E9" s="124">
        <f t="shared" si="0"/>
        <v>0.61409941277931523</v>
      </c>
      <c r="F9" s="3"/>
      <c r="G9" s="2">
        <f>MATCH(B9,'Points Summary'!$B$4:$B$1144,0)</f>
        <v>119</v>
      </c>
      <c r="H9" s="117"/>
      <c r="I9" s="117"/>
    </row>
    <row r="10" spans="1:9" x14ac:dyDescent="0.25">
      <c r="A10" s="2">
        <v>1</v>
      </c>
      <c r="B10" s="62" t="s">
        <v>108</v>
      </c>
      <c r="C10" s="51">
        <f>TIME(0,36,18)</f>
        <v>2.5208333333333333E-2</v>
      </c>
      <c r="D10" s="29">
        <f>INDEX('Points Summary'!$E$4:$E$1143,G10)</f>
        <v>59.774545485164211</v>
      </c>
      <c r="E10" s="124">
        <f t="shared" si="0"/>
        <v>0.60141140838304841</v>
      </c>
      <c r="F10" s="3"/>
      <c r="G10" s="2">
        <f>MATCH(B10,'Points Summary'!$B$4:$B$1144,0)</f>
        <v>48</v>
      </c>
      <c r="H10" s="117"/>
      <c r="I10" s="117"/>
    </row>
    <row r="11" spans="1:9" x14ac:dyDescent="0.25">
      <c r="A11" s="2">
        <v>5</v>
      </c>
      <c r="B11" s="62" t="s">
        <v>662</v>
      </c>
      <c r="C11" s="51">
        <f>TIME(0,46,34)</f>
        <v>3.2337962962962964E-2</v>
      </c>
      <c r="D11" s="29">
        <f>INDEX('Points Summary'!$E$4:$E$1143,G11)</f>
        <v>47.416718777744791</v>
      </c>
      <c r="E11" s="124">
        <f t="shared" si="0"/>
        <v>0.46881676716473847</v>
      </c>
      <c r="F11" s="3"/>
      <c r="G11" s="2">
        <f>MATCH(B11,'Points Summary'!$B$4:$B$1144,0)</f>
        <v>105</v>
      </c>
      <c r="H11" s="117"/>
      <c r="I11" s="117"/>
    </row>
    <row r="12" spans="1:9" x14ac:dyDescent="0.25">
      <c r="A12" s="2">
        <v>4</v>
      </c>
      <c r="B12" s="62" t="s">
        <v>46</v>
      </c>
      <c r="C12" s="51">
        <f>TIME(0,41,48)</f>
        <v>2.9027777777777777E-2</v>
      </c>
      <c r="D12" s="29">
        <f>INDEX('Points Summary'!$E$4:$E$1143,G12)</f>
        <v>46.890473746597834</v>
      </c>
      <c r="E12" s="124">
        <f t="shared" si="0"/>
        <v>0.5222783283326472</v>
      </c>
      <c r="F12" s="3"/>
      <c r="G12" s="2">
        <f>MATCH(B12,'Points Summary'!$B$4:$B$1144,0)</f>
        <v>175</v>
      </c>
      <c r="H12" s="117"/>
      <c r="I12" s="117"/>
    </row>
    <row r="13" spans="1:9" x14ac:dyDescent="0.25">
      <c r="A13" s="2">
        <v>1</v>
      </c>
      <c r="B13" s="62" t="s">
        <v>731</v>
      </c>
      <c r="C13" s="51">
        <f>TIME(0,47,22)</f>
        <v>3.2893518518518523E-2</v>
      </c>
      <c r="D13" s="29">
        <f>INDEX('Points Summary'!$E$4:$E$1143,G13)</f>
        <v>45.896656893682632</v>
      </c>
      <c r="E13" s="124">
        <f t="shared" si="0"/>
        <v>0.4608986796123431</v>
      </c>
      <c r="F13" s="3"/>
      <c r="G13" s="2">
        <f>MATCH(B13,'Points Summary'!$B$4:$B$1144,0)</f>
        <v>273</v>
      </c>
      <c r="H13" s="117"/>
      <c r="I13" s="117"/>
    </row>
    <row r="14" spans="1:9" x14ac:dyDescent="0.25">
      <c r="A14" s="2">
        <v>6</v>
      </c>
      <c r="B14" s="62" t="s">
        <v>110</v>
      </c>
      <c r="C14" s="51">
        <f>TIME(0,48,10)</f>
        <v>3.3449074074074069E-2</v>
      </c>
      <c r="D14" s="29">
        <f>INDEX('Points Summary'!$E$4:$E$1143,G14)</f>
        <v>45.826273858324868</v>
      </c>
      <c r="E14" s="124">
        <f t="shared" si="0"/>
        <v>0.45324361503746696</v>
      </c>
      <c r="F14" s="3"/>
      <c r="G14" s="2">
        <f>MATCH(B14,'Points Summary'!$B$4:$B$1144,0)</f>
        <v>385</v>
      </c>
      <c r="H14" s="117"/>
      <c r="I14" s="117"/>
    </row>
    <row r="15" spans="1:9" x14ac:dyDescent="0.25">
      <c r="A15" s="2">
        <v>3</v>
      </c>
      <c r="B15" s="62" t="s">
        <v>892</v>
      </c>
      <c r="C15" s="51">
        <f>TIME(0,39,6)</f>
        <v>2.7152777777777779E-2</v>
      </c>
      <c r="D15" s="29">
        <f>INDEX('Points Summary'!$E$4:$E$1143,G15)</f>
        <v>45.442720739462018</v>
      </c>
      <c r="E15" s="124">
        <f t="shared" si="0"/>
        <v>0.55834358374180704</v>
      </c>
      <c r="F15" s="3"/>
      <c r="G15" s="2">
        <f>MATCH(B15,'Points Summary'!$B$4:$B$1144,0)</f>
        <v>403</v>
      </c>
      <c r="H15" s="117"/>
      <c r="I15" s="117"/>
    </row>
    <row r="16" spans="1:9" x14ac:dyDescent="0.25">
      <c r="A16" s="2">
        <v>2</v>
      </c>
      <c r="B16" s="62" t="s">
        <v>505</v>
      </c>
      <c r="C16" s="51">
        <f>TIME(1,5,7)</f>
        <v>4.521990740740741E-2</v>
      </c>
      <c r="D16" s="29">
        <f>INDEX('Points Summary'!$E$4:$E$1143,G16)</f>
        <v>31.311358388555671</v>
      </c>
      <c r="E16" s="124">
        <f t="shared" si="0"/>
        <v>0.33526338557928825</v>
      </c>
      <c r="F16" s="3"/>
      <c r="G16" s="2">
        <f>MATCH(B16,'Points Summary'!$B$4:$B$1144,0)</f>
        <v>99</v>
      </c>
      <c r="H16" s="117"/>
      <c r="I16" s="117"/>
    </row>
    <row r="17" spans="1:9" x14ac:dyDescent="0.25">
      <c r="A17" s="2">
        <v>3</v>
      </c>
      <c r="B17" s="62" t="s">
        <v>669</v>
      </c>
      <c r="C17" s="51">
        <f>TIME(0,50,7)</f>
        <v>3.4803240740740739E-2</v>
      </c>
      <c r="D17" s="29">
        <f>INDEX('Points Summary'!$E$4:$E$1143,G17)</f>
        <v>0</v>
      </c>
      <c r="E17" s="124">
        <f t="shared" si="0"/>
        <v>0.43560826320528079</v>
      </c>
      <c r="F17" s="3"/>
      <c r="G17" s="2">
        <f>MATCH(B17,'Points Summary'!$B$4:$B$1144,0)</f>
        <v>377</v>
      </c>
      <c r="H17" s="117"/>
      <c r="I17" s="117"/>
    </row>
    <row r="18" spans="1:9" x14ac:dyDescent="0.25">
      <c r="A18" s="2">
        <v>2</v>
      </c>
      <c r="B18" s="62" t="s">
        <v>1071</v>
      </c>
      <c r="C18" s="51">
        <f>TIME(0,38,57)</f>
        <v>2.704861111111111E-2</v>
      </c>
      <c r="D18" s="29">
        <f>INDEX('Points Summary'!$E$4:$E$1143,G18)</f>
        <v>0</v>
      </c>
      <c r="E18" s="124">
        <f t="shared" si="0"/>
        <v>0.5604938157716215</v>
      </c>
      <c r="F18" s="3"/>
      <c r="G18" s="2">
        <f>MATCH(B18,'Points Summary'!$B$4:$B$1144,0)</f>
        <v>215</v>
      </c>
      <c r="H18" s="117"/>
      <c r="I18" s="117"/>
    </row>
    <row r="19" spans="1:9" x14ac:dyDescent="0.25">
      <c r="A19" s="2"/>
      <c r="B19" s="62"/>
      <c r="C19" s="51"/>
      <c r="D19" s="29"/>
      <c r="E19" s="124"/>
      <c r="F19" s="3"/>
      <c r="G19" s="2"/>
      <c r="H19" s="117"/>
      <c r="I19" s="117"/>
    </row>
    <row r="20" spans="1:9" x14ac:dyDescent="0.25">
      <c r="A20" s="2"/>
      <c r="B20" s="62"/>
      <c r="C20" s="51"/>
      <c r="D20" s="29"/>
      <c r="E20" s="124"/>
      <c r="F20" s="3"/>
      <c r="G20" s="2"/>
      <c r="H20" s="117"/>
      <c r="I20" s="117"/>
    </row>
    <row r="21" spans="1:9" x14ac:dyDescent="0.25">
      <c r="A21" s="2"/>
      <c r="B21" s="62"/>
      <c r="C21" s="51"/>
      <c r="D21" s="29"/>
      <c r="E21" s="124"/>
      <c r="F21" s="3"/>
      <c r="G21" s="2"/>
      <c r="H21" s="117"/>
      <c r="I21" s="117"/>
    </row>
    <row r="22" spans="1:9" x14ac:dyDescent="0.25">
      <c r="A22" s="2"/>
      <c r="B22" s="62"/>
      <c r="C22" s="51"/>
      <c r="D22" s="29"/>
      <c r="E22" s="124"/>
      <c r="F22" s="3"/>
      <c r="G22" s="2"/>
      <c r="H22" s="117"/>
      <c r="I22" s="117"/>
    </row>
    <row r="23" spans="1:9" x14ac:dyDescent="0.25">
      <c r="A23" s="2"/>
      <c r="B23" s="62"/>
      <c r="C23" s="51"/>
      <c r="D23" s="29"/>
      <c r="E23" s="124"/>
      <c r="F23" s="3"/>
      <c r="G23" s="2"/>
      <c r="H23" s="117"/>
      <c r="I23" s="117"/>
    </row>
    <row r="24" spans="1:9" x14ac:dyDescent="0.25">
      <c r="A24" s="2"/>
      <c r="B24" s="62"/>
      <c r="C24" s="51"/>
      <c r="D24" s="29"/>
      <c r="E24" s="124"/>
      <c r="F24" s="3"/>
      <c r="G24" s="2"/>
      <c r="H24" s="117"/>
      <c r="I24" s="117"/>
    </row>
    <row r="25" spans="1:9" x14ac:dyDescent="0.25">
      <c r="A25" s="2"/>
      <c r="B25" s="62"/>
      <c r="C25" s="51"/>
      <c r="D25" s="29"/>
      <c r="E25" s="124"/>
      <c r="F25" s="3"/>
      <c r="G25" s="2"/>
    </row>
    <row r="26" spans="1:9" x14ac:dyDescent="0.25">
      <c r="A26" s="2"/>
      <c r="B26" s="62"/>
      <c r="C26" s="51"/>
      <c r="D26" s="29"/>
      <c r="E26" s="124"/>
      <c r="F26" s="3"/>
      <c r="G26" s="2"/>
    </row>
    <row r="27" spans="1:9" x14ac:dyDescent="0.25">
      <c r="A27" s="2"/>
      <c r="B27" s="62"/>
      <c r="C27" s="51"/>
      <c r="D27" s="29"/>
      <c r="E27" s="124"/>
      <c r="F27" s="3"/>
      <c r="G27" s="2"/>
    </row>
    <row r="28" spans="1:9" x14ac:dyDescent="0.25">
      <c r="A28" s="2"/>
      <c r="B28" s="62"/>
      <c r="C28" s="51"/>
      <c r="D28" s="29"/>
      <c r="E28" s="124"/>
      <c r="F28" s="3"/>
      <c r="G28" s="2"/>
    </row>
    <row r="29" spans="1:9" x14ac:dyDescent="0.25">
      <c r="A29" s="42"/>
      <c r="B29" s="3"/>
      <c r="C29" s="51"/>
      <c r="D29" s="29"/>
      <c r="E29" s="30"/>
      <c r="F29" s="3"/>
      <c r="G29" s="2"/>
    </row>
    <row r="30" spans="1:9" x14ac:dyDescent="0.25">
      <c r="A30" s="42"/>
      <c r="B30" s="3"/>
      <c r="C30" s="51"/>
      <c r="D30" s="29"/>
      <c r="E30" s="30"/>
      <c r="F30" s="3"/>
      <c r="G30" s="2"/>
    </row>
    <row r="31" spans="1:9" x14ac:dyDescent="0.25">
      <c r="A31" s="42"/>
      <c r="B31" s="3"/>
      <c r="C31" s="51"/>
      <c r="D31" s="29"/>
      <c r="E31" s="30"/>
      <c r="F31" s="3"/>
      <c r="G31" s="2"/>
    </row>
    <row r="32" spans="1:9" x14ac:dyDescent="0.25">
      <c r="A32" s="42"/>
      <c r="C32" s="51"/>
      <c r="D32" s="29"/>
      <c r="E32" s="30"/>
      <c r="F32" s="3"/>
      <c r="G32" s="2"/>
    </row>
  </sheetData>
  <sortState ref="A8:G18">
    <sortCondition descending="1" ref="D8:D18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workbookViewId="0">
      <selection activeCell="C8" sqref="C8"/>
    </sheetView>
  </sheetViews>
  <sheetFormatPr defaultRowHeight="13.2" x14ac:dyDescent="0.25"/>
  <cols>
    <col min="2" max="2" width="24.6640625" customWidth="1"/>
    <col min="3" max="3" width="9.6640625" style="42" customWidth="1"/>
    <col min="4" max="4" width="9.6640625" customWidth="1"/>
    <col min="5" max="5" width="9.6640625" style="42" customWidth="1"/>
    <col min="6" max="7" width="9.6640625" customWidth="1"/>
  </cols>
  <sheetData>
    <row r="1" spans="1:8" x14ac:dyDescent="0.25">
      <c r="A1" s="16" t="s">
        <v>22</v>
      </c>
      <c r="B1" s="17" t="s">
        <v>1072</v>
      </c>
      <c r="C1" s="133"/>
      <c r="D1" s="18"/>
      <c r="E1" s="133"/>
      <c r="F1" s="18"/>
      <c r="G1" s="19"/>
    </row>
    <row r="2" spans="1:8" x14ac:dyDescent="0.25">
      <c r="A2" s="20" t="s">
        <v>23</v>
      </c>
      <c r="B2" s="21">
        <v>43121</v>
      </c>
      <c r="C2" s="56"/>
      <c r="D2" s="22"/>
      <c r="E2" s="56"/>
      <c r="F2" s="22"/>
      <c r="G2" s="23"/>
    </row>
    <row r="3" spans="1:8" x14ac:dyDescent="0.25">
      <c r="A3" s="20" t="s">
        <v>24</v>
      </c>
      <c r="B3" s="24" t="s">
        <v>42</v>
      </c>
      <c r="C3" s="56"/>
      <c r="D3" s="22"/>
      <c r="E3" s="56"/>
      <c r="F3" s="22"/>
      <c r="G3" s="23"/>
    </row>
    <row r="4" spans="1:8" x14ac:dyDescent="0.25">
      <c r="A4" s="20" t="s">
        <v>1</v>
      </c>
      <c r="B4" s="24" t="s">
        <v>26</v>
      </c>
      <c r="C4" s="56"/>
      <c r="D4" s="22"/>
      <c r="E4" s="56"/>
      <c r="F4" s="22"/>
      <c r="G4" s="23"/>
    </row>
    <row r="5" spans="1:8" x14ac:dyDescent="0.25">
      <c r="A5" s="20" t="s">
        <v>27</v>
      </c>
      <c r="B5" s="24" t="s">
        <v>1073</v>
      </c>
      <c r="C5" s="56"/>
      <c r="D5" s="22"/>
      <c r="E5" s="56" t="s">
        <v>55</v>
      </c>
      <c r="F5" s="38">
        <f>AVERAGE(C8:C12)*(AVERAGE(D8:D12)/100)</f>
        <v>2.8090495364393144E-2</v>
      </c>
      <c r="G5" s="23"/>
    </row>
    <row r="6" spans="1:8" x14ac:dyDescent="0.25">
      <c r="A6" s="25" t="s">
        <v>29</v>
      </c>
      <c r="B6" s="26"/>
      <c r="C6" s="134"/>
      <c r="D6" s="26"/>
      <c r="E6" s="134"/>
      <c r="F6" s="26"/>
      <c r="G6" s="27"/>
    </row>
    <row r="7" spans="1:8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8" x14ac:dyDescent="0.25">
      <c r="A8" s="2">
        <v>1</v>
      </c>
      <c r="B8" s="114" t="s">
        <v>12</v>
      </c>
      <c r="C8" s="51">
        <f>TIME(1,13,52)</f>
        <v>5.1296296296296291E-2</v>
      </c>
      <c r="D8" s="29">
        <f>INDEX('Points Summary'!$E$4:$E$1143,G8)</f>
        <v>61.556524973626225</v>
      </c>
      <c r="E8" s="124">
        <f t="shared" ref="E8:E15" si="0">(AVERAGE($D$8:$D$12)/100*AVERAGE($C$8:$C$12))/C8</f>
        <v>0.54761254500983025</v>
      </c>
      <c r="F8" s="3"/>
      <c r="G8" s="2">
        <f>MATCH(B8,'Points Summary'!$B$4:$B$1144,0)</f>
        <v>292</v>
      </c>
      <c r="H8" s="117"/>
    </row>
    <row r="9" spans="1:8" x14ac:dyDescent="0.25">
      <c r="A9" s="2">
        <v>1</v>
      </c>
      <c r="B9" s="62" t="s">
        <v>398</v>
      </c>
      <c r="C9" s="51">
        <f>TIME(1,5,14.7)</f>
        <v>4.5300925925925932E-2</v>
      </c>
      <c r="D9" s="29">
        <f>INDEX('Points Summary'!$E$4:$E$1143,G9)</f>
        <v>60.636529782048591</v>
      </c>
      <c r="E9" s="124">
        <f t="shared" si="0"/>
        <v>0.62008656093090631</v>
      </c>
      <c r="F9" s="3"/>
      <c r="G9" s="2">
        <f>MATCH(B9,'Points Summary'!$B$4:$B$1144,0)</f>
        <v>119</v>
      </c>
      <c r="H9" s="117"/>
    </row>
    <row r="10" spans="1:8" x14ac:dyDescent="0.25">
      <c r="A10" s="2">
        <v>2</v>
      </c>
      <c r="B10" s="62" t="s">
        <v>108</v>
      </c>
      <c r="C10" s="51">
        <f>TIME(1,8,17.1)</f>
        <v>4.7418981481481486E-2</v>
      </c>
      <c r="D10" s="29">
        <f>INDEX('Points Summary'!$E$4:$E$1143,G10)</f>
        <v>59.774545485164211</v>
      </c>
      <c r="E10" s="124">
        <f t="shared" si="0"/>
        <v>0.59238926030841288</v>
      </c>
      <c r="F10" s="3"/>
      <c r="G10" s="2">
        <f>MATCH(B10,'Points Summary'!$B$4:$B$1144,0)</f>
        <v>48</v>
      </c>
      <c r="H10" s="117"/>
    </row>
    <row r="11" spans="1:8" x14ac:dyDescent="0.25">
      <c r="A11" s="2">
        <v>4</v>
      </c>
      <c r="B11" s="62" t="s">
        <v>662</v>
      </c>
      <c r="C11" s="51">
        <f>TIME(1,24,31.5)</f>
        <v>5.8692129629629629E-2</v>
      </c>
      <c r="D11" s="29">
        <f>INDEX('Points Summary'!$E$4:$E$1143,G11)</f>
        <v>47.416718777744791</v>
      </c>
      <c r="E11" s="124">
        <f t="shared" si="0"/>
        <v>0.47860753292912006</v>
      </c>
      <c r="F11" s="3"/>
      <c r="G11" s="2">
        <f>MATCH(B11,'Points Summary'!$B$4:$B$1144,0)</f>
        <v>105</v>
      </c>
      <c r="H11" s="117"/>
    </row>
    <row r="12" spans="1:8" x14ac:dyDescent="0.25">
      <c r="A12" s="2">
        <v>3</v>
      </c>
      <c r="B12" s="62" t="s">
        <v>46</v>
      </c>
      <c r="C12" s="51">
        <f>TIME(1,14,8.5)</f>
        <v>5.1481481481481482E-2</v>
      </c>
      <c r="D12" s="29">
        <f>INDEX('Points Summary'!$E$4:$E$1143,G12)</f>
        <v>46.890473746597834</v>
      </c>
      <c r="E12" s="124">
        <f t="shared" si="0"/>
        <v>0.54564271571123368</v>
      </c>
      <c r="F12" s="3"/>
      <c r="G12" s="2">
        <f>MATCH(B12,'Points Summary'!$B$4:$B$1144,0)</f>
        <v>175</v>
      </c>
      <c r="H12" s="117"/>
    </row>
    <row r="13" spans="1:8" x14ac:dyDescent="0.25">
      <c r="A13" s="2">
        <v>2</v>
      </c>
      <c r="B13" s="62" t="s">
        <v>731</v>
      </c>
      <c r="C13" s="51">
        <f>TIME(1,23,11.3)</f>
        <v>5.7766203703703702E-2</v>
      </c>
      <c r="D13" s="29">
        <f>INDEX('Points Summary'!$E$4:$E$1143,G13)</f>
        <v>45.896656893682632</v>
      </c>
      <c r="E13" s="124">
        <f t="shared" si="0"/>
        <v>0.48627906220868922</v>
      </c>
      <c r="F13" s="3"/>
      <c r="G13" s="2">
        <f>MATCH(B13,'Points Summary'!$B$4:$B$1144,0)</f>
        <v>273</v>
      </c>
      <c r="H13" s="117"/>
    </row>
    <row r="14" spans="1:8" x14ac:dyDescent="0.25">
      <c r="A14" s="2">
        <v>3</v>
      </c>
      <c r="B14" s="62" t="s">
        <v>110</v>
      </c>
      <c r="C14" s="51">
        <f>TIME(1,32,58.5)</f>
        <v>6.4560185185185193E-2</v>
      </c>
      <c r="D14" s="29">
        <f>INDEX('Points Summary'!$E$4:$E$1143,G14)</f>
        <v>45.826273858324868</v>
      </c>
      <c r="E14" s="124">
        <f t="shared" si="0"/>
        <v>0.43510555745492424</v>
      </c>
      <c r="F14" s="3"/>
      <c r="G14" s="2">
        <f>MATCH(B14,'Points Summary'!$B$4:$B$1144,0)</f>
        <v>385</v>
      </c>
    </row>
    <row r="15" spans="1:8" x14ac:dyDescent="0.25">
      <c r="A15" s="2">
        <v>1</v>
      </c>
      <c r="B15" s="62" t="s">
        <v>811</v>
      </c>
      <c r="C15" s="51">
        <f>TIME(1,23,11.3)</f>
        <v>5.7766203703703702E-2</v>
      </c>
      <c r="D15" s="29" t="e">
        <f>INDEX('Points Summary'!$E$4:$E$1143,G15)</f>
        <v>#N/A</v>
      </c>
      <c r="E15" s="124">
        <f t="shared" si="0"/>
        <v>0.48627906220868922</v>
      </c>
      <c r="F15" s="3"/>
      <c r="G15" s="2" t="e">
        <f>MATCH(B15,'Points Summary'!$B$4:$B$1144,0)</f>
        <v>#N/A</v>
      </c>
    </row>
    <row r="16" spans="1:8" x14ac:dyDescent="0.25">
      <c r="A16" s="2"/>
      <c r="B16" s="62"/>
      <c r="C16" s="51"/>
      <c r="D16" s="29"/>
      <c r="E16" s="124"/>
      <c r="F16" s="3"/>
      <c r="G16" s="2"/>
    </row>
    <row r="17" spans="1:7" x14ac:dyDescent="0.25">
      <c r="A17" s="2"/>
      <c r="B17" s="62"/>
      <c r="C17" s="51"/>
      <c r="D17" s="29"/>
      <c r="E17" s="124"/>
      <c r="F17" s="3"/>
      <c r="G17" s="2"/>
    </row>
    <row r="18" spans="1:7" x14ac:dyDescent="0.25">
      <c r="A18" s="2"/>
      <c r="B18" s="62"/>
      <c r="C18" s="51"/>
      <c r="D18" s="29"/>
      <c r="E18" s="124"/>
      <c r="F18" s="3"/>
      <c r="G18" s="2"/>
    </row>
    <row r="19" spans="1:7" x14ac:dyDescent="0.25">
      <c r="A19" s="2"/>
      <c r="B19" s="3"/>
      <c r="C19" s="51"/>
      <c r="D19" s="29"/>
      <c r="E19" s="124"/>
      <c r="F19" s="3"/>
      <c r="G19" s="2"/>
    </row>
    <row r="20" spans="1:7" x14ac:dyDescent="0.25">
      <c r="A20" s="2"/>
      <c r="B20" s="22"/>
      <c r="C20" s="51"/>
      <c r="D20" s="29"/>
      <c r="E20" s="124"/>
      <c r="F20" s="3"/>
      <c r="G20" s="2"/>
    </row>
    <row r="21" spans="1:7" x14ac:dyDescent="0.25">
      <c r="A21" s="2"/>
      <c r="B21" s="3"/>
      <c r="C21" s="51"/>
      <c r="D21" s="29"/>
      <c r="E21" s="124"/>
      <c r="F21" s="3"/>
      <c r="G21" s="2"/>
    </row>
    <row r="22" spans="1:7" x14ac:dyDescent="0.25">
      <c r="A22" s="2"/>
      <c r="B22" s="3"/>
      <c r="C22" s="51"/>
      <c r="D22" s="29"/>
      <c r="E22" s="124"/>
      <c r="F22" s="3"/>
      <c r="G22" s="2"/>
    </row>
    <row r="23" spans="1:7" x14ac:dyDescent="0.25">
      <c r="A23" s="2"/>
      <c r="B23" s="3"/>
      <c r="C23" s="51"/>
      <c r="D23" s="29"/>
      <c r="E23" s="124"/>
      <c r="F23" s="3"/>
      <c r="G23" s="2"/>
    </row>
    <row r="24" spans="1:7" x14ac:dyDescent="0.25">
      <c r="A24" s="2"/>
      <c r="B24" s="3"/>
      <c r="C24" s="51"/>
      <c r="D24" s="29"/>
      <c r="E24" s="124"/>
      <c r="F24" s="3" t="s">
        <v>29</v>
      </c>
      <c r="G24" s="2"/>
    </row>
    <row r="25" spans="1:7" x14ac:dyDescent="0.25">
      <c r="A25" s="2"/>
      <c r="B25" s="3"/>
      <c r="C25" s="51"/>
      <c r="D25" s="29"/>
      <c r="E25" s="124"/>
      <c r="F25" s="3"/>
      <c r="G25" s="2"/>
    </row>
    <row r="26" spans="1:7" x14ac:dyDescent="0.25">
      <c r="A26" s="2"/>
      <c r="B26" s="3"/>
      <c r="C26" s="51"/>
      <c r="D26" s="29"/>
      <c r="E26" s="124"/>
      <c r="F26" s="3"/>
      <c r="G26" s="2"/>
    </row>
    <row r="27" spans="1:7" x14ac:dyDescent="0.25">
      <c r="A27" s="2"/>
      <c r="B27" s="3"/>
      <c r="C27" s="51"/>
      <c r="D27" s="29"/>
      <c r="E27" s="124"/>
      <c r="F27" s="3"/>
      <c r="G27" s="2"/>
    </row>
    <row r="28" spans="1:7" x14ac:dyDescent="0.25">
      <c r="A28" s="2"/>
      <c r="B28" s="3"/>
      <c r="C28" s="51"/>
      <c r="D28" s="29"/>
      <c r="E28" s="124"/>
      <c r="F28" s="3"/>
      <c r="G28" s="2"/>
    </row>
    <row r="29" spans="1:7" x14ac:dyDescent="0.25">
      <c r="A29" s="2"/>
      <c r="B29" s="3"/>
      <c r="C29" s="51"/>
      <c r="D29" s="29"/>
      <c r="E29" s="124"/>
      <c r="F29" s="3"/>
      <c r="G29" s="2"/>
    </row>
    <row r="30" spans="1:7" x14ac:dyDescent="0.25">
      <c r="A30" s="42"/>
      <c r="B30" s="3"/>
      <c r="C30" s="51"/>
      <c r="D30" s="29"/>
      <c r="E30" s="124"/>
      <c r="F30" s="3"/>
      <c r="G30" s="2"/>
    </row>
    <row r="31" spans="1:7" x14ac:dyDescent="0.25">
      <c r="A31" s="42"/>
      <c r="B31" s="3"/>
      <c r="C31" s="51"/>
      <c r="D31" s="29"/>
      <c r="E31" s="124"/>
      <c r="F31" s="3"/>
      <c r="G31" s="2"/>
    </row>
    <row r="32" spans="1:7" x14ac:dyDescent="0.25">
      <c r="A32" s="42"/>
      <c r="B32" s="3"/>
      <c r="C32" s="51"/>
      <c r="D32" s="29"/>
      <c r="E32" s="124"/>
      <c r="F32" s="3"/>
      <c r="G32" s="2"/>
    </row>
    <row r="33" spans="1:7" x14ac:dyDescent="0.25">
      <c r="A33" s="42"/>
      <c r="B33" s="3"/>
      <c r="C33" s="51"/>
      <c r="D33" s="29"/>
      <c r="E33" s="124"/>
      <c r="F33" s="3"/>
      <c r="G33" s="2"/>
    </row>
    <row r="34" spans="1:7" x14ac:dyDescent="0.25">
      <c r="A34" s="42"/>
      <c r="B34" s="3"/>
      <c r="C34" s="51"/>
      <c r="D34" s="29"/>
      <c r="E34" s="124"/>
      <c r="F34" s="3"/>
      <c r="G34" s="2"/>
    </row>
    <row r="35" spans="1:7" x14ac:dyDescent="0.25">
      <c r="A35" s="42"/>
      <c r="B35" s="3"/>
      <c r="C35" s="51"/>
      <c r="D35" s="29"/>
      <c r="E35" s="124"/>
      <c r="F35" s="3"/>
      <c r="G35" s="2"/>
    </row>
    <row r="36" spans="1:7" x14ac:dyDescent="0.25">
      <c r="A36" s="42"/>
      <c r="B36" s="3"/>
      <c r="C36" s="51"/>
      <c r="D36" s="29"/>
      <c r="E36" s="124"/>
      <c r="F36" s="3"/>
      <c r="G36" s="2"/>
    </row>
    <row r="37" spans="1:7" x14ac:dyDescent="0.25">
      <c r="A37" s="42"/>
      <c r="B37" s="3"/>
      <c r="C37" s="51"/>
      <c r="D37" s="29"/>
      <c r="E37" s="124"/>
      <c r="F37" s="3"/>
      <c r="G37" s="2"/>
    </row>
    <row r="38" spans="1:7" x14ac:dyDescent="0.25">
      <c r="A38" s="42"/>
      <c r="B38" s="3"/>
      <c r="C38" s="51"/>
      <c r="D38" s="29"/>
      <c r="E38" s="124"/>
      <c r="F38" s="3"/>
      <c r="G38" s="2"/>
    </row>
    <row r="39" spans="1:7" x14ac:dyDescent="0.25">
      <c r="A39" s="42"/>
      <c r="B39" s="3"/>
      <c r="C39" s="51"/>
      <c r="D39" s="29"/>
      <c r="E39" s="124"/>
      <c r="F39" s="3"/>
      <c r="G39" s="2"/>
    </row>
    <row r="40" spans="1:7" x14ac:dyDescent="0.25">
      <c r="A40" s="42"/>
      <c r="B40" s="3"/>
      <c r="C40" s="51"/>
      <c r="D40" s="29"/>
      <c r="E40" s="124"/>
      <c r="F40" s="3"/>
      <c r="G40" s="2"/>
    </row>
    <row r="41" spans="1:7" x14ac:dyDescent="0.25">
      <c r="A41" s="42"/>
      <c r="B41" s="3"/>
      <c r="C41" s="51"/>
      <c r="D41" s="29"/>
      <c r="E41" s="124"/>
      <c r="F41" s="3"/>
      <c r="G41" s="2"/>
    </row>
    <row r="42" spans="1:7" x14ac:dyDescent="0.25">
      <c r="A42" s="42"/>
      <c r="B42" s="3"/>
      <c r="C42" s="51"/>
      <c r="D42" s="29"/>
      <c r="E42" s="124"/>
      <c r="F42" s="3"/>
      <c r="G42" s="2"/>
    </row>
    <row r="43" spans="1:7" x14ac:dyDescent="0.25">
      <c r="A43" s="42"/>
      <c r="B43" s="3"/>
      <c r="C43" s="51"/>
      <c r="D43" s="29"/>
      <c r="E43" s="124"/>
      <c r="F43" s="3"/>
      <c r="G43" s="2"/>
    </row>
    <row r="44" spans="1:7" x14ac:dyDescent="0.25">
      <c r="A44" s="42"/>
      <c r="B44" s="3"/>
      <c r="C44" s="51"/>
      <c r="D44" s="29"/>
      <c r="E44" s="124"/>
      <c r="F44" s="3"/>
      <c r="G44" s="2"/>
    </row>
    <row r="45" spans="1:7" x14ac:dyDescent="0.25">
      <c r="A45" s="42"/>
      <c r="B45" s="3"/>
      <c r="C45" s="51"/>
      <c r="D45" s="29"/>
      <c r="E45" s="124"/>
      <c r="F45" s="3"/>
      <c r="G45" s="2"/>
    </row>
    <row r="46" spans="1:7" x14ac:dyDescent="0.25">
      <c r="A46" s="42"/>
      <c r="B46" s="3"/>
      <c r="C46" s="51"/>
      <c r="D46" s="29"/>
      <c r="E46" s="124"/>
      <c r="F46" s="3"/>
      <c r="G46" s="2"/>
    </row>
    <row r="47" spans="1:7" x14ac:dyDescent="0.25">
      <c r="A47" s="42"/>
      <c r="B47" s="3"/>
      <c r="C47" s="51"/>
      <c r="D47" s="29"/>
      <c r="E47" s="124"/>
      <c r="F47" s="3"/>
      <c r="G47" s="2"/>
    </row>
    <row r="48" spans="1:7" x14ac:dyDescent="0.25">
      <c r="A48" s="42"/>
      <c r="B48" s="3"/>
      <c r="C48" s="51"/>
      <c r="D48" s="29"/>
      <c r="E48" s="124"/>
      <c r="F48" s="3"/>
      <c r="G48" s="2"/>
    </row>
  </sheetData>
  <sortState ref="A8:E15">
    <sortCondition descending="1" ref="D8:D15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topLeftCell="A10" workbookViewId="0">
      <selection activeCell="B37" sqref="B37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9" x14ac:dyDescent="0.25">
      <c r="A1" s="16" t="s">
        <v>22</v>
      </c>
      <c r="B1" s="17" t="s">
        <v>1074</v>
      </c>
      <c r="C1" s="18"/>
      <c r="D1" s="18"/>
      <c r="E1" s="18"/>
      <c r="F1" s="18"/>
      <c r="G1" s="19"/>
    </row>
    <row r="2" spans="1:9" x14ac:dyDescent="0.25">
      <c r="A2" s="20" t="s">
        <v>23</v>
      </c>
      <c r="B2" s="21">
        <v>43114</v>
      </c>
      <c r="C2" s="22"/>
      <c r="D2" s="22"/>
      <c r="E2" s="22"/>
      <c r="F2" s="22"/>
      <c r="G2" s="23"/>
    </row>
    <row r="3" spans="1:9" x14ac:dyDescent="0.25">
      <c r="A3" s="20" t="s">
        <v>24</v>
      </c>
      <c r="B3" s="24" t="s">
        <v>421</v>
      </c>
      <c r="C3" s="22"/>
      <c r="D3" s="22"/>
      <c r="E3" s="22"/>
      <c r="F3" s="22"/>
      <c r="G3" s="23"/>
    </row>
    <row r="4" spans="1:9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9" x14ac:dyDescent="0.25">
      <c r="A5" s="20" t="s">
        <v>27</v>
      </c>
      <c r="B5" s="24" t="s">
        <v>1076</v>
      </c>
      <c r="C5" s="22"/>
      <c r="D5" s="22"/>
      <c r="E5" s="22" t="s">
        <v>55</v>
      </c>
      <c r="F5" s="38">
        <f>AVERAGE(C8:C12)*(AVERAGE(D8:D12)/100)</f>
        <v>2.4125764160400728E-2</v>
      </c>
      <c r="G5" s="23"/>
    </row>
    <row r="6" spans="1:9" x14ac:dyDescent="0.25">
      <c r="A6" s="25" t="s">
        <v>29</v>
      </c>
      <c r="B6" s="26"/>
      <c r="C6" s="26"/>
      <c r="D6" s="26"/>
      <c r="E6" s="26"/>
      <c r="F6" s="26"/>
      <c r="G6" s="27"/>
    </row>
    <row r="7" spans="1:9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9" x14ac:dyDescent="0.25">
      <c r="A8" s="2">
        <v>1</v>
      </c>
      <c r="B8" s="3" t="s">
        <v>165</v>
      </c>
      <c r="C8" s="51">
        <v>3.318287037037037E-2</v>
      </c>
      <c r="D8" s="29">
        <f>INDEX('Points Summary'!$E$4:$E$1143,G8)</f>
        <v>75.432601758267779</v>
      </c>
      <c r="E8" s="124">
        <f t="shared" ref="E8:E15" si="0">(AVERAGE($D$8:$D$12)/100*AVERAGE($C$8:$C$12))/C8</f>
        <v>0.72705476925658286</v>
      </c>
      <c r="F8" s="3"/>
      <c r="G8" s="2">
        <f>MATCH(B8,'Points Summary'!$B$4:$B$1144,0)</f>
        <v>367</v>
      </c>
      <c r="H8" s="117"/>
      <c r="I8" s="117"/>
    </row>
    <row r="9" spans="1:9" x14ac:dyDescent="0.25">
      <c r="A9" s="2">
        <v>5</v>
      </c>
      <c r="B9" s="3" t="s">
        <v>8</v>
      </c>
      <c r="C9" s="51">
        <v>3.5937500000000004E-2</v>
      </c>
      <c r="D9" s="29">
        <f>INDEX('Points Summary'!$E$4:$E$1143,G9)</f>
        <v>73.880564814842387</v>
      </c>
      <c r="E9" s="124">
        <f t="shared" si="0"/>
        <v>0.67132561141984626</v>
      </c>
      <c r="F9" s="3"/>
      <c r="G9" s="2">
        <f>MATCH(B9,'Points Summary'!$B$4:$B$1144,0)</f>
        <v>89</v>
      </c>
      <c r="H9" s="117"/>
      <c r="I9" s="117"/>
    </row>
    <row r="10" spans="1:9" x14ac:dyDescent="0.25">
      <c r="A10" s="2">
        <v>2</v>
      </c>
      <c r="B10" s="3" t="s">
        <v>71</v>
      </c>
      <c r="C10" s="51">
        <v>3.4374999999999996E-2</v>
      </c>
      <c r="D10" s="29">
        <f>INDEX('Points Summary'!$E$4:$E$1143,G10)</f>
        <v>69.344626471468658</v>
      </c>
      <c r="E10" s="124">
        <f t="shared" si="0"/>
        <v>0.70184041193893032</v>
      </c>
      <c r="F10" s="3"/>
      <c r="G10" s="2">
        <f>MATCH(B10,'Points Summary'!$B$4:$B$1144,0)</f>
        <v>431</v>
      </c>
      <c r="H10" s="117"/>
      <c r="I10" s="117"/>
    </row>
    <row r="11" spans="1:9" x14ac:dyDescent="0.25">
      <c r="A11" s="2">
        <v>1</v>
      </c>
      <c r="B11" s="50" t="s">
        <v>164</v>
      </c>
      <c r="C11" s="51">
        <v>3.1226851851851853E-2</v>
      </c>
      <c r="D11" s="29">
        <f>INDEX('Points Summary'!$E$4:$E$1143,G11)</f>
        <v>67.672507412190882</v>
      </c>
      <c r="E11" s="124">
        <f t="shared" si="0"/>
        <v>0.77259674701950443</v>
      </c>
      <c r="F11" s="3"/>
      <c r="G11" s="2">
        <f>MATCH(B11,'Points Summary'!$B$4:$B$1144,0)</f>
        <v>314</v>
      </c>
      <c r="H11" s="117"/>
      <c r="I11" s="117"/>
    </row>
    <row r="12" spans="1:9" x14ac:dyDescent="0.25">
      <c r="A12" s="2">
        <v>4</v>
      </c>
      <c r="B12" s="50" t="s">
        <v>715</v>
      </c>
      <c r="C12" s="51">
        <v>3.5798611111111107E-2</v>
      </c>
      <c r="D12" s="29">
        <f>INDEX('Points Summary'!$E$4:$E$1143,G12)</f>
        <v>67.376687844768071</v>
      </c>
      <c r="E12" s="124">
        <f t="shared" si="0"/>
        <v>0.67393017247288167</v>
      </c>
      <c r="F12" s="3"/>
      <c r="G12" s="2">
        <f>MATCH(B12,'Points Summary'!$B$4:$B$1144,0)</f>
        <v>236</v>
      </c>
      <c r="H12" s="117"/>
      <c r="I12" s="117"/>
    </row>
    <row r="13" spans="1:9" x14ac:dyDescent="0.25">
      <c r="A13" s="2">
        <v>6</v>
      </c>
      <c r="B13" s="3" t="s">
        <v>760</v>
      </c>
      <c r="C13" s="51">
        <v>3.5995370370370372E-2</v>
      </c>
      <c r="D13" s="29">
        <f>INDEX('Points Summary'!$E$4:$E$1143,G13)</f>
        <v>67.2926081091029</v>
      </c>
      <c r="E13" s="124">
        <f t="shared" si="0"/>
        <v>0.67024630979376942</v>
      </c>
      <c r="F13" s="3"/>
      <c r="G13" s="2">
        <f>MATCH(B13,'Points Summary'!$B$4:$B$1144,0)</f>
        <v>337</v>
      </c>
      <c r="H13" s="117"/>
      <c r="I13" s="117"/>
    </row>
    <row r="14" spans="1:9" x14ac:dyDescent="0.25">
      <c r="A14" s="2">
        <v>8</v>
      </c>
      <c r="B14" s="3" t="s">
        <v>768</v>
      </c>
      <c r="C14" s="51">
        <v>3.7291666666666667E-2</v>
      </c>
      <c r="D14" s="29">
        <f>INDEX('Points Summary'!$E$4:$E$1143,G14)</f>
        <v>66.87248684387076</v>
      </c>
      <c r="E14" s="124">
        <f t="shared" si="0"/>
        <v>0.64694786575376251</v>
      </c>
      <c r="F14" s="3"/>
      <c r="G14" s="2">
        <f>MATCH(B14,'Points Summary'!$B$4:$B$1144,0)</f>
        <v>202</v>
      </c>
      <c r="H14" s="117"/>
      <c r="I14" s="117"/>
    </row>
    <row r="15" spans="1:9" x14ac:dyDescent="0.25">
      <c r="A15" s="2">
        <v>3</v>
      </c>
      <c r="B15" s="3" t="s">
        <v>106</v>
      </c>
      <c r="C15" s="51">
        <v>3.560185185185185E-2</v>
      </c>
      <c r="D15" s="29">
        <f>INDEX('Points Summary'!$E$4:$E$1143,G15)</f>
        <v>66.743668731500662</v>
      </c>
      <c r="E15" s="124">
        <f t="shared" si="0"/>
        <v>0.67765475405026754</v>
      </c>
      <c r="F15" s="3"/>
      <c r="G15" s="2">
        <f>MATCH(B15,'Points Summary'!$B$4:$B$1144,0)</f>
        <v>45</v>
      </c>
      <c r="H15" s="117"/>
      <c r="I15" s="117"/>
    </row>
    <row r="16" spans="1:9" x14ac:dyDescent="0.25">
      <c r="A16" s="2">
        <v>10</v>
      </c>
      <c r="B16" s="3" t="s">
        <v>114</v>
      </c>
      <c r="C16" s="51">
        <v>4.0370370370370369E-2</v>
      </c>
      <c r="D16" s="29">
        <f>INDEX('Points Summary'!$E$4:$E$1143,G16)</f>
        <v>63.748424264420898</v>
      </c>
      <c r="E16" s="124">
        <f t="shared" ref="E16:E31" si="1">(AVERAGE($D$8:$D$12)/100*AVERAGE($C$8:$C$12))/C16</f>
        <v>0.59761067186313732</v>
      </c>
      <c r="F16" s="3"/>
      <c r="G16" s="2">
        <f>MATCH(B16,'Points Summary'!$B$4:$B$1144,0)</f>
        <v>186</v>
      </c>
      <c r="H16" s="117"/>
      <c r="I16" s="117"/>
    </row>
    <row r="17" spans="1:9" x14ac:dyDescent="0.25">
      <c r="A17" s="2">
        <v>9</v>
      </c>
      <c r="B17" s="3" t="s">
        <v>664</v>
      </c>
      <c r="C17" s="51">
        <v>3.8807870370370375E-2</v>
      </c>
      <c r="D17" s="29">
        <f>INDEX('Points Summary'!$E$4:$E$1143,G17)</f>
        <v>60.9207907589808</v>
      </c>
      <c r="E17" s="124">
        <f t="shared" si="1"/>
        <v>0.62167194257638614</v>
      </c>
      <c r="F17" s="3"/>
      <c r="G17" s="2">
        <f>MATCH(B17,'Points Summary'!$B$4:$B$1144,0)</f>
        <v>264</v>
      </c>
      <c r="H17" s="117"/>
      <c r="I17" s="117"/>
    </row>
    <row r="18" spans="1:9" x14ac:dyDescent="0.25">
      <c r="A18" s="2">
        <v>2</v>
      </c>
      <c r="B18" s="3" t="s">
        <v>802</v>
      </c>
      <c r="C18" s="51">
        <v>3.4756944444444444E-2</v>
      </c>
      <c r="D18" s="29">
        <f>INDEX('Points Summary'!$E$4:$E$1143,G18)</f>
        <v>58.89129381208145</v>
      </c>
      <c r="E18" s="124">
        <f t="shared" si="1"/>
        <v>0.69412787993960134</v>
      </c>
      <c r="F18" s="3"/>
      <c r="G18" s="2">
        <f>MATCH(B18,'Points Summary'!$B$4:$B$1144,0)</f>
        <v>196</v>
      </c>
      <c r="H18" s="117"/>
      <c r="I18" s="117"/>
    </row>
    <row r="19" spans="1:9" x14ac:dyDescent="0.25">
      <c r="A19" s="2">
        <v>4</v>
      </c>
      <c r="B19" s="3" t="s">
        <v>709</v>
      </c>
      <c r="C19" s="51">
        <v>4.370370370370371E-2</v>
      </c>
      <c r="D19" s="29">
        <f>INDEX('Points Summary'!$E$4:$E$1143,G19)</f>
        <v>57.385103389992111</v>
      </c>
      <c r="E19" s="124">
        <f t="shared" si="1"/>
        <v>0.55203019689052502</v>
      </c>
      <c r="F19" s="3"/>
      <c r="G19" s="2">
        <f>MATCH(B19,'Points Summary'!$B$4:$B$1144,0)</f>
        <v>230</v>
      </c>
      <c r="H19" s="117"/>
      <c r="I19" s="117"/>
    </row>
    <row r="20" spans="1:9" x14ac:dyDescent="0.25">
      <c r="A20" s="2">
        <v>1</v>
      </c>
      <c r="B20" s="3" t="s">
        <v>770</v>
      </c>
      <c r="C20" s="51">
        <v>4.027777777777778E-2</v>
      </c>
      <c r="D20" s="29">
        <f>INDEX('Points Summary'!$E$4:$E$1143,G20)</f>
        <v>56.854090021592278</v>
      </c>
      <c r="E20" s="124">
        <f t="shared" si="1"/>
        <v>0.59898448949960426</v>
      </c>
      <c r="F20" s="3"/>
      <c r="G20" s="2">
        <f>MATCH(B20,'Points Summary'!$B$4:$B$1144,0)</f>
        <v>383</v>
      </c>
      <c r="H20" s="117"/>
      <c r="I20" s="117"/>
    </row>
    <row r="21" spans="1:9" x14ac:dyDescent="0.25">
      <c r="A21" s="2">
        <v>12</v>
      </c>
      <c r="B21" t="s">
        <v>804</v>
      </c>
      <c r="C21" s="51">
        <v>4.6550925925925919E-2</v>
      </c>
      <c r="D21" s="29">
        <f>INDEX('Points Summary'!$E$4:$E$1143,G21)</f>
        <v>53.321556703368351</v>
      </c>
      <c r="E21" s="124">
        <f t="shared" si="1"/>
        <v>0.51826604263018972</v>
      </c>
      <c r="F21" s="3"/>
      <c r="G21" s="2">
        <f>MATCH(B21,'Points Summary'!$B$4:$B$1144,0)</f>
        <v>122</v>
      </c>
      <c r="H21" s="117"/>
      <c r="I21" s="117"/>
    </row>
    <row r="22" spans="1:9" x14ac:dyDescent="0.25">
      <c r="A22" s="2">
        <v>11</v>
      </c>
      <c r="B22" s="3" t="s">
        <v>797</v>
      </c>
      <c r="C22" s="51">
        <v>4.4537037037037042E-2</v>
      </c>
      <c r="D22" s="29">
        <f>INDEX('Points Summary'!$E$4:$E$1143,G22)</f>
        <v>51.877823989586943</v>
      </c>
      <c r="E22" s="124">
        <f t="shared" si="1"/>
        <v>0.54170114954745907</v>
      </c>
      <c r="F22" s="3"/>
      <c r="G22" s="2">
        <f>MATCH(B22,'Points Summary'!$B$4:$B$1144,0)</f>
        <v>181</v>
      </c>
      <c r="H22" s="117"/>
      <c r="I22" s="117"/>
    </row>
    <row r="23" spans="1:9" x14ac:dyDescent="0.25">
      <c r="A23" s="2">
        <v>3</v>
      </c>
      <c r="B23" s="3" t="s">
        <v>782</v>
      </c>
      <c r="C23" s="51">
        <v>4.1956018518518517E-2</v>
      </c>
      <c r="D23" s="29">
        <f>INDEX('Points Summary'!$E$4:$E$1143,G23)</f>
        <v>41.547446699333868</v>
      </c>
      <c r="E23" s="124">
        <f t="shared" si="1"/>
        <v>0.57502510991962008</v>
      </c>
      <c r="F23" s="3"/>
      <c r="G23" s="2">
        <f>MATCH(B23,'Points Summary'!$B$4:$B$1144,0)</f>
        <v>56</v>
      </c>
      <c r="H23" s="117"/>
      <c r="I23" s="117"/>
    </row>
    <row r="24" spans="1:9" x14ac:dyDescent="0.25">
      <c r="A24" s="2">
        <v>15</v>
      </c>
      <c r="B24" t="s">
        <v>771</v>
      </c>
      <c r="C24" s="51">
        <v>5.4930555555555559E-2</v>
      </c>
      <c r="D24" s="29">
        <f>INDEX('Points Summary'!$E$4:$E$1143,G24)</f>
        <v>40.260450989066918</v>
      </c>
      <c r="E24" s="124">
        <f t="shared" si="1"/>
        <v>0.43920480898833181</v>
      </c>
      <c r="F24" s="3"/>
      <c r="G24" s="2">
        <f>MATCH(B24,'Points Summary'!$B$4:$B$1144,0)</f>
        <v>344</v>
      </c>
      <c r="H24" s="117"/>
      <c r="I24" s="117"/>
    </row>
    <row r="25" spans="1:9" x14ac:dyDescent="0.25">
      <c r="A25" s="2">
        <v>14</v>
      </c>
      <c r="B25" t="s">
        <v>903</v>
      </c>
      <c r="C25" s="51">
        <v>5.4664351851851846E-2</v>
      </c>
      <c r="D25" s="29">
        <f>INDEX('Points Summary'!$E$4:$E$1143,G25)</f>
        <v>37.334250691874701</v>
      </c>
      <c r="E25" s="124">
        <f t="shared" si="1"/>
        <v>0.44134364248541674</v>
      </c>
      <c r="F25" s="3"/>
      <c r="G25" s="2">
        <f>MATCH(B25,'Points Summary'!$B$4:$B$1144,0)</f>
        <v>61</v>
      </c>
      <c r="H25" s="117"/>
      <c r="I25" s="117"/>
    </row>
    <row r="26" spans="1:9" x14ac:dyDescent="0.25">
      <c r="A26" s="2">
        <v>2</v>
      </c>
      <c r="B26" s="3" t="s">
        <v>810</v>
      </c>
      <c r="C26" s="51">
        <v>6.3715277777777787E-2</v>
      </c>
      <c r="D26" s="29">
        <f>INDEX('Points Summary'!$E$4:$E$1143,G26)</f>
        <v>36.274265135592508</v>
      </c>
      <c r="E26" s="124">
        <f t="shared" si="1"/>
        <v>0.37864959554198413</v>
      </c>
      <c r="F26" s="3"/>
      <c r="G26" s="2">
        <f>MATCH(B26,'Points Summary'!$B$4:$B$1144,0)</f>
        <v>150</v>
      </c>
    </row>
    <row r="27" spans="1:9" x14ac:dyDescent="0.25">
      <c r="A27" s="2">
        <v>17</v>
      </c>
      <c r="B27" t="s">
        <v>801</v>
      </c>
      <c r="C27" s="51">
        <v>6.3715277777777787E-2</v>
      </c>
      <c r="D27" s="29">
        <f>INDEX('Points Summary'!$E$4:$E$1143,G27)</f>
        <v>32.342782710051459</v>
      </c>
      <c r="E27" s="124">
        <f t="shared" si="1"/>
        <v>0.37864959554198413</v>
      </c>
      <c r="F27" s="3"/>
      <c r="G27" s="2">
        <f>MATCH(B27,'Points Summary'!$B$4:$B$1144,0)</f>
        <v>34</v>
      </c>
    </row>
    <row r="28" spans="1:9" x14ac:dyDescent="0.25">
      <c r="A28" s="2">
        <v>16</v>
      </c>
      <c r="B28" t="s">
        <v>904</v>
      </c>
      <c r="C28" s="51">
        <v>6.3136574074074081E-2</v>
      </c>
      <c r="D28" s="29">
        <f>INDEX('Points Summary'!$E$4:$E$1143,G28)</f>
        <v>25.061784301215965</v>
      </c>
      <c r="E28" s="124">
        <f t="shared" si="1"/>
        <v>0.3821202609456687</v>
      </c>
      <c r="F28" s="3"/>
      <c r="G28" s="2">
        <f>MATCH(B28,'Points Summary'!$B$4:$B$1144,0)</f>
        <v>364</v>
      </c>
    </row>
    <row r="29" spans="1:9" x14ac:dyDescent="0.25">
      <c r="A29" s="2">
        <v>2</v>
      </c>
      <c r="B29" s="3" t="s">
        <v>1075</v>
      </c>
      <c r="C29" s="51">
        <v>4.0798611111111112E-2</v>
      </c>
      <c r="D29" s="29">
        <f>INDEX('Points Summary'!$E$4:$E$1143,G29)</f>
        <v>0</v>
      </c>
      <c r="E29" s="124">
        <f t="shared" si="1"/>
        <v>0.59133787899535406</v>
      </c>
      <c r="F29" s="3"/>
      <c r="G29" s="2">
        <f>MATCH(B29,'Points Summary'!$B$4:$B$1144,0)</f>
        <v>94</v>
      </c>
    </row>
    <row r="30" spans="1:9" x14ac:dyDescent="0.25">
      <c r="A30" s="2">
        <v>7</v>
      </c>
      <c r="B30" s="3" t="s">
        <v>1064</v>
      </c>
      <c r="C30" s="51">
        <v>3.6805555555555557E-2</v>
      </c>
      <c r="D30" s="29">
        <f>INDEX('Points Summary'!$E$4:$E$1143,G30)</f>
        <v>0</v>
      </c>
      <c r="E30" s="124">
        <f t="shared" si="1"/>
        <v>0.65549246020711416</v>
      </c>
      <c r="F30" s="3"/>
      <c r="G30" s="2">
        <f>MATCH(B30,'Points Summary'!$B$4:$B$1144,0)</f>
        <v>232</v>
      </c>
    </row>
    <row r="31" spans="1:9" x14ac:dyDescent="0.25">
      <c r="A31" s="2">
        <v>13</v>
      </c>
      <c r="B31" t="s">
        <v>1067</v>
      </c>
      <c r="C31" s="51">
        <v>4.8379629629629627E-2</v>
      </c>
      <c r="D31" s="29">
        <f>INDEX('Points Summary'!$E$4:$E$1143,G31)</f>
        <v>0</v>
      </c>
      <c r="E31" s="124">
        <f t="shared" si="1"/>
        <v>0.49867608216713472</v>
      </c>
      <c r="F31" s="3"/>
      <c r="G31" s="2">
        <f>MATCH(B31,'Points Summary'!$B$4:$B$1144,0)</f>
        <v>419</v>
      </c>
    </row>
  </sheetData>
  <sortState ref="A8:G32">
    <sortCondition descending="1" ref="D8:D32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2017 Race Points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3" width="9.6640625" style="42" customWidth="1"/>
    <col min="4" max="7" width="9.6640625" customWidth="1"/>
  </cols>
  <sheetData>
    <row r="1" spans="1:7" x14ac:dyDescent="0.25">
      <c r="A1" s="16" t="s">
        <v>22</v>
      </c>
      <c r="B1" s="17" t="s">
        <v>1079</v>
      </c>
      <c r="C1" s="133"/>
      <c r="D1" s="18"/>
      <c r="E1" s="18"/>
      <c r="F1" s="18"/>
      <c r="G1" s="19"/>
    </row>
    <row r="2" spans="1:7" x14ac:dyDescent="0.25">
      <c r="A2" s="20" t="s">
        <v>23</v>
      </c>
      <c r="B2" s="21">
        <v>43151</v>
      </c>
      <c r="C2" s="56"/>
      <c r="D2" s="22"/>
      <c r="E2" s="22"/>
      <c r="F2" s="22"/>
      <c r="G2" s="23"/>
    </row>
    <row r="3" spans="1:7" x14ac:dyDescent="0.25">
      <c r="A3" s="20" t="s">
        <v>24</v>
      </c>
      <c r="B3" s="24" t="s">
        <v>25</v>
      </c>
      <c r="C3" s="56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56"/>
      <c r="D4" s="22"/>
      <c r="E4" s="22"/>
      <c r="F4" s="22"/>
      <c r="G4" s="23"/>
    </row>
    <row r="5" spans="1:7" x14ac:dyDescent="0.25">
      <c r="A5" s="20" t="s">
        <v>27</v>
      </c>
      <c r="B5" s="24" t="s">
        <v>1080</v>
      </c>
      <c r="C5" s="56"/>
      <c r="D5" s="22"/>
      <c r="E5" s="22" t="s">
        <v>55</v>
      </c>
      <c r="F5" s="38">
        <f>AVERAGE(C8:C12)*(AVERAGE(D8:D12)/100)</f>
        <v>3.0150283495126887E-2</v>
      </c>
      <c r="G5" s="23"/>
    </row>
    <row r="6" spans="1:7" x14ac:dyDescent="0.25">
      <c r="A6" s="25" t="s">
        <v>29</v>
      </c>
      <c r="B6" s="26"/>
      <c r="C6" s="134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</v>
      </c>
      <c r="B8" s="3" t="s">
        <v>947</v>
      </c>
      <c r="C8" s="51">
        <v>3.9444444444444442E-2</v>
      </c>
      <c r="D8" s="29">
        <f>INDEX('Points Summary'!$E$4:$E$1143,G8)</f>
        <v>68.566123344222362</v>
      </c>
      <c r="E8" s="124">
        <f t="shared" ref="E8:E21" si="0">(AVERAGE($D$8:$D$12)/100*AVERAGE($C$8:$C$12))/C8</f>
        <v>0.76437338438349856</v>
      </c>
      <c r="F8" s="3"/>
      <c r="G8" s="2">
        <f>MATCH(B8,'Points Summary'!$B$4:$B$1144,0)</f>
        <v>425</v>
      </c>
    </row>
    <row r="9" spans="1:7" x14ac:dyDescent="0.25">
      <c r="A9" s="2">
        <v>2</v>
      </c>
      <c r="B9" s="3" t="s">
        <v>948</v>
      </c>
      <c r="C9" s="51">
        <v>4.7083333333333331E-2</v>
      </c>
      <c r="D9" s="29">
        <f>INDEX('Points Summary'!$E$4:$E$1143,G9)</f>
        <v>67.18098222519626</v>
      </c>
      <c r="E9" s="124">
        <f t="shared" si="0"/>
        <v>0.64036000343632327</v>
      </c>
      <c r="F9" s="3"/>
      <c r="G9" s="2">
        <f>MATCH(B9,'Points Summary'!$B$4:$B$1144,0)</f>
        <v>4</v>
      </c>
    </row>
    <row r="10" spans="1:7" x14ac:dyDescent="0.25">
      <c r="A10" s="2">
        <v>1</v>
      </c>
      <c r="B10" s="3" t="s">
        <v>954</v>
      </c>
      <c r="C10" s="51">
        <v>4.6296296296296301E-2</v>
      </c>
      <c r="D10" s="29">
        <f>INDEX('Points Summary'!$E$4:$E$1143,G10)</f>
        <v>63.534035635326788</v>
      </c>
      <c r="E10" s="124">
        <f t="shared" si="0"/>
        <v>0.65124612349474076</v>
      </c>
      <c r="F10" s="3"/>
      <c r="G10" s="2">
        <f>MATCH(B10,'Points Summary'!$B$4:$B$1144,0)</f>
        <v>110</v>
      </c>
    </row>
    <row r="11" spans="1:7" x14ac:dyDescent="0.25">
      <c r="A11" s="2">
        <v>2</v>
      </c>
      <c r="B11" s="3" t="s">
        <v>1077</v>
      </c>
      <c r="C11" s="51">
        <v>5.5960648148148141E-2</v>
      </c>
      <c r="D11" s="29">
        <f>INDEX('Points Summary'!$E$4:$E$1143,G11)</f>
        <v>58.824422672637624</v>
      </c>
      <c r="E11" s="124">
        <f t="shared" si="0"/>
        <v>0.53877652409078869</v>
      </c>
      <c r="F11" s="3"/>
      <c r="G11" s="2">
        <f>MATCH(B11,'Points Summary'!$B$4:$B$1144,0)</f>
        <v>379</v>
      </c>
    </row>
    <row r="12" spans="1:7" x14ac:dyDescent="0.25">
      <c r="A12" s="2">
        <v>3</v>
      </c>
      <c r="B12" s="3" t="s">
        <v>943</v>
      </c>
      <c r="C12" s="51">
        <v>5.0347222222222217E-2</v>
      </c>
      <c r="D12" s="29">
        <f>INDEX('Points Summary'!$E$4:$E$1143,G12)</f>
        <v>57.099955456018435</v>
      </c>
      <c r="E12" s="124">
        <f t="shared" si="0"/>
        <v>0.59884701011010655</v>
      </c>
      <c r="F12" s="3"/>
      <c r="G12" s="2">
        <f>MATCH(B12,'Points Summary'!$B$4:$B$1144,0)</f>
        <v>199</v>
      </c>
    </row>
    <row r="13" spans="1:7" x14ac:dyDescent="0.25">
      <c r="A13" s="2">
        <v>2</v>
      </c>
      <c r="B13" s="50" t="s">
        <v>957</v>
      </c>
      <c r="C13" s="51">
        <v>4.71875E-2</v>
      </c>
      <c r="D13" s="29">
        <f>INDEX('Points Summary'!$E$4:$E$1143,G13)</f>
        <v>53.214075674963304</v>
      </c>
      <c r="E13" s="124">
        <f t="shared" si="0"/>
        <v>0.638946405194742</v>
      </c>
      <c r="F13" s="3"/>
      <c r="G13" s="2">
        <f>MATCH(B13,'Points Summary'!$B$4:$B$1144,0)</f>
        <v>386</v>
      </c>
    </row>
    <row r="14" spans="1:7" x14ac:dyDescent="0.25">
      <c r="A14" s="2">
        <v>3</v>
      </c>
      <c r="B14" s="3" t="s">
        <v>1082</v>
      </c>
      <c r="C14" s="51">
        <v>5.5682870370370369E-2</v>
      </c>
      <c r="D14" s="29">
        <f>INDEX('Points Summary'!$E$4:$E$1143,G14)</f>
        <v>51.673516559847222</v>
      </c>
      <c r="E14" s="124">
        <f t="shared" si="0"/>
        <v>0.54146424734545062</v>
      </c>
      <c r="F14" s="3"/>
      <c r="G14" s="2">
        <f>MATCH(B14,'Points Summary'!$B$4:$B$1144,0)</f>
        <v>444</v>
      </c>
    </row>
    <row r="15" spans="1:7" x14ac:dyDescent="0.25">
      <c r="A15" s="2">
        <v>3</v>
      </c>
      <c r="B15" s="3" t="s">
        <v>950</v>
      </c>
      <c r="C15" s="51">
        <v>4.7893518518518523E-2</v>
      </c>
      <c r="D15" s="29">
        <f>INDEX('Points Summary'!$E$4:$E$1143,G15)</f>
        <v>51.279679442015549</v>
      </c>
      <c r="E15" s="124">
        <f t="shared" si="0"/>
        <v>0.62952742725446176</v>
      </c>
      <c r="F15" s="3"/>
      <c r="G15" s="2">
        <f>MATCH(B15,'Points Summary'!$B$4:$B$1144,0)</f>
        <v>392</v>
      </c>
    </row>
    <row r="16" spans="1:7" x14ac:dyDescent="0.25">
      <c r="A16" s="2">
        <v>4</v>
      </c>
      <c r="B16" s="3" t="s">
        <v>1083</v>
      </c>
      <c r="C16" s="51">
        <v>6.4768518518518517E-2</v>
      </c>
      <c r="D16" s="29">
        <f>INDEX('Points Summary'!$E$4:$E$1143,G16)</f>
        <v>48.09327047457699</v>
      </c>
      <c r="E16" s="124">
        <f t="shared" si="0"/>
        <v>0.46550830843083685</v>
      </c>
      <c r="F16" s="3"/>
      <c r="G16" s="2">
        <f>MATCH(B16,'Points Summary'!$B$4:$B$1144,0)</f>
        <v>135</v>
      </c>
    </row>
    <row r="17" spans="1:7" x14ac:dyDescent="0.25">
      <c r="A17" s="2">
        <v>5</v>
      </c>
      <c r="B17" s="3" t="s">
        <v>958</v>
      </c>
      <c r="C17" s="51">
        <v>6.6203703703703709E-2</v>
      </c>
      <c r="D17" s="29">
        <f>INDEX('Points Summary'!$E$4:$E$1143,G17)</f>
        <v>40.052560358075667</v>
      </c>
      <c r="E17" s="124">
        <f t="shared" si="0"/>
        <v>0.45541686957674177</v>
      </c>
      <c r="F17" s="3"/>
      <c r="G17" s="2">
        <f>MATCH(B17,'Points Summary'!$B$4:$B$1144,0)</f>
        <v>92</v>
      </c>
    </row>
    <row r="18" spans="1:7" x14ac:dyDescent="0.25">
      <c r="A18" s="2">
        <v>5</v>
      </c>
      <c r="B18" s="3" t="s">
        <v>955</v>
      </c>
      <c r="C18" s="51">
        <v>6.5266203703703715E-2</v>
      </c>
      <c r="D18" s="29">
        <f>INDEX('Points Summary'!$E$4:$E$1143,G18)</f>
        <v>39.926233310555538</v>
      </c>
      <c r="E18" s="124">
        <f t="shared" si="0"/>
        <v>0.46195859088117797</v>
      </c>
      <c r="F18" s="3"/>
      <c r="G18" s="2">
        <f>MATCH(B18,'Points Summary'!$B$4:$B$1144,0)</f>
        <v>453</v>
      </c>
    </row>
    <row r="19" spans="1:7" x14ac:dyDescent="0.25">
      <c r="A19" s="2">
        <v>1</v>
      </c>
      <c r="B19" s="3" t="s">
        <v>942</v>
      </c>
      <c r="C19" s="51">
        <v>5.5115740740740743E-2</v>
      </c>
      <c r="D19" s="29">
        <f>INDEX('Points Summary'!$E$4:$E$1143,G19)</f>
        <v>0</v>
      </c>
      <c r="E19" s="124">
        <f t="shared" si="0"/>
        <v>0.54703580301952182</v>
      </c>
      <c r="F19" s="3"/>
      <c r="G19" s="2">
        <f>MATCH(B19,'Points Summary'!$B$4:$B$1144,0)</f>
        <v>294</v>
      </c>
    </row>
    <row r="20" spans="1:7" x14ac:dyDescent="0.25">
      <c r="A20" s="2">
        <v>3</v>
      </c>
      <c r="B20" s="3" t="s">
        <v>1078</v>
      </c>
      <c r="C20" s="51">
        <v>5.8923611111111107E-2</v>
      </c>
      <c r="D20" s="29">
        <f>INDEX('Points Summary'!$E$4:$E$1143,G20)</f>
        <v>0</v>
      </c>
      <c r="E20" s="124">
        <f t="shared" si="0"/>
        <v>0.5116842455271976</v>
      </c>
      <c r="F20" s="3"/>
      <c r="G20" s="2">
        <f>MATCH(B20,'Points Summary'!$B$4:$B$1144,0)</f>
        <v>331</v>
      </c>
    </row>
    <row r="21" spans="1:7" x14ac:dyDescent="0.25">
      <c r="A21" s="2">
        <v>4</v>
      </c>
      <c r="B21" s="3" t="s">
        <v>1081</v>
      </c>
      <c r="C21" s="51">
        <v>6.2118055555555551E-2</v>
      </c>
      <c r="D21" s="29">
        <f>INDEX('Points Summary'!$E$4:$E$1143,G21)</f>
        <v>0</v>
      </c>
      <c r="E21" s="124">
        <f t="shared" si="0"/>
        <v>0.4853706901395497</v>
      </c>
      <c r="F21" s="3"/>
      <c r="G21" s="2">
        <f>MATCH(B21,'Points Summary'!$B$4:$B$1144,0)</f>
        <v>340</v>
      </c>
    </row>
    <row r="22" spans="1:7" x14ac:dyDescent="0.25">
      <c r="A22" s="42"/>
      <c r="B22" s="3"/>
      <c r="C22" s="51"/>
      <c r="D22" s="29"/>
      <c r="E22" s="124"/>
      <c r="F22" s="3"/>
      <c r="G22" s="2"/>
    </row>
    <row r="23" spans="1:7" x14ac:dyDescent="0.25">
      <c r="A23" s="2"/>
      <c r="B23" s="3"/>
      <c r="C23" s="51"/>
      <c r="D23" s="29"/>
      <c r="E23" s="124"/>
      <c r="F23" s="3"/>
      <c r="G23" s="2"/>
    </row>
    <row r="24" spans="1:7" x14ac:dyDescent="0.25">
      <c r="A24" s="2"/>
      <c r="B24" s="3"/>
      <c r="C24" s="51"/>
      <c r="D24" s="29"/>
      <c r="E24" s="124"/>
      <c r="F24" s="3"/>
      <c r="G24" s="2"/>
    </row>
    <row r="25" spans="1:7" x14ac:dyDescent="0.25">
      <c r="A25" s="2"/>
      <c r="B25" s="3"/>
      <c r="C25" s="51"/>
      <c r="D25" s="29"/>
      <c r="E25" s="124"/>
      <c r="F25" s="3"/>
      <c r="G25" s="2"/>
    </row>
    <row r="26" spans="1:7" x14ac:dyDescent="0.25">
      <c r="A26" s="2"/>
      <c r="B26" s="3"/>
      <c r="C26" s="51"/>
      <c r="D26" s="29"/>
      <c r="E26" s="124"/>
      <c r="F26" s="3"/>
      <c r="G26" s="2"/>
    </row>
    <row r="27" spans="1:7" x14ac:dyDescent="0.25">
      <c r="A27" s="2"/>
      <c r="B27" s="3"/>
      <c r="C27" s="51"/>
      <c r="D27" s="29"/>
      <c r="E27" s="124"/>
      <c r="F27" s="3"/>
      <c r="G27" s="2"/>
    </row>
    <row r="28" spans="1:7" x14ac:dyDescent="0.25">
      <c r="A28" s="42"/>
      <c r="B28" s="3"/>
      <c r="C28" s="51"/>
      <c r="D28" s="29"/>
      <c r="E28" s="30"/>
      <c r="G28" s="2"/>
    </row>
    <row r="29" spans="1:7" x14ac:dyDescent="0.25">
      <c r="A29" s="42"/>
      <c r="B29" s="3"/>
      <c r="C29" s="51"/>
      <c r="D29" s="29"/>
      <c r="E29" s="30"/>
      <c r="G29" s="2"/>
    </row>
    <row r="30" spans="1:7" x14ac:dyDescent="0.25">
      <c r="A30" s="42"/>
      <c r="B30" s="3"/>
      <c r="C30" s="51"/>
      <c r="D30" s="29"/>
      <c r="E30" s="30"/>
      <c r="G30" s="2"/>
    </row>
  </sheetData>
  <sortState ref="A8:G21">
    <sortCondition descending="1" ref="D8:D24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2018 Race Points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zoomScaleNormal="100" workbookViewId="0">
      <selection activeCell="B12" sqref="B12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1085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43152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1080</v>
      </c>
      <c r="C5" s="22"/>
      <c r="D5" s="22"/>
      <c r="E5" s="22" t="s">
        <v>55</v>
      </c>
      <c r="F5" s="38">
        <f>AVERAGE(C8:C12)*(AVERAGE(D8:D12)/100)</f>
        <v>1.3883195199684863E-2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</v>
      </c>
      <c r="B8" s="3" t="s">
        <v>947</v>
      </c>
      <c r="C8" s="51">
        <v>1.6851851851851851E-2</v>
      </c>
      <c r="D8" s="29">
        <f>INDEX('Points Summary'!$E$4:$E$1143,G8)</f>
        <v>68.566123344222362</v>
      </c>
      <c r="E8" s="124">
        <f t="shared" ref="E8:E22" si="0">(AVERAGE($D$8:$D$12)/100*AVERAGE($C$8:$C$12))/C8</f>
        <v>0.82383795690437656</v>
      </c>
      <c r="F8" s="3"/>
      <c r="G8" s="2">
        <f>MATCH(B8,'Points Summary'!$B$4:$B$1144,0)</f>
        <v>425</v>
      </c>
    </row>
    <row r="9" spans="1:7" x14ac:dyDescent="0.25">
      <c r="A9" s="2">
        <v>1</v>
      </c>
      <c r="B9" s="3" t="s">
        <v>941</v>
      </c>
      <c r="C9" s="51">
        <v>2.3877314814814813E-2</v>
      </c>
      <c r="D9" s="29">
        <f>INDEX('Points Summary'!$E$4:$E$1143,G9)</f>
        <v>68.20924978926152</v>
      </c>
      <c r="E9" s="124">
        <f t="shared" si="0"/>
        <v>0.58143871316178974</v>
      </c>
      <c r="F9" s="3"/>
      <c r="G9" s="2">
        <f>MATCH(B9,'Points Summary'!$B$4:$B$1144,0)</f>
        <v>151</v>
      </c>
    </row>
    <row r="10" spans="1:7" x14ac:dyDescent="0.25">
      <c r="A10" s="2">
        <v>2</v>
      </c>
      <c r="B10" s="3" t="s">
        <v>948</v>
      </c>
      <c r="C10" s="51">
        <v>1.923611111111111E-2</v>
      </c>
      <c r="D10" s="29">
        <f>INDEX('Points Summary'!$E$4:$E$1143,G10)</f>
        <v>67.18098222519626</v>
      </c>
      <c r="E10" s="124">
        <f t="shared" si="0"/>
        <v>0.72172567103054885</v>
      </c>
      <c r="F10" s="3"/>
      <c r="G10" s="2">
        <f>MATCH(B10,'Points Summary'!$B$4:$B$1144,0)</f>
        <v>4</v>
      </c>
    </row>
    <row r="11" spans="1:7" x14ac:dyDescent="0.25">
      <c r="A11" s="2">
        <v>1</v>
      </c>
      <c r="B11" s="3" t="s">
        <v>954</v>
      </c>
      <c r="C11" s="51">
        <v>2.3854166666666666E-2</v>
      </c>
      <c r="D11" s="29">
        <f>INDEX('Points Summary'!$E$4:$E$1143,G11)</f>
        <v>63.534035635326788</v>
      </c>
      <c r="E11" s="124">
        <f t="shared" si="0"/>
        <v>0.5820029428688851</v>
      </c>
      <c r="F11" s="3"/>
      <c r="G11" s="2">
        <f>MATCH(B11,'Points Summary'!$B$4:$B$1144,0)</f>
        <v>110</v>
      </c>
    </row>
    <row r="12" spans="1:7" x14ac:dyDescent="0.25">
      <c r="A12" s="2">
        <v>1</v>
      </c>
      <c r="B12" s="3" t="s">
        <v>109</v>
      </c>
      <c r="C12" s="51">
        <v>2.1782407407407407E-2</v>
      </c>
      <c r="D12" s="29">
        <f>INDEX('Points Summary'!$E$4:$E$1143,G12)</f>
        <v>61.177974101557659</v>
      </c>
      <c r="E12" s="124">
        <f t="shared" si="0"/>
        <v>0.63735816432134551</v>
      </c>
      <c r="F12" s="3"/>
      <c r="G12" s="2">
        <f>MATCH(B12,'Points Summary'!$B$4:$B$1144,0)</f>
        <v>376</v>
      </c>
    </row>
    <row r="13" spans="1:7" x14ac:dyDescent="0.25">
      <c r="A13" s="2">
        <v>2</v>
      </c>
      <c r="B13" s="3" t="s">
        <v>1077</v>
      </c>
      <c r="C13" s="51">
        <v>2.8715277777777781E-2</v>
      </c>
      <c r="D13" s="29">
        <f>INDEX('Points Summary'!$E$4:$E$1143,G13)</f>
        <v>58.824422672637624</v>
      </c>
      <c r="E13" s="124">
        <f t="shared" si="0"/>
        <v>0.48347765628890449</v>
      </c>
      <c r="F13" s="3"/>
      <c r="G13" s="2">
        <f>MATCH(B13,'Points Summary'!$B$4:$B$1144,0)</f>
        <v>379</v>
      </c>
    </row>
    <row r="14" spans="1:7" x14ac:dyDescent="0.25">
      <c r="A14" s="2">
        <v>3</v>
      </c>
      <c r="B14" s="3" t="s">
        <v>943</v>
      </c>
      <c r="C14" s="51">
        <v>2.1875000000000002E-2</v>
      </c>
      <c r="D14" s="29">
        <f>INDEX('Points Summary'!$E$4:$E$1143,G14)</f>
        <v>57.099955456018435</v>
      </c>
      <c r="E14" s="124">
        <f t="shared" si="0"/>
        <v>0.63466035198559367</v>
      </c>
      <c r="F14" s="3"/>
      <c r="G14" s="2">
        <f>MATCH(B14,'Points Summary'!$B$4:$B$1144,0)</f>
        <v>199</v>
      </c>
    </row>
    <row r="15" spans="1:7" x14ac:dyDescent="0.25">
      <c r="A15" s="2">
        <v>4</v>
      </c>
      <c r="B15" s="3" t="s">
        <v>1086</v>
      </c>
      <c r="C15" s="51">
        <v>2.342592592592593E-2</v>
      </c>
      <c r="D15" s="29">
        <f>INDEX('Points Summary'!$E$4:$E$1143,G15)</f>
        <v>55.404980572977784</v>
      </c>
      <c r="E15" s="124">
        <f t="shared" si="0"/>
        <v>0.59264232472963041</v>
      </c>
      <c r="F15" s="3"/>
      <c r="G15" s="2">
        <f>MATCH(B15,'Points Summary'!$B$4:$B$1144,0)</f>
        <v>21</v>
      </c>
    </row>
    <row r="16" spans="1:7" x14ac:dyDescent="0.25">
      <c r="A16" s="2">
        <v>4</v>
      </c>
      <c r="B16" s="3" t="s">
        <v>1082</v>
      </c>
      <c r="C16" s="51">
        <v>3.0034722222222223E-2</v>
      </c>
      <c r="D16" s="29">
        <f>INDEX('Points Summary'!$E$4:$E$1143,G16)</f>
        <v>51.673516559847222</v>
      </c>
      <c r="E16" s="124">
        <f t="shared" si="0"/>
        <v>0.46223817543459428</v>
      </c>
      <c r="F16" s="3"/>
      <c r="G16" s="2">
        <f>MATCH(B16,'Points Summary'!$B$4:$B$1144,0)</f>
        <v>444</v>
      </c>
    </row>
    <row r="17" spans="1:7" x14ac:dyDescent="0.25">
      <c r="A17" s="2">
        <v>4</v>
      </c>
      <c r="B17" s="3" t="s">
        <v>950</v>
      </c>
      <c r="C17" s="51">
        <v>2.4409722222222222E-2</v>
      </c>
      <c r="D17" s="29">
        <f>INDEX('Points Summary'!$E$4:$E$1143,G17)</f>
        <v>51.279679442015549</v>
      </c>
      <c r="E17" s="124">
        <f t="shared" si="0"/>
        <v>0.56875678769690485</v>
      </c>
      <c r="F17" s="3"/>
      <c r="G17" s="2">
        <f>MATCH(B17,'Points Summary'!$B$4:$B$1144,0)</f>
        <v>392</v>
      </c>
    </row>
    <row r="18" spans="1:7" x14ac:dyDescent="0.25">
      <c r="A18" s="2">
        <v>2</v>
      </c>
      <c r="B18" s="3" t="s">
        <v>1083</v>
      </c>
      <c r="C18" s="51">
        <v>2.5960648148148149E-2</v>
      </c>
      <c r="D18" s="29">
        <f>INDEX('Points Summary'!$E$4:$E$1143,G18)</f>
        <v>48.09327047457699</v>
      </c>
      <c r="E18" s="124">
        <f t="shared" si="0"/>
        <v>0.53477845084831566</v>
      </c>
      <c r="F18" s="3"/>
      <c r="G18" s="2">
        <f>MATCH(B18,'Points Summary'!$B$4:$B$1144,0)</f>
        <v>135</v>
      </c>
    </row>
    <row r="19" spans="1:7" x14ac:dyDescent="0.25">
      <c r="A19" s="2">
        <v>6</v>
      </c>
      <c r="B19" s="3" t="s">
        <v>964</v>
      </c>
      <c r="C19" s="51">
        <v>2.9629629629629627E-2</v>
      </c>
      <c r="D19" s="29">
        <f>INDEX('Points Summary'!$E$4:$E$1143,G19)</f>
        <v>43.852882186675011</v>
      </c>
      <c r="E19" s="124">
        <f t="shared" si="0"/>
        <v>0.46855783798936418</v>
      </c>
      <c r="F19" s="3"/>
      <c r="G19" s="2">
        <f>MATCH(B19,'Points Summary'!$B$4:$B$1144,0)</f>
        <v>58</v>
      </c>
    </row>
    <row r="20" spans="1:7" x14ac:dyDescent="0.25">
      <c r="A20" s="2">
        <v>5</v>
      </c>
      <c r="B20" s="3" t="s">
        <v>958</v>
      </c>
      <c r="C20" s="51">
        <v>3.5844907407407409E-2</v>
      </c>
      <c r="D20" s="29">
        <f>INDEX('Points Summary'!$E$4:$E$1143,G20)</f>
        <v>40.052560358075667</v>
      </c>
      <c r="E20" s="124">
        <f t="shared" si="0"/>
        <v>0.38731290450525419</v>
      </c>
      <c r="F20" s="3"/>
      <c r="G20" s="2">
        <f>MATCH(B20,'Points Summary'!$B$4:$B$1144,0)</f>
        <v>92</v>
      </c>
    </row>
    <row r="21" spans="1:7" x14ac:dyDescent="0.25">
      <c r="A21" s="2">
        <v>3</v>
      </c>
      <c r="B21" s="3" t="s">
        <v>942</v>
      </c>
      <c r="C21" s="51">
        <v>3.079861111111111E-2</v>
      </c>
      <c r="D21" s="29">
        <f>INDEX('Points Summary'!$E$4:$E$1143,G21)</f>
        <v>0</v>
      </c>
      <c r="E21" s="124">
        <f t="shared" si="0"/>
        <v>0.45077341798300347</v>
      </c>
      <c r="F21" s="3"/>
      <c r="G21" s="2">
        <f>MATCH(B21,'Points Summary'!$B$4:$B$1144,0)</f>
        <v>294</v>
      </c>
    </row>
    <row r="22" spans="1:7" x14ac:dyDescent="0.25">
      <c r="A22" s="2">
        <v>5</v>
      </c>
      <c r="B22" s="3" t="s">
        <v>1087</v>
      </c>
      <c r="C22" s="51">
        <v>2.78125E-2</v>
      </c>
      <c r="D22" s="29">
        <f>INDEX('Points Summary'!$E$4:$E$1143,G22)</f>
        <v>0</v>
      </c>
      <c r="E22" s="124">
        <f t="shared" si="0"/>
        <v>0.49917106335945577</v>
      </c>
      <c r="F22" s="3"/>
      <c r="G22" s="2">
        <f>MATCH(B22,'Points Summary'!$B$4:$B$1144,0)</f>
        <v>238</v>
      </c>
    </row>
    <row r="23" spans="1:7" x14ac:dyDescent="0.25">
      <c r="A23" s="2"/>
      <c r="B23" s="3"/>
      <c r="C23" s="51"/>
      <c r="D23" s="29"/>
      <c r="E23" s="124"/>
      <c r="F23" s="3"/>
      <c r="G23" s="2"/>
    </row>
    <row r="24" spans="1:7" x14ac:dyDescent="0.25">
      <c r="A24" s="2"/>
      <c r="B24" s="3"/>
      <c r="C24" s="51"/>
      <c r="D24" s="29"/>
      <c r="E24" s="124"/>
      <c r="F24" s="3"/>
      <c r="G24" s="2"/>
    </row>
    <row r="25" spans="1:7" x14ac:dyDescent="0.25">
      <c r="A25" s="2"/>
      <c r="B25" s="3"/>
      <c r="C25" s="51"/>
      <c r="D25" s="29"/>
      <c r="E25" s="124"/>
      <c r="F25" s="3"/>
      <c r="G25" s="2"/>
    </row>
    <row r="26" spans="1:7" x14ac:dyDescent="0.25">
      <c r="A26" s="2"/>
      <c r="B26" s="3"/>
      <c r="C26" s="51"/>
      <c r="D26" s="29"/>
      <c r="E26" s="124"/>
      <c r="F26" s="3"/>
      <c r="G26" s="2"/>
    </row>
    <row r="27" spans="1:7" x14ac:dyDescent="0.25">
      <c r="A27" s="2"/>
      <c r="B27" s="3"/>
      <c r="C27" s="51"/>
      <c r="D27" s="29"/>
      <c r="E27" s="124"/>
      <c r="F27" s="3"/>
      <c r="G27" s="2"/>
    </row>
    <row r="28" spans="1:7" x14ac:dyDescent="0.25">
      <c r="A28" s="2"/>
      <c r="B28" s="3"/>
      <c r="C28" s="51"/>
      <c r="D28" s="29"/>
      <c r="E28" s="124"/>
      <c r="F28" s="3"/>
      <c r="G28" s="2"/>
    </row>
    <row r="29" spans="1:7" x14ac:dyDescent="0.25">
      <c r="A29" s="2"/>
      <c r="B29" s="3"/>
      <c r="C29" s="51"/>
      <c r="D29" s="29"/>
      <c r="E29" s="124"/>
      <c r="F29" s="3"/>
      <c r="G29" s="2"/>
    </row>
    <row r="30" spans="1:7" x14ac:dyDescent="0.25">
      <c r="A30" s="2"/>
      <c r="B30" s="3"/>
      <c r="C30" s="51"/>
      <c r="D30" s="29"/>
      <c r="E30" s="124"/>
      <c r="F30" s="3"/>
      <c r="G30" s="2"/>
    </row>
    <row r="31" spans="1:7" x14ac:dyDescent="0.25">
      <c r="A31" s="2"/>
      <c r="B31" s="3"/>
      <c r="C31" s="51"/>
      <c r="D31" s="29"/>
      <c r="E31" s="124"/>
      <c r="F31" s="3"/>
      <c r="G31" s="2"/>
    </row>
    <row r="32" spans="1:7" x14ac:dyDescent="0.25">
      <c r="A32" s="2"/>
      <c r="B32" s="3"/>
      <c r="C32" s="51"/>
      <c r="D32" s="29"/>
      <c r="E32" s="124"/>
      <c r="F32" s="3"/>
      <c r="G32" s="2"/>
    </row>
    <row r="33" spans="1:7" x14ac:dyDescent="0.25">
      <c r="A33" s="2"/>
      <c r="B33" s="3"/>
      <c r="C33" s="51"/>
      <c r="D33" s="29"/>
      <c r="E33" s="124"/>
      <c r="F33" s="3"/>
      <c r="G33" s="2"/>
    </row>
  </sheetData>
  <sortState ref="A8:G22">
    <sortCondition descending="1" ref="D8:D22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 xml:space="preserve">&amp;L&amp;"Tahoma,Bold"&amp;11U.S. Biathlon Association&amp;R&amp;"Tahoma,Bold"&amp;11 2018 Race Points
 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topLeftCell="A4" workbookViewId="0">
      <selection activeCell="B27" sqref="B27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9" x14ac:dyDescent="0.25">
      <c r="A1" s="16" t="s">
        <v>22</v>
      </c>
      <c r="B1" s="17" t="s">
        <v>1089</v>
      </c>
      <c r="C1" s="18"/>
      <c r="D1" s="18"/>
      <c r="E1" s="18"/>
      <c r="F1" s="18"/>
      <c r="G1" s="19"/>
    </row>
    <row r="2" spans="1:9" x14ac:dyDescent="0.25">
      <c r="A2" s="20" t="s">
        <v>23</v>
      </c>
      <c r="B2" s="21">
        <v>43121</v>
      </c>
      <c r="C2" s="22"/>
      <c r="D2" s="22"/>
      <c r="E2" s="22"/>
      <c r="F2" s="22"/>
      <c r="G2" s="23"/>
    </row>
    <row r="3" spans="1:9" x14ac:dyDescent="0.25">
      <c r="A3" s="20" t="s">
        <v>24</v>
      </c>
      <c r="B3" s="24" t="s">
        <v>25</v>
      </c>
      <c r="C3" s="22"/>
      <c r="D3" s="22"/>
      <c r="E3" s="22"/>
      <c r="F3" s="22"/>
      <c r="G3" s="23"/>
    </row>
    <row r="4" spans="1:9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9" x14ac:dyDescent="0.25">
      <c r="A5" s="20" t="s">
        <v>27</v>
      </c>
      <c r="B5" s="24" t="s">
        <v>879</v>
      </c>
      <c r="C5" s="22"/>
      <c r="D5" s="22"/>
      <c r="E5" s="22" t="s">
        <v>55</v>
      </c>
      <c r="F5" s="38">
        <f>AVERAGE(C8:C12)*(AVERAGE(D8:D12)/100)</f>
        <v>1.4458312044885154E-2</v>
      </c>
      <c r="G5" s="23"/>
    </row>
    <row r="6" spans="1:9" x14ac:dyDescent="0.25">
      <c r="A6" s="25" t="s">
        <v>29</v>
      </c>
      <c r="B6" s="26"/>
      <c r="C6" s="26"/>
      <c r="D6" s="26"/>
      <c r="E6" s="26"/>
      <c r="F6" s="26"/>
      <c r="G6" s="27"/>
    </row>
    <row r="7" spans="1:9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9" x14ac:dyDescent="0.25">
      <c r="A8" s="2">
        <v>1</v>
      </c>
      <c r="B8" s="3" t="s">
        <v>788</v>
      </c>
      <c r="C8" s="51">
        <v>2.2679398148148146E-2</v>
      </c>
      <c r="D8" s="29">
        <f>INDEX('Points Summary'!$E$4:$E$1143,G8)</f>
        <v>62.02919256713249</v>
      </c>
      <c r="E8" s="124">
        <f t="shared" ref="E8:E29" si="0">(AVERAGE($D$8:$D$12)/100*AVERAGE($C$8:$C$12))/C8</f>
        <v>0.63750863009853398</v>
      </c>
      <c r="F8" s="3"/>
      <c r="G8" s="2">
        <f>MATCH(B8,'Points Summary'!$B$4:$B$1144,0)</f>
        <v>286</v>
      </c>
      <c r="H8" s="196"/>
      <c r="I8" s="197"/>
    </row>
    <row r="9" spans="1:9" x14ac:dyDescent="0.25">
      <c r="A9" s="2">
        <v>2</v>
      </c>
      <c r="B9" s="3" t="s">
        <v>789</v>
      </c>
      <c r="C9" s="51">
        <v>2.3256944444444445E-2</v>
      </c>
      <c r="D9" s="29">
        <f>INDEX('Points Summary'!$E$4:$E$1143,G9)</f>
        <v>60.953875628497315</v>
      </c>
      <c r="E9" s="124">
        <f t="shared" si="0"/>
        <v>0.62167719751073813</v>
      </c>
      <c r="F9" s="3"/>
      <c r="G9" s="2">
        <f>MATCH(B9,'Points Summary'!$B$4:$B$1144,0)</f>
        <v>138</v>
      </c>
      <c r="H9" s="196"/>
      <c r="I9" s="197"/>
    </row>
    <row r="10" spans="1:9" x14ac:dyDescent="0.25">
      <c r="A10" s="2">
        <v>7</v>
      </c>
      <c r="B10" s="3" t="s">
        <v>790</v>
      </c>
      <c r="C10" s="51">
        <v>2.7366898148148147E-2</v>
      </c>
      <c r="D10" s="29">
        <f>INDEX('Points Summary'!$E$4:$E$1143,G10)</f>
        <v>57.678604572299705</v>
      </c>
      <c r="E10" s="124">
        <f t="shared" si="0"/>
        <v>0.52831387637051275</v>
      </c>
      <c r="F10" s="3"/>
      <c r="G10" s="2">
        <f>MATCH(B10,'Points Summary'!$B$4:$B$1144,0)</f>
        <v>44</v>
      </c>
      <c r="H10" s="196"/>
      <c r="I10" s="197"/>
    </row>
    <row r="11" spans="1:9" x14ac:dyDescent="0.25">
      <c r="A11" s="2">
        <v>4</v>
      </c>
      <c r="B11" s="3" t="s">
        <v>465</v>
      </c>
      <c r="C11" s="51">
        <v>2.4475694444444442E-2</v>
      </c>
      <c r="D11" s="29">
        <f>INDEX('Points Summary'!$E$4:$E$1143,G11)</f>
        <v>56.186666306419866</v>
      </c>
      <c r="E11" s="124">
        <f t="shared" si="0"/>
        <v>0.59072121846033832</v>
      </c>
      <c r="F11" s="3"/>
      <c r="G11" s="2">
        <f>MATCH(B11,'Points Summary'!$B$4:$B$1144,0)</f>
        <v>241</v>
      </c>
      <c r="H11" s="196"/>
      <c r="I11" s="197"/>
    </row>
    <row r="12" spans="1:9" x14ac:dyDescent="0.25">
      <c r="A12" s="2">
        <v>5</v>
      </c>
      <c r="B12" s="3" t="s">
        <v>815</v>
      </c>
      <c r="C12" s="51">
        <v>2.6621527777777779E-2</v>
      </c>
      <c r="D12" s="29">
        <f>INDEX('Points Summary'!$E$4:$E$1143,G12)</f>
        <v>53.711512965544983</v>
      </c>
      <c r="E12" s="124">
        <f t="shared" si="0"/>
        <v>0.54310602177213041</v>
      </c>
      <c r="F12" s="3"/>
      <c r="G12" s="2">
        <f>MATCH(B12,'Points Summary'!$B$4:$B$1144,0)</f>
        <v>322</v>
      </c>
      <c r="H12" s="196"/>
      <c r="I12" s="197"/>
    </row>
    <row r="13" spans="1:9" x14ac:dyDescent="0.25">
      <c r="A13" s="2">
        <v>11</v>
      </c>
      <c r="B13" s="3" t="s">
        <v>1094</v>
      </c>
      <c r="C13" s="51">
        <v>2.9900462962962962E-2</v>
      </c>
      <c r="D13" s="29">
        <f>INDEX('Points Summary'!$E$4:$E$1143,G13)</f>
        <v>53.610747506068513</v>
      </c>
      <c r="E13" s="124">
        <f t="shared" si="0"/>
        <v>0.48354809966636114</v>
      </c>
      <c r="F13" s="3"/>
      <c r="G13" s="2">
        <f>MATCH(B13,'Points Summary'!$B$4:$B$1144,0)</f>
        <v>319</v>
      </c>
      <c r="H13" s="196"/>
      <c r="I13" s="197"/>
    </row>
    <row r="14" spans="1:9" x14ac:dyDescent="0.25">
      <c r="A14" s="2">
        <v>10</v>
      </c>
      <c r="B14" s="3" t="s">
        <v>793</v>
      </c>
      <c r="C14" s="51">
        <v>2.875462962962963E-2</v>
      </c>
      <c r="D14" s="29">
        <f>INDEX('Points Summary'!$E$4:$E$1143,G14)</f>
        <v>49.490452611040517</v>
      </c>
      <c r="E14" s="124">
        <f t="shared" si="0"/>
        <v>0.50281684136132554</v>
      </c>
      <c r="F14" s="3"/>
      <c r="G14" s="2">
        <f>MATCH(B14,'Points Summary'!$B$4:$B$1144,0)</f>
        <v>170</v>
      </c>
      <c r="H14" s="196"/>
      <c r="I14" s="197"/>
    </row>
    <row r="15" spans="1:9" x14ac:dyDescent="0.25">
      <c r="A15" s="2">
        <v>16</v>
      </c>
      <c r="B15" s="3" t="s">
        <v>791</v>
      </c>
      <c r="C15" s="51">
        <v>3.2011574074074074E-2</v>
      </c>
      <c r="D15" s="29">
        <f>INDEX('Points Summary'!$E$4:$E$1143,G15)</f>
        <v>48.261767136117484</v>
      </c>
      <c r="E15" s="124">
        <f t="shared" si="0"/>
        <v>0.45165889098202228</v>
      </c>
      <c r="F15" s="3"/>
      <c r="G15" s="2">
        <f>MATCH(B15,'Points Summary'!$B$4:$B$1144,0)</f>
        <v>52</v>
      </c>
      <c r="H15" s="196"/>
      <c r="I15" s="197"/>
    </row>
    <row r="16" spans="1:9" x14ac:dyDescent="0.25">
      <c r="A16" s="2">
        <v>15</v>
      </c>
      <c r="B16" s="3" t="s">
        <v>824</v>
      </c>
      <c r="C16" s="51">
        <v>3.1663194444444445E-2</v>
      </c>
      <c r="D16" s="29">
        <f>INDEX('Points Summary'!$E$4:$E$1143,G16)</f>
        <v>45.59893970758165</v>
      </c>
      <c r="E16" s="124">
        <f t="shared" si="0"/>
        <v>0.45662834399900476</v>
      </c>
      <c r="F16" s="3"/>
      <c r="G16" s="2">
        <f>MATCH(B16,'Points Summary'!$B$4:$B$1144,0)</f>
        <v>160</v>
      </c>
      <c r="H16" s="196"/>
      <c r="I16" s="197"/>
    </row>
    <row r="17" spans="1:9" x14ac:dyDescent="0.25">
      <c r="A17" s="2">
        <v>12</v>
      </c>
      <c r="B17" s="3" t="s">
        <v>881</v>
      </c>
      <c r="C17" s="51">
        <v>2.979050925925926E-2</v>
      </c>
      <c r="D17" s="29">
        <f>INDEX('Points Summary'!$E$4:$E$1143,G17)</f>
        <v>44.278313510549403</v>
      </c>
      <c r="E17" s="124">
        <f t="shared" si="0"/>
        <v>0.48533282593654659</v>
      </c>
      <c r="F17" s="3"/>
      <c r="G17" s="2">
        <f>MATCH(B17,'Points Summary'!$B$4:$B$1144,0)</f>
        <v>263</v>
      </c>
      <c r="H17" s="196"/>
      <c r="I17" s="197"/>
    </row>
    <row r="18" spans="1:9" x14ac:dyDescent="0.25">
      <c r="A18" s="2">
        <v>18</v>
      </c>
      <c r="B18" s="3" t="s">
        <v>814</v>
      </c>
      <c r="C18" s="51">
        <v>3.3887731481481477E-2</v>
      </c>
      <c r="D18" s="29">
        <f>INDEX('Points Summary'!$E$4:$E$1143,G18)</f>
        <v>42.871754071716111</v>
      </c>
      <c r="E18" s="124">
        <f t="shared" si="0"/>
        <v>0.42665328757064019</v>
      </c>
      <c r="F18" s="3"/>
      <c r="G18" s="2">
        <f>MATCH(B18,'Points Summary'!$B$4:$B$1144,0)</f>
        <v>428</v>
      </c>
      <c r="H18" s="196"/>
      <c r="I18" s="197"/>
    </row>
    <row r="19" spans="1:9" x14ac:dyDescent="0.25">
      <c r="A19" s="2">
        <v>20</v>
      </c>
      <c r="B19" s="3" t="s">
        <v>817</v>
      </c>
      <c r="C19" s="51">
        <f>TIME(0,55,20)</f>
        <v>3.8425925925925926E-2</v>
      </c>
      <c r="D19" s="29">
        <f>INDEX('Points Summary'!$E$4:$E$1143,G19)</f>
        <v>41.838699749319133</v>
      </c>
      <c r="E19" s="124">
        <f t="shared" si="0"/>
        <v>0.37626450622833651</v>
      </c>
      <c r="F19" s="3"/>
      <c r="G19" s="2">
        <f>MATCH(B19,'Points Summary'!$B$4:$B$1144,0)</f>
        <v>420</v>
      </c>
      <c r="H19" s="196"/>
      <c r="I19" s="197"/>
    </row>
    <row r="20" spans="1:9" x14ac:dyDescent="0.25">
      <c r="A20" s="2">
        <v>21</v>
      </c>
      <c r="B20" s="3" t="s">
        <v>822</v>
      </c>
      <c r="C20" s="51">
        <f>TIME(0,55,59.7)</f>
        <v>3.8877314814814816E-2</v>
      </c>
      <c r="D20" s="29">
        <f>INDEX('Points Summary'!$E$4:$E$1143,G20)</f>
        <v>31.829904729434844</v>
      </c>
      <c r="E20" s="124">
        <f t="shared" si="0"/>
        <v>0.37189585015721266</v>
      </c>
      <c r="F20" s="3"/>
      <c r="G20" s="2">
        <f>MATCH(B20,'Points Summary'!$B$4:$B$1144,0)</f>
        <v>342</v>
      </c>
      <c r="H20" s="196"/>
      <c r="I20" s="197"/>
    </row>
    <row r="21" spans="1:9" x14ac:dyDescent="0.25">
      <c r="A21" s="2">
        <v>13</v>
      </c>
      <c r="B21" s="3" t="s">
        <v>752</v>
      </c>
      <c r="C21" s="51">
        <v>3.055208333333333E-2</v>
      </c>
      <c r="D21" s="29">
        <f>INDEX('Points Summary'!$E$4:$E$1143,G21)</f>
        <v>0</v>
      </c>
      <c r="E21" s="124">
        <f t="shared" si="0"/>
        <v>0.47323489816194164</v>
      </c>
      <c r="F21" s="3"/>
      <c r="G21" s="2">
        <f>MATCH(B21,'Points Summary'!$B$4:$B$1144,0)</f>
        <v>6</v>
      </c>
      <c r="H21" s="196"/>
      <c r="I21" s="197"/>
    </row>
    <row r="22" spans="1:9" x14ac:dyDescent="0.25">
      <c r="A22" s="2">
        <v>14</v>
      </c>
      <c r="B22" s="3" t="s">
        <v>750</v>
      </c>
      <c r="C22" s="51">
        <v>3.1525462962962963E-2</v>
      </c>
      <c r="D22" s="29">
        <f>INDEX('Points Summary'!$E$4:$E$1143,G22)</f>
        <v>0</v>
      </c>
      <c r="E22" s="124">
        <f t="shared" si="0"/>
        <v>0.4586233059248393</v>
      </c>
      <c r="F22" s="3"/>
      <c r="G22" s="2">
        <f>MATCH(B22,'Points Summary'!$B$4:$B$1144,0)</f>
        <v>244</v>
      </c>
      <c r="H22" s="196"/>
      <c r="I22" s="197"/>
    </row>
    <row r="23" spans="1:9" x14ac:dyDescent="0.25">
      <c r="A23" s="2">
        <v>3</v>
      </c>
      <c r="B23" s="3" t="s">
        <v>1090</v>
      </c>
      <c r="C23" s="51">
        <v>2.3571759259259261E-2</v>
      </c>
      <c r="D23" s="29" t="e">
        <f>INDEX('Points Summary'!$E$4:$E$1143,G23)</f>
        <v>#N/A</v>
      </c>
      <c r="E23" s="124">
        <f t="shared" si="0"/>
        <v>0.61337433009824083</v>
      </c>
      <c r="F23" s="3"/>
      <c r="G23" s="2" t="e">
        <f>MATCH(B23,'Points Summary'!$B$4:$B$1144,0)</f>
        <v>#N/A</v>
      </c>
      <c r="H23" s="196"/>
      <c r="I23" s="197"/>
    </row>
    <row r="24" spans="1:9" x14ac:dyDescent="0.25">
      <c r="A24" s="2">
        <v>6</v>
      </c>
      <c r="B24" s="3" t="s">
        <v>1091</v>
      </c>
      <c r="C24" s="51">
        <v>2.6871527777777779E-2</v>
      </c>
      <c r="D24" s="29">
        <f>INDEX('Points Summary'!$E$4:$E$1143,G24)</f>
        <v>0</v>
      </c>
      <c r="E24" s="124">
        <f t="shared" si="0"/>
        <v>0.53805321991561239</v>
      </c>
      <c r="F24" s="3"/>
      <c r="G24" s="2">
        <f>MATCH(B24,'Points Summary'!$B$4:$B$1144,0)</f>
        <v>177</v>
      </c>
      <c r="H24" s="196"/>
      <c r="I24" s="197"/>
    </row>
    <row r="25" spans="1:9" x14ac:dyDescent="0.25">
      <c r="A25" s="2">
        <v>8</v>
      </c>
      <c r="B25" s="3" t="s">
        <v>1092</v>
      </c>
      <c r="C25" s="51">
        <v>2.7601851851851853E-2</v>
      </c>
      <c r="D25" s="29">
        <f>INDEX('Points Summary'!$E$4:$E$1143,G25)</f>
        <v>0</v>
      </c>
      <c r="E25" s="124">
        <f t="shared" si="0"/>
        <v>0.52381673963354458</v>
      </c>
      <c r="F25" s="3"/>
      <c r="G25" s="2">
        <f>MATCH(B25,'Points Summary'!$B$4:$B$1144,0)</f>
        <v>234</v>
      </c>
      <c r="H25" s="196"/>
      <c r="I25" s="197"/>
    </row>
    <row r="26" spans="1:9" x14ac:dyDescent="0.25">
      <c r="A26" s="2">
        <v>9</v>
      </c>
      <c r="B26" s="3" t="s">
        <v>1093</v>
      </c>
      <c r="C26" s="51">
        <v>2.7865740740740743E-2</v>
      </c>
      <c r="D26" s="29">
        <f>INDEX('Points Summary'!$E$4:$E$1143,G26)</f>
        <v>0</v>
      </c>
      <c r="E26" s="124">
        <f t="shared" si="0"/>
        <v>0.51885618901731068</v>
      </c>
      <c r="F26" s="3"/>
      <c r="G26" s="2">
        <f>MATCH(B26,'Points Summary'!$B$4:$B$1144,0)</f>
        <v>176</v>
      </c>
      <c r="H26" s="196"/>
      <c r="I26" s="197"/>
    </row>
    <row r="27" spans="1:9" x14ac:dyDescent="0.25">
      <c r="A27" s="2">
        <v>17</v>
      </c>
      <c r="B27" s="3" t="s">
        <v>1177</v>
      </c>
      <c r="C27" s="51">
        <v>3.29537037037037E-2</v>
      </c>
      <c r="D27" s="29">
        <f>INDEX('Points Summary'!$E$4:$E$1143,G27)</f>
        <v>0</v>
      </c>
      <c r="E27" s="124">
        <f t="shared" si="0"/>
        <v>0.43874619298892858</v>
      </c>
      <c r="F27" s="3"/>
      <c r="G27" s="2">
        <f>MATCH(B27,'Points Summary'!$B$4:$B$1144,0)</f>
        <v>312</v>
      </c>
      <c r="H27" s="196"/>
      <c r="I27" s="197"/>
    </row>
    <row r="28" spans="1:9" x14ac:dyDescent="0.25">
      <c r="A28" s="2">
        <v>19</v>
      </c>
      <c r="B28" s="3" t="s">
        <v>1095</v>
      </c>
      <c r="C28" s="51">
        <v>3.5195601851851853E-2</v>
      </c>
      <c r="D28" s="29">
        <f>INDEX('Points Summary'!$E$4:$E$1143,G28)</f>
        <v>0</v>
      </c>
      <c r="E28" s="124">
        <f t="shared" si="0"/>
        <v>0.41079882951694474</v>
      </c>
      <c r="F28" s="3"/>
      <c r="G28" s="2">
        <f>MATCH(B28,'Points Summary'!$B$4:$B$1144,0)</f>
        <v>172</v>
      </c>
      <c r="H28" s="196"/>
      <c r="I28" s="197"/>
    </row>
    <row r="29" spans="1:9" x14ac:dyDescent="0.25">
      <c r="A29" s="2">
        <v>22</v>
      </c>
      <c r="B29" s="3" t="s">
        <v>1096</v>
      </c>
      <c r="C29" s="51">
        <f>TIME(1,2,8.3)</f>
        <v>4.3148148148148151E-2</v>
      </c>
      <c r="D29" s="29">
        <f>INDEX('Points Summary'!$E$4:$E$1143,G29)</f>
        <v>0</v>
      </c>
      <c r="E29" s="124">
        <f t="shared" si="0"/>
        <v>0.33508534352952712</v>
      </c>
      <c r="F29" s="3"/>
      <c r="G29" s="2">
        <f>MATCH(B29,'Points Summary'!$B$4:$B$1144,0)</f>
        <v>313</v>
      </c>
      <c r="H29" s="196"/>
      <c r="I29" s="197"/>
    </row>
    <row r="30" spans="1:9" x14ac:dyDescent="0.25">
      <c r="A30" s="2"/>
      <c r="B30" s="3"/>
      <c r="C30" s="51"/>
      <c r="D30" s="29"/>
      <c r="E30" s="124"/>
      <c r="F30" s="3"/>
      <c r="G30" s="2"/>
    </row>
    <row r="31" spans="1:9" x14ac:dyDescent="0.25">
      <c r="A31" s="2"/>
      <c r="B31" s="3"/>
      <c r="C31" s="51"/>
      <c r="D31" s="29"/>
      <c r="E31" s="124"/>
      <c r="F31" s="3"/>
      <c r="G31" s="2"/>
    </row>
    <row r="32" spans="1:9" x14ac:dyDescent="0.25">
      <c r="A32" s="2"/>
      <c r="B32" s="3"/>
      <c r="C32" s="51"/>
      <c r="D32" s="29"/>
      <c r="E32" s="124"/>
      <c r="F32" s="3"/>
      <c r="G32" s="2"/>
    </row>
    <row r="33" spans="1:7" x14ac:dyDescent="0.25">
      <c r="A33" s="2"/>
      <c r="B33" s="3"/>
      <c r="C33" s="51"/>
      <c r="D33" s="29"/>
      <c r="E33" s="30"/>
      <c r="F33" s="3"/>
      <c r="G33" s="2"/>
    </row>
    <row r="34" spans="1:7" x14ac:dyDescent="0.25">
      <c r="A34" s="2"/>
      <c r="C34" s="51"/>
      <c r="D34" s="29"/>
      <c r="E34" s="30"/>
      <c r="F34" s="3"/>
      <c r="G34" s="2"/>
    </row>
    <row r="35" spans="1:7" x14ac:dyDescent="0.25">
      <c r="A35" s="2"/>
      <c r="B35" s="3"/>
      <c r="C35" s="51"/>
      <c r="D35" s="29"/>
      <c r="E35" s="30"/>
      <c r="F35" s="3"/>
      <c r="G35" s="2"/>
    </row>
    <row r="36" spans="1:7" x14ac:dyDescent="0.25">
      <c r="A36" s="2"/>
      <c r="C36" s="51"/>
      <c r="D36" s="29"/>
      <c r="E36" s="30"/>
      <c r="F36" s="3"/>
      <c r="G36" s="2"/>
    </row>
    <row r="37" spans="1:7" x14ac:dyDescent="0.25">
      <c r="A37" s="2"/>
      <c r="C37" s="51"/>
      <c r="D37" s="29"/>
      <c r="E37" s="30"/>
      <c r="F37" s="3"/>
      <c r="G37" s="2"/>
    </row>
    <row r="38" spans="1:7" x14ac:dyDescent="0.25">
      <c r="C38" s="3"/>
    </row>
    <row r="39" spans="1:7" x14ac:dyDescent="0.25">
      <c r="C39" s="3"/>
    </row>
    <row r="40" spans="1:7" x14ac:dyDescent="0.25">
      <c r="C40" s="3"/>
    </row>
    <row r="41" spans="1:7" x14ac:dyDescent="0.25">
      <c r="C41" s="3"/>
    </row>
    <row r="42" spans="1:7" x14ac:dyDescent="0.25">
      <c r="C42" s="3"/>
    </row>
    <row r="43" spans="1:7" x14ac:dyDescent="0.25">
      <c r="C43" s="3"/>
    </row>
    <row r="44" spans="1:7" x14ac:dyDescent="0.25">
      <c r="C44" s="3"/>
    </row>
    <row r="45" spans="1:7" x14ac:dyDescent="0.25">
      <c r="C45" s="3"/>
    </row>
    <row r="46" spans="1:7" x14ac:dyDescent="0.25">
      <c r="C46" s="3"/>
    </row>
  </sheetData>
  <sortState ref="A8:G29">
    <sortCondition descending="1" ref="D8:D29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workbookViewId="0">
      <selection activeCell="B1" sqref="B1:B27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1097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43124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44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1098</v>
      </c>
      <c r="C5" s="22"/>
      <c r="D5" s="22"/>
      <c r="E5" s="22" t="s">
        <v>55</v>
      </c>
      <c r="F5" s="38">
        <f>AVERAGE(C8:C11)*(AVERAGE(D8:D11)/100)</f>
        <v>3.8093756676794793E-2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46</v>
      </c>
      <c r="B8" s="3" t="s">
        <v>762</v>
      </c>
      <c r="C8" s="51">
        <v>4.091898148148148E-2</v>
      </c>
      <c r="D8" s="29">
        <f>INDEX('Points Summary'!$E$4:$E$1143,G8)</f>
        <v>92.524757170419548</v>
      </c>
      <c r="E8" s="124">
        <f>(AVERAGE($D$8:$D$11)/100*AVERAGE($C$8:$C$11))/C8</f>
        <v>0.9309556420419387</v>
      </c>
      <c r="F8" s="3"/>
      <c r="G8" s="2">
        <f>MATCH(B8,'Points Summary'!$B$4:$B$1144,0)</f>
        <v>366</v>
      </c>
    </row>
    <row r="9" spans="1:7" x14ac:dyDescent="0.25">
      <c r="A9" s="2">
        <v>56</v>
      </c>
      <c r="B9" s="3" t="s">
        <v>759</v>
      </c>
      <c r="C9" s="51">
        <v>4.1565972222222219E-2</v>
      </c>
      <c r="D9" s="29">
        <f>INDEX('Points Summary'!$E$4:$E$1143,G9)</f>
        <v>90.135550806114651</v>
      </c>
      <c r="E9" s="124">
        <f>(AVERAGE($D$8:$D$11)/100*AVERAGE($C$8:$C$11))/C9</f>
        <v>0.91646495054021393</v>
      </c>
      <c r="F9" s="3"/>
      <c r="G9" s="2">
        <f>MATCH(B9,'Points Summary'!$B$4:$B$1144,0)</f>
        <v>131</v>
      </c>
    </row>
    <row r="10" spans="1:7" x14ac:dyDescent="0.25">
      <c r="A10" s="2">
        <v>58</v>
      </c>
      <c r="B10" s="3" t="s">
        <v>460</v>
      </c>
      <c r="C10" s="51">
        <v>4.1623842592592594E-2</v>
      </c>
      <c r="D10" s="29">
        <f>INDEX('Points Summary'!$E$4:$E$1143,G10)</f>
        <v>92.02450874768823</v>
      </c>
      <c r="E10" s="124">
        <f>(AVERAGE($D$8:$D$11)/100*AVERAGE($C$8:$C$11))/C10</f>
        <v>0.91519077298197316</v>
      </c>
      <c r="F10" s="3"/>
      <c r="G10" s="2">
        <f>MATCH(B10,'Points Summary'!$B$4:$B$1144,0)</f>
        <v>139</v>
      </c>
    </row>
    <row r="11" spans="1:7" x14ac:dyDescent="0.25">
      <c r="A11" s="2">
        <v>74</v>
      </c>
      <c r="B11" s="3" t="s">
        <v>838</v>
      </c>
      <c r="C11" s="51">
        <v>4.2818287037037044E-2</v>
      </c>
      <c r="D11" s="29">
        <f>INDEX('Points Summary'!$E$4:$E$1143,G11)</f>
        <v>90.444732452419089</v>
      </c>
      <c r="E11" s="124">
        <f>(AVERAGE($D$8:$D$11)/100*AVERAGE($C$8:$C$11))/C11</f>
        <v>0.88966092090149196</v>
      </c>
      <c r="F11" s="3"/>
      <c r="G11" s="2">
        <f>MATCH(B11,'Points Summary'!$B$4:$B$1144,0)</f>
        <v>57</v>
      </c>
    </row>
    <row r="12" spans="1:7" x14ac:dyDescent="0.25">
      <c r="A12" s="2"/>
      <c r="B12" s="3"/>
      <c r="C12" s="51"/>
      <c r="D12" s="29"/>
      <c r="E12" s="124"/>
      <c r="F12" s="3"/>
      <c r="G12" s="2"/>
    </row>
    <row r="13" spans="1:7" x14ac:dyDescent="0.25">
      <c r="A13" s="2"/>
      <c r="B13" s="3"/>
      <c r="C13" s="51"/>
      <c r="D13" s="29"/>
      <c r="E13" s="124"/>
      <c r="F13" s="3"/>
      <c r="G13" s="2"/>
    </row>
    <row r="14" spans="1:7" x14ac:dyDescent="0.25">
      <c r="A14" s="2"/>
      <c r="B14" s="3"/>
      <c r="C14" s="51"/>
      <c r="D14" s="29"/>
      <c r="E14" s="124"/>
      <c r="F14" s="3"/>
      <c r="G14" s="2"/>
    </row>
    <row r="15" spans="1:7" x14ac:dyDescent="0.25">
      <c r="A15" s="2"/>
      <c r="B15" s="3"/>
      <c r="C15" s="51"/>
      <c r="D15" s="29"/>
      <c r="E15" s="124"/>
      <c r="F15" s="3"/>
      <c r="G15" s="2"/>
    </row>
    <row r="16" spans="1:7" x14ac:dyDescent="0.25">
      <c r="A16" s="2"/>
      <c r="B16" s="3"/>
      <c r="C16" s="51"/>
      <c r="D16" s="29"/>
      <c r="E16" s="124"/>
      <c r="F16" s="3"/>
      <c r="G16" s="2"/>
    </row>
    <row r="17" spans="1:7" x14ac:dyDescent="0.25">
      <c r="A17" s="2"/>
      <c r="B17" s="3"/>
      <c r="C17" s="51"/>
      <c r="D17" s="29"/>
      <c r="E17" s="124"/>
      <c r="F17" s="3"/>
      <c r="G17" s="2"/>
    </row>
    <row r="18" spans="1:7" x14ac:dyDescent="0.25">
      <c r="A18" s="2"/>
      <c r="B18" s="3"/>
      <c r="C18" s="51"/>
      <c r="D18" s="29"/>
      <c r="E18" s="124"/>
      <c r="F18" s="3"/>
      <c r="G18" s="2"/>
    </row>
    <row r="19" spans="1:7" x14ac:dyDescent="0.25">
      <c r="A19" s="2"/>
      <c r="C19" s="51"/>
      <c r="D19" s="29"/>
      <c r="E19" s="124"/>
      <c r="F19" s="3"/>
      <c r="G19" s="2"/>
    </row>
    <row r="20" spans="1:7" x14ac:dyDescent="0.25">
      <c r="A20" s="2"/>
      <c r="C20" s="51"/>
      <c r="D20" s="29"/>
      <c r="E20" s="124"/>
      <c r="F20" s="3"/>
      <c r="G20" s="2"/>
    </row>
    <row r="21" spans="1:7" x14ac:dyDescent="0.25">
      <c r="A21" s="2"/>
      <c r="B21" s="3"/>
      <c r="C21" s="51"/>
      <c r="D21" s="29"/>
      <c r="E21" s="124"/>
      <c r="F21" s="3"/>
      <c r="G21" s="2"/>
    </row>
    <row r="22" spans="1:7" x14ac:dyDescent="0.25">
      <c r="A22" s="2"/>
      <c r="C22" s="51"/>
      <c r="D22" s="29"/>
      <c r="E22" s="124"/>
      <c r="F22" s="3"/>
      <c r="G22" s="2"/>
    </row>
    <row r="23" spans="1:7" x14ac:dyDescent="0.25">
      <c r="A23" s="2"/>
      <c r="C23" s="51"/>
      <c r="D23" s="29"/>
      <c r="E23" s="124"/>
      <c r="F23" s="3"/>
      <c r="G23" s="2"/>
    </row>
    <row r="24" spans="1:7" x14ac:dyDescent="0.25">
      <c r="A24" s="2"/>
      <c r="C24" s="51"/>
      <c r="D24" s="29"/>
      <c r="E24" s="124"/>
      <c r="F24" s="3"/>
      <c r="G24" s="2"/>
    </row>
    <row r="25" spans="1:7" x14ac:dyDescent="0.25">
      <c r="A25" s="2"/>
      <c r="C25" s="51"/>
      <c r="D25" s="29"/>
      <c r="E25" s="124"/>
      <c r="F25" s="3"/>
      <c r="G25" s="2"/>
    </row>
    <row r="26" spans="1:7" x14ac:dyDescent="0.25">
      <c r="A26" s="2"/>
      <c r="C26" s="51"/>
      <c r="D26" s="29"/>
      <c r="E26" s="124"/>
      <c r="F26" s="3"/>
      <c r="G26" s="2"/>
    </row>
    <row r="27" spans="1:7" x14ac:dyDescent="0.25">
      <c r="A27" s="2"/>
      <c r="C27" s="51"/>
      <c r="D27" s="29"/>
      <c r="E27" s="124"/>
      <c r="F27" s="3"/>
      <c r="G27" s="2"/>
    </row>
    <row r="28" spans="1:7" x14ac:dyDescent="0.25">
      <c r="A28" s="2"/>
      <c r="B28" s="3"/>
      <c r="C28" s="51"/>
      <c r="D28" s="29"/>
      <c r="E28" s="124"/>
      <c r="F28" s="3"/>
      <c r="G28" s="2"/>
    </row>
    <row r="29" spans="1:7" x14ac:dyDescent="0.25">
      <c r="A29" s="2"/>
      <c r="C29" s="51"/>
      <c r="D29" s="29"/>
      <c r="E29" s="124"/>
      <c r="F29" s="3"/>
      <c r="G29" s="2"/>
    </row>
    <row r="30" spans="1:7" x14ac:dyDescent="0.25">
      <c r="A30" s="2"/>
      <c r="C30" s="51"/>
      <c r="D30" s="29"/>
      <c r="E30" s="124"/>
      <c r="F30" s="3"/>
      <c r="G30" s="2"/>
    </row>
    <row r="31" spans="1:7" x14ac:dyDescent="0.25">
      <c r="A31" s="2"/>
      <c r="C31" s="51"/>
      <c r="D31" s="29"/>
      <c r="E31" s="124"/>
      <c r="F31" s="3"/>
      <c r="G31" s="2"/>
    </row>
    <row r="32" spans="1:7" x14ac:dyDescent="0.25">
      <c r="A32" s="2"/>
      <c r="B32" s="39"/>
      <c r="C32" s="51"/>
      <c r="D32" s="29"/>
      <c r="E32" s="124"/>
      <c r="F32" s="3"/>
      <c r="G32" s="2"/>
    </row>
    <row r="33" spans="1:7" x14ac:dyDescent="0.25">
      <c r="A33" s="2"/>
      <c r="B33" s="3"/>
      <c r="C33" s="51"/>
      <c r="D33" s="29"/>
      <c r="E33" s="124"/>
      <c r="F33" s="3"/>
      <c r="G33" s="2"/>
    </row>
    <row r="34" spans="1:7" x14ac:dyDescent="0.25">
      <c r="A34" s="2"/>
      <c r="B34" s="3"/>
      <c r="C34" s="51"/>
      <c r="D34" s="29"/>
      <c r="E34" s="124"/>
      <c r="F34" s="3"/>
      <c r="G34" s="2"/>
    </row>
    <row r="35" spans="1:7" x14ac:dyDescent="0.25">
      <c r="A35" s="2"/>
      <c r="B35" s="3"/>
      <c r="C35" s="51"/>
      <c r="D35" s="29"/>
      <c r="E35" s="124"/>
      <c r="F35" s="3"/>
      <c r="G35" s="2"/>
    </row>
    <row r="36" spans="1:7" x14ac:dyDescent="0.25">
      <c r="A36" s="2"/>
      <c r="B36" s="3"/>
      <c r="C36" s="51"/>
      <c r="D36" s="29"/>
      <c r="E36" s="124"/>
      <c r="F36" s="3"/>
      <c r="G36" s="2"/>
    </row>
    <row r="37" spans="1:7" x14ac:dyDescent="0.25">
      <c r="A37" s="2"/>
      <c r="C37" s="51"/>
      <c r="D37" s="29"/>
      <c r="E37" s="124"/>
      <c r="F37" s="3"/>
      <c r="G37" s="2"/>
    </row>
    <row r="38" spans="1:7" x14ac:dyDescent="0.25">
      <c r="A38" s="2"/>
      <c r="C38" s="51"/>
      <c r="D38" s="29"/>
      <c r="E38" s="124"/>
      <c r="F38" s="3"/>
      <c r="G38" s="2"/>
    </row>
    <row r="39" spans="1:7" x14ac:dyDescent="0.25">
      <c r="A39" s="2"/>
      <c r="C39" s="51"/>
      <c r="D39" s="29"/>
      <c r="E39" s="124"/>
      <c r="F39" s="3"/>
      <c r="G39" s="2"/>
    </row>
    <row r="40" spans="1:7" x14ac:dyDescent="0.25">
      <c r="A40" s="2"/>
      <c r="C40" s="51"/>
      <c r="D40" s="29"/>
      <c r="E40" s="124"/>
      <c r="F40" s="3"/>
      <c r="G40" s="2"/>
    </row>
    <row r="41" spans="1:7" x14ac:dyDescent="0.25">
      <c r="A41" s="2"/>
      <c r="C41" s="51"/>
      <c r="D41" s="29"/>
      <c r="E41" s="124"/>
      <c r="F41" s="3"/>
      <c r="G41" s="2"/>
    </row>
    <row r="42" spans="1:7" x14ac:dyDescent="0.25">
      <c r="A42" s="2"/>
      <c r="C42" s="51"/>
      <c r="D42" s="29"/>
      <c r="E42" s="124"/>
      <c r="F42" s="3"/>
      <c r="G42" s="2"/>
    </row>
    <row r="43" spans="1:7" x14ac:dyDescent="0.25">
      <c r="A43" s="2"/>
      <c r="B43" s="75"/>
      <c r="C43" s="51"/>
      <c r="D43" s="29"/>
      <c r="E43" s="124"/>
      <c r="F43" s="3"/>
      <c r="G43" s="2"/>
    </row>
    <row r="44" spans="1:7" x14ac:dyDescent="0.25">
      <c r="A44" s="2"/>
      <c r="C44" s="51"/>
      <c r="D44" s="29"/>
      <c r="E44" s="124"/>
      <c r="F44" s="3"/>
      <c r="G44" s="2"/>
    </row>
    <row r="45" spans="1:7" x14ac:dyDescent="0.25">
      <c r="A45" s="2"/>
      <c r="C45" s="51"/>
      <c r="D45" s="29"/>
      <c r="E45" s="124"/>
      <c r="F45" s="3"/>
      <c r="G45" s="2"/>
    </row>
    <row r="46" spans="1:7" x14ac:dyDescent="0.25">
      <c r="A46" s="2"/>
      <c r="C46" s="51"/>
      <c r="D46" s="29"/>
      <c r="E46" s="124"/>
      <c r="F46" s="3"/>
      <c r="G46" s="2"/>
    </row>
    <row r="47" spans="1:7" x14ac:dyDescent="0.25">
      <c r="A47" s="2"/>
      <c r="C47" s="51"/>
      <c r="D47" s="29"/>
      <c r="E47" s="124"/>
      <c r="F47" s="3"/>
      <c r="G47" s="2"/>
    </row>
    <row r="48" spans="1:7" x14ac:dyDescent="0.25">
      <c r="A48" s="2"/>
      <c r="C48" s="51"/>
      <c r="D48" s="29"/>
      <c r="E48" s="124"/>
      <c r="F48" s="3"/>
      <c r="G48" s="2"/>
    </row>
    <row r="49" spans="1:7" x14ac:dyDescent="0.25">
      <c r="A49" s="2"/>
      <c r="C49" s="51"/>
      <c r="D49" s="29"/>
      <c r="E49" s="124"/>
      <c r="F49" s="3"/>
      <c r="G49" s="2"/>
    </row>
    <row r="50" spans="1:7" x14ac:dyDescent="0.25">
      <c r="A50" s="2"/>
      <c r="C50" s="51"/>
      <c r="D50" s="29"/>
      <c r="E50" s="124"/>
      <c r="F50" s="3"/>
      <c r="G50" s="2"/>
    </row>
    <row r="51" spans="1:7" x14ac:dyDescent="0.25">
      <c r="A51" s="2"/>
      <c r="C51" s="51"/>
      <c r="D51" s="29"/>
      <c r="E51" s="124"/>
      <c r="F51" s="3"/>
      <c r="G51" s="2"/>
    </row>
    <row r="52" spans="1:7" x14ac:dyDescent="0.25">
      <c r="A52" s="2"/>
      <c r="C52" s="51"/>
      <c r="D52" s="29"/>
      <c r="E52" s="124"/>
      <c r="F52" s="3"/>
      <c r="G52" s="2"/>
    </row>
    <row r="53" spans="1:7" x14ac:dyDescent="0.25">
      <c r="A53" s="2"/>
      <c r="C53" s="51"/>
      <c r="D53" s="29"/>
      <c r="E53" s="124"/>
      <c r="F53" s="3"/>
      <c r="G53" s="2"/>
    </row>
    <row r="54" spans="1:7" x14ac:dyDescent="0.25">
      <c r="A54" s="2"/>
      <c r="B54" s="75"/>
      <c r="C54" s="51"/>
      <c r="D54" s="29"/>
      <c r="E54" s="124"/>
      <c r="F54" s="3"/>
      <c r="G54" s="2"/>
    </row>
    <row r="55" spans="1:7" x14ac:dyDescent="0.25">
      <c r="A55" s="2"/>
      <c r="C55" s="51"/>
      <c r="D55" s="29"/>
      <c r="E55" s="124"/>
      <c r="F55" s="3"/>
      <c r="G55" s="2"/>
    </row>
  </sheetData>
  <sortState ref="A8:G55">
    <sortCondition descending="1" ref="D8:D55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"/>
  <sheetViews>
    <sheetView zoomScaleNormal="100"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1099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43126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1098</v>
      </c>
      <c r="C5" s="22"/>
      <c r="D5" s="22"/>
      <c r="E5" s="22" t="s">
        <v>55</v>
      </c>
      <c r="F5" s="38">
        <f>AVERAGE(C8:C12)*(AVERAGE(D8:D12)/100)</f>
        <v>1.7335102741145303E-2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114</v>
      </c>
      <c r="B8" s="3" t="s">
        <v>762</v>
      </c>
      <c r="C8" s="51">
        <v>1.9476851851851853E-2</v>
      </c>
      <c r="D8" s="29">
        <f>INDEX('Points Summary'!$E$4:$E$1143,G8)</f>
        <v>92.524757170419548</v>
      </c>
      <c r="E8" s="124">
        <f>(AVERAGE($D$8:$D$12)/100*AVERAGE($C$8:$C$12))/C8</f>
        <v>0.89003617591808537</v>
      </c>
      <c r="F8" s="3"/>
      <c r="G8" s="2">
        <f>MATCH(B8,'Points Summary'!$B$4:$B$1144,0)</f>
        <v>366</v>
      </c>
    </row>
    <row r="9" spans="1:7" x14ac:dyDescent="0.25">
      <c r="A9" s="2">
        <v>53</v>
      </c>
      <c r="B9" s="3" t="s">
        <v>795</v>
      </c>
      <c r="C9" s="51">
        <v>1.8265046296296297E-2</v>
      </c>
      <c r="D9" s="29">
        <f>INDEX('Points Summary'!$E$4:$E$1143,G9)</f>
        <v>92.115803380127957</v>
      </c>
      <c r="E9" s="124">
        <f>(AVERAGE($D$8:$D$12)/100*AVERAGE($C$8:$C$12))/C9</f>
        <v>0.94908616490396946</v>
      </c>
      <c r="F9" s="3"/>
      <c r="G9" s="2">
        <f>MATCH(B9,'Points Summary'!$B$4:$B$1144,0)</f>
        <v>201</v>
      </c>
    </row>
    <row r="10" spans="1:7" x14ac:dyDescent="0.25">
      <c r="A10" s="2">
        <v>85</v>
      </c>
      <c r="B10" s="3" t="s">
        <v>460</v>
      </c>
      <c r="C10" s="51">
        <v>1.8865740740740742E-2</v>
      </c>
      <c r="D10" s="29">
        <f>INDEX('Points Summary'!$E$4:$E$1143,G10)</f>
        <v>92.02450874768823</v>
      </c>
      <c r="E10" s="124">
        <f>(AVERAGE($D$8:$D$12)/100*AVERAGE($C$8:$C$12))/C10</f>
        <v>0.91886679560426632</v>
      </c>
      <c r="F10" s="3"/>
      <c r="G10" s="2">
        <f>MATCH(B10,'Points Summary'!$B$4:$B$1144,0)</f>
        <v>139</v>
      </c>
    </row>
    <row r="11" spans="1:7" x14ac:dyDescent="0.25">
      <c r="A11" s="2">
        <v>84</v>
      </c>
      <c r="B11" s="3" t="s">
        <v>838</v>
      </c>
      <c r="C11" s="51">
        <v>1.8807870370370371E-2</v>
      </c>
      <c r="D11" s="29">
        <f>INDEX('Points Summary'!$E$4:$E$1143,G11)</f>
        <v>90.444732452419089</v>
      </c>
      <c r="E11" s="124">
        <f>(AVERAGE($D$8:$D$12)/100*AVERAGE($C$8:$C$12))/C11</f>
        <v>0.92169407805227943</v>
      </c>
      <c r="F11" s="3"/>
      <c r="G11" s="2">
        <f>MATCH(B11,'Points Summary'!$B$4:$B$1144,0)</f>
        <v>57</v>
      </c>
    </row>
    <row r="12" spans="1:7" x14ac:dyDescent="0.25">
      <c r="A12" s="2">
        <v>111</v>
      </c>
      <c r="B12" s="3" t="s">
        <v>759</v>
      </c>
      <c r="C12" s="51">
        <v>1.9364583333333334E-2</v>
      </c>
      <c r="D12" s="29">
        <f>INDEX('Points Summary'!$E$4:$E$1143,G12)</f>
        <v>90.135550806114651</v>
      </c>
      <c r="E12" s="124">
        <f>(AVERAGE($D$8:$D$12)/100*AVERAGE($C$8:$C$12))/C12</f>
        <v>0.89519626850454492</v>
      </c>
      <c r="F12" s="3"/>
      <c r="G12" s="2">
        <f>MATCH(B12,'Points Summary'!$B$4:$B$1144,0)</f>
        <v>131</v>
      </c>
    </row>
    <row r="13" spans="1:7" x14ac:dyDescent="0.25">
      <c r="A13" s="2"/>
      <c r="B13" s="3"/>
      <c r="C13" s="51"/>
      <c r="D13" s="29"/>
      <c r="E13" s="124"/>
      <c r="F13" s="3"/>
      <c r="G13" s="2"/>
    </row>
    <row r="14" spans="1:7" x14ac:dyDescent="0.25">
      <c r="A14" s="2"/>
      <c r="B14" s="3"/>
      <c r="C14" s="51"/>
      <c r="D14" s="29"/>
      <c r="E14" s="124"/>
      <c r="F14" s="3"/>
      <c r="G14" s="2"/>
    </row>
    <row r="15" spans="1:7" x14ac:dyDescent="0.25">
      <c r="A15" s="2"/>
      <c r="B15" s="3"/>
      <c r="C15" s="51"/>
      <c r="D15" s="29"/>
      <c r="E15" s="124"/>
      <c r="F15" s="3"/>
      <c r="G15" s="2"/>
    </row>
    <row r="16" spans="1:7" x14ac:dyDescent="0.25">
      <c r="A16" s="2"/>
      <c r="B16" s="3"/>
      <c r="C16" s="51"/>
      <c r="D16" s="29"/>
      <c r="E16" s="124"/>
      <c r="F16" s="3"/>
      <c r="G16" s="2"/>
    </row>
    <row r="17" spans="1:7" x14ac:dyDescent="0.25">
      <c r="A17" s="2"/>
      <c r="B17" s="3"/>
      <c r="C17" s="51"/>
      <c r="D17" s="29"/>
      <c r="E17" s="124"/>
      <c r="F17" s="3"/>
      <c r="G17" s="2"/>
    </row>
    <row r="18" spans="1:7" x14ac:dyDescent="0.25">
      <c r="A18" s="2"/>
      <c r="B18" s="3"/>
      <c r="C18" s="51"/>
      <c r="D18" s="29"/>
      <c r="E18" s="124"/>
      <c r="F18" s="3"/>
      <c r="G18" s="2"/>
    </row>
    <row r="19" spans="1:7" x14ac:dyDescent="0.25">
      <c r="A19" s="2"/>
      <c r="C19" s="51"/>
      <c r="D19" s="29"/>
      <c r="E19" s="124"/>
      <c r="F19" s="3"/>
      <c r="G19" s="2"/>
    </row>
    <row r="20" spans="1:7" x14ac:dyDescent="0.25">
      <c r="A20" s="2"/>
      <c r="C20" s="51"/>
      <c r="D20" s="29"/>
      <c r="E20" s="124"/>
      <c r="F20" s="3"/>
      <c r="G20" s="2"/>
    </row>
    <row r="21" spans="1:7" x14ac:dyDescent="0.25">
      <c r="A21" s="2"/>
      <c r="B21" s="3"/>
      <c r="C21" s="51"/>
      <c r="D21" s="29"/>
      <c r="E21" s="124"/>
      <c r="F21" s="3"/>
      <c r="G21" s="2"/>
    </row>
    <row r="22" spans="1:7" x14ac:dyDescent="0.25">
      <c r="A22" s="2"/>
      <c r="C22" s="51"/>
      <c r="D22" s="29"/>
      <c r="E22" s="124"/>
      <c r="F22" s="3"/>
      <c r="G22" s="2"/>
    </row>
    <row r="23" spans="1:7" x14ac:dyDescent="0.25">
      <c r="A23" s="2"/>
      <c r="C23" s="51"/>
      <c r="D23" s="29"/>
      <c r="E23" s="124"/>
      <c r="F23" s="3"/>
      <c r="G23" s="2"/>
    </row>
    <row r="24" spans="1:7" x14ac:dyDescent="0.25">
      <c r="A24" s="2"/>
      <c r="C24" s="51"/>
      <c r="D24" s="29"/>
      <c r="E24" s="124"/>
      <c r="F24" s="3"/>
      <c r="G24" s="2"/>
    </row>
    <row r="25" spans="1:7" x14ac:dyDescent="0.25">
      <c r="A25" s="2"/>
      <c r="C25" s="51"/>
      <c r="D25" s="29"/>
      <c r="E25" s="124"/>
      <c r="F25" s="3"/>
      <c r="G25" s="2"/>
    </row>
    <row r="26" spans="1:7" x14ac:dyDescent="0.25">
      <c r="A26" s="2"/>
      <c r="C26" s="51"/>
      <c r="D26" s="29"/>
      <c r="E26" s="124"/>
      <c r="F26" s="3"/>
      <c r="G26" s="2"/>
    </row>
    <row r="27" spans="1:7" x14ac:dyDescent="0.25">
      <c r="A27" s="2"/>
      <c r="C27" s="51"/>
      <c r="D27" s="29"/>
      <c r="E27" s="124"/>
      <c r="F27" s="3"/>
      <c r="G27" s="2"/>
    </row>
    <row r="28" spans="1:7" x14ac:dyDescent="0.25">
      <c r="A28" s="2"/>
      <c r="B28" s="3"/>
      <c r="C28" s="51"/>
      <c r="D28" s="29"/>
      <c r="E28" s="124"/>
      <c r="F28" s="3"/>
      <c r="G28" s="2"/>
    </row>
    <row r="29" spans="1:7" x14ac:dyDescent="0.25">
      <c r="A29" s="2"/>
      <c r="B29" s="3"/>
      <c r="C29" s="51"/>
      <c r="D29" s="29"/>
      <c r="E29" s="124"/>
      <c r="F29" s="3"/>
      <c r="G29" s="2"/>
    </row>
    <row r="30" spans="1:7" x14ac:dyDescent="0.25">
      <c r="A30" s="2"/>
      <c r="B30" s="3"/>
      <c r="C30" s="51"/>
      <c r="D30" s="29"/>
      <c r="E30" s="124"/>
      <c r="F30" s="3"/>
      <c r="G30" s="2"/>
    </row>
    <row r="31" spans="1:7" x14ac:dyDescent="0.25">
      <c r="A31" s="2"/>
      <c r="B31" s="3"/>
      <c r="C31" s="51"/>
      <c r="D31" s="29"/>
      <c r="E31" s="124"/>
      <c r="F31" s="3"/>
      <c r="G31" s="2"/>
    </row>
    <row r="32" spans="1:7" x14ac:dyDescent="0.25">
      <c r="A32" s="2"/>
      <c r="B32" s="3"/>
      <c r="C32" s="51"/>
      <c r="D32" s="29"/>
      <c r="E32" s="124"/>
      <c r="F32" s="3"/>
      <c r="G32" s="2"/>
    </row>
    <row r="33" spans="1:7" x14ac:dyDescent="0.25">
      <c r="A33" s="2"/>
      <c r="B33" s="3"/>
      <c r="C33" s="51"/>
      <c r="D33" s="29"/>
      <c r="E33" s="124"/>
      <c r="F33" s="3"/>
      <c r="G33" s="2"/>
    </row>
    <row r="34" spans="1:7" x14ac:dyDescent="0.25">
      <c r="A34" s="2"/>
      <c r="B34" s="3"/>
      <c r="C34" s="51"/>
      <c r="D34" s="29"/>
      <c r="E34" s="124"/>
      <c r="F34" s="3"/>
      <c r="G34" s="2"/>
    </row>
    <row r="35" spans="1:7" x14ac:dyDescent="0.25">
      <c r="A35" s="2"/>
      <c r="B35" s="3"/>
      <c r="C35" s="51"/>
      <c r="D35" s="29"/>
      <c r="E35" s="124"/>
      <c r="F35" s="3"/>
      <c r="G35" s="2"/>
    </row>
    <row r="36" spans="1:7" x14ac:dyDescent="0.25">
      <c r="A36" s="2"/>
      <c r="B36" s="3"/>
      <c r="C36" s="51"/>
      <c r="D36" s="29"/>
      <c r="E36" s="124"/>
      <c r="F36" s="3"/>
      <c r="G36" s="2"/>
    </row>
    <row r="37" spans="1:7" x14ac:dyDescent="0.25">
      <c r="A37" s="2"/>
      <c r="B37" s="3"/>
      <c r="C37" s="51"/>
      <c r="D37" s="29"/>
      <c r="E37" s="124"/>
      <c r="F37" s="3"/>
      <c r="G37" s="2"/>
    </row>
    <row r="38" spans="1:7" x14ac:dyDescent="0.25">
      <c r="A38" s="2"/>
      <c r="B38" s="3"/>
      <c r="C38" s="51"/>
      <c r="D38" s="29"/>
      <c r="E38" s="124"/>
      <c r="F38" s="3"/>
      <c r="G38" s="2"/>
    </row>
    <row r="39" spans="1:7" x14ac:dyDescent="0.25">
      <c r="A39" s="2"/>
      <c r="B39" s="3"/>
      <c r="C39" s="51"/>
      <c r="D39" s="29"/>
      <c r="E39" s="124"/>
      <c r="F39" s="3"/>
      <c r="G39" s="2"/>
    </row>
    <row r="40" spans="1:7" x14ac:dyDescent="0.25">
      <c r="A40" s="2"/>
      <c r="B40" s="3"/>
      <c r="C40" s="51"/>
      <c r="D40" s="29"/>
      <c r="E40" s="124"/>
      <c r="F40" s="3"/>
      <c r="G40" s="2"/>
    </row>
    <row r="41" spans="1:7" x14ac:dyDescent="0.25">
      <c r="A41" s="2"/>
      <c r="B41" s="3"/>
      <c r="C41" s="51"/>
      <c r="D41" s="29"/>
      <c r="E41" s="124"/>
      <c r="F41" s="3"/>
      <c r="G41" s="2"/>
    </row>
    <row r="42" spans="1:7" x14ac:dyDescent="0.25">
      <c r="A42" s="2"/>
      <c r="B42" s="3"/>
      <c r="C42" s="51"/>
      <c r="D42" s="29"/>
      <c r="E42" s="124"/>
      <c r="F42" s="3"/>
      <c r="G42" s="2"/>
    </row>
  </sheetData>
  <sortState ref="A8:G12">
    <sortCondition descending="1" ref="D8:D12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topLeftCell="C1" workbookViewId="0">
      <selection activeCell="B2" sqref="B2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9" x14ac:dyDescent="0.25">
      <c r="A1" s="16" t="s">
        <v>22</v>
      </c>
      <c r="B1" s="17" t="s">
        <v>1102</v>
      </c>
      <c r="C1" s="18"/>
      <c r="D1" s="18"/>
      <c r="E1" s="18"/>
      <c r="F1" s="18"/>
      <c r="G1" s="19"/>
    </row>
    <row r="2" spans="1:9" x14ac:dyDescent="0.25">
      <c r="A2" s="20" t="s">
        <v>23</v>
      </c>
      <c r="B2" s="21">
        <v>43127</v>
      </c>
      <c r="C2" s="22"/>
      <c r="D2" s="22"/>
      <c r="E2" s="22"/>
      <c r="F2" s="22"/>
      <c r="G2" s="23"/>
    </row>
    <row r="3" spans="1:9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9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9" x14ac:dyDescent="0.25">
      <c r="A5" s="20" t="s">
        <v>27</v>
      </c>
      <c r="B5" s="24" t="s">
        <v>1100</v>
      </c>
      <c r="C5" s="22"/>
      <c r="D5" s="22"/>
      <c r="E5" s="22" t="s">
        <v>55</v>
      </c>
      <c r="F5" s="38">
        <f>AVERAGE(C8:C12)*(AVERAGE(D8:D12)/100)</f>
        <v>1.059349811277514E-2</v>
      </c>
      <c r="G5" s="23"/>
    </row>
    <row r="6" spans="1:9" x14ac:dyDescent="0.25">
      <c r="A6" s="25" t="s">
        <v>29</v>
      </c>
      <c r="B6" s="26"/>
      <c r="C6" s="26"/>
      <c r="D6" s="26"/>
      <c r="E6" s="26"/>
      <c r="F6" s="26"/>
      <c r="G6" s="27"/>
    </row>
    <row r="7" spans="1:9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9" x14ac:dyDescent="0.25">
      <c r="A8" s="2">
        <v>1</v>
      </c>
      <c r="B8" s="3" t="s">
        <v>11</v>
      </c>
      <c r="C8" s="51">
        <f>TIME(0,22,43)</f>
        <v>1.577546296296296E-2</v>
      </c>
      <c r="D8" s="29">
        <f>INDEX('Points Summary'!$E$4:$E$1143,G8)</f>
        <v>66.843409203160235</v>
      </c>
      <c r="E8" s="124">
        <f t="shared" ref="E8:E24" si="0">(AVERAGE($D$8:$D$12)/100*AVERAGE($C$8:$C$12))/C8</f>
        <v>0.67151741521920194</v>
      </c>
      <c r="F8" s="3"/>
      <c r="G8" s="2">
        <f>MATCH(B8,'Points Summary'!$B$4:$B$1144,0)</f>
        <v>426</v>
      </c>
      <c r="I8" s="71"/>
    </row>
    <row r="9" spans="1:9" x14ac:dyDescent="0.25">
      <c r="A9" s="2">
        <v>2</v>
      </c>
      <c r="B9" s="3" t="s">
        <v>703</v>
      </c>
      <c r="C9" s="51">
        <f>TIME(0,24,41)</f>
        <v>1.7141203703703704E-2</v>
      </c>
      <c r="D9" s="29">
        <f>INDEX('Points Summary'!$E$4:$E$1143,G9)</f>
        <v>62.314951770726339</v>
      </c>
      <c r="E9" s="124">
        <f t="shared" si="0"/>
        <v>0.61801366437796901</v>
      </c>
      <c r="F9" s="3"/>
      <c r="G9" s="2">
        <f>MATCH(B9,'Points Summary'!$B$4:$B$1144,0)</f>
        <v>211</v>
      </c>
      <c r="I9" s="72"/>
    </row>
    <row r="10" spans="1:9" x14ac:dyDescent="0.25">
      <c r="A10" s="2">
        <v>2</v>
      </c>
      <c r="B10" s="3" t="s">
        <v>12</v>
      </c>
      <c r="C10" s="51">
        <f>TIME(0,24,5)</f>
        <v>1.6724537037037034E-2</v>
      </c>
      <c r="D10" s="29">
        <f>INDEX('Points Summary'!$E$4:$E$1143,G10)</f>
        <v>61.556524973626225</v>
      </c>
      <c r="E10" s="124">
        <f t="shared" si="0"/>
        <v>0.63341054459776625</v>
      </c>
      <c r="F10" s="3"/>
      <c r="G10" s="2">
        <f>MATCH(B10,'Points Summary'!$B$4:$B$1144,0)</f>
        <v>292</v>
      </c>
    </row>
    <row r="11" spans="1:9" x14ac:dyDescent="0.25">
      <c r="A11" s="2">
        <v>1</v>
      </c>
      <c r="B11" s="3" t="s">
        <v>398</v>
      </c>
      <c r="C11" s="51">
        <f>TIME(0,24,6)</f>
        <v>1.6736111111111111E-2</v>
      </c>
      <c r="D11" s="29">
        <f>INDEX('Points Summary'!$E$4:$E$1143,G11)</f>
        <v>60.636529782048591</v>
      </c>
      <c r="E11" s="124">
        <f t="shared" si="0"/>
        <v>0.63297250134424066</v>
      </c>
      <c r="F11" s="3"/>
      <c r="G11" s="2">
        <f>MATCH(B11,'Points Summary'!$B$4:$B$1144,0)</f>
        <v>119</v>
      </c>
    </row>
    <row r="12" spans="1:9" x14ac:dyDescent="0.25">
      <c r="A12" s="2">
        <v>4</v>
      </c>
      <c r="B12" s="3" t="s">
        <v>145</v>
      </c>
      <c r="C12" s="51">
        <f>TIME(0,26,42)</f>
        <v>1.8541666666666668E-2</v>
      </c>
      <c r="D12" s="29">
        <f>INDEX('Points Summary'!$E$4:$E$1143,G12)</f>
        <v>60.519320587656843</v>
      </c>
      <c r="E12" s="124">
        <f t="shared" si="0"/>
        <v>0.57133472967776033</v>
      </c>
      <c r="F12" s="3"/>
      <c r="G12" s="2">
        <f>MATCH(B12,'Points Summary'!$B$4:$B$1144,0)</f>
        <v>447</v>
      </c>
    </row>
    <row r="13" spans="1:9" x14ac:dyDescent="0.25">
      <c r="A13" s="2">
        <v>3</v>
      </c>
      <c r="B13" s="3" t="s">
        <v>108</v>
      </c>
      <c r="C13" s="51">
        <f>TIME(0,26,29)</f>
        <v>1.8391203703703705E-2</v>
      </c>
      <c r="D13" s="29">
        <f>INDEX('Points Summary'!$E$4:$E$1143,G13)</f>
        <v>59.774545485164211</v>
      </c>
      <c r="E13" s="124">
        <f t="shared" si="0"/>
        <v>0.57600895968771049</v>
      </c>
      <c r="F13" s="3"/>
      <c r="G13" s="2">
        <f>MATCH(B13,'Points Summary'!$B$4:$B$1144,0)</f>
        <v>48</v>
      </c>
    </row>
    <row r="14" spans="1:9" x14ac:dyDescent="0.25">
      <c r="A14" s="2">
        <v>1</v>
      </c>
      <c r="B14" s="3" t="s">
        <v>81</v>
      </c>
      <c r="C14" s="51">
        <f>TIME(0,24,57)</f>
        <v>1.7326388888888888E-2</v>
      </c>
      <c r="D14" s="29">
        <f>INDEX('Points Summary'!$E$4:$E$1143,G14)</f>
        <v>59.764313956813048</v>
      </c>
      <c r="E14" s="124">
        <f t="shared" si="0"/>
        <v>0.61140830791167144</v>
      </c>
      <c r="F14" s="3"/>
      <c r="G14" s="2">
        <f>MATCH(B14,'Points Summary'!$B$4:$B$1144,0)</f>
        <v>373</v>
      </c>
    </row>
    <row r="15" spans="1:9" x14ac:dyDescent="0.25">
      <c r="A15" s="2">
        <v>7</v>
      </c>
      <c r="B15" s="3" t="s">
        <v>362</v>
      </c>
      <c r="C15" s="51">
        <f>TIME(0,30,3)</f>
        <v>2.0868055555555556E-2</v>
      </c>
      <c r="D15" s="29">
        <f>INDEX('Points Summary'!$E$4:$E$1143,G15)</f>
        <v>55.679463696300587</v>
      </c>
      <c r="E15" s="124">
        <f t="shared" si="0"/>
        <v>0.50764183968040599</v>
      </c>
      <c r="F15" s="3"/>
      <c r="G15" s="2">
        <f>MATCH(B15,'Points Summary'!$B$4:$B$1144,0)</f>
        <v>452</v>
      </c>
    </row>
    <row r="16" spans="1:9" x14ac:dyDescent="0.25">
      <c r="A16" s="2">
        <v>6</v>
      </c>
      <c r="B16" s="3" t="s">
        <v>184</v>
      </c>
      <c r="C16" s="51">
        <f>TIME(0,27,55)</f>
        <v>1.9386574074074073E-2</v>
      </c>
      <c r="D16" s="29">
        <f>INDEX('Points Summary'!$E$4:$E$1143,G16)</f>
        <v>52.046323388447334</v>
      </c>
      <c r="E16" s="124">
        <f t="shared" si="0"/>
        <v>0.54643476832464011</v>
      </c>
      <c r="F16" s="3"/>
      <c r="G16" s="2">
        <f>MATCH(B16,'Points Summary'!$B$4:$B$1144,0)</f>
        <v>346</v>
      </c>
    </row>
    <row r="17" spans="1:12" x14ac:dyDescent="0.25">
      <c r="A17" s="2">
        <v>3</v>
      </c>
      <c r="B17" s="3" t="s">
        <v>430</v>
      </c>
      <c r="C17" s="51">
        <f>TIME(0,27,3)</f>
        <v>1.8784722222222223E-2</v>
      </c>
      <c r="D17" s="29">
        <f>INDEX('Points Summary'!$E$4:$E$1143,G17)</f>
        <v>49.495238031520621</v>
      </c>
      <c r="E17" s="124">
        <f t="shared" si="0"/>
        <v>0.56394222855438814</v>
      </c>
      <c r="F17" s="3"/>
      <c r="G17" s="2">
        <f>MATCH(B17,'Points Summary'!$B$4:$B$1144,0)</f>
        <v>67</v>
      </c>
    </row>
    <row r="18" spans="1:12" x14ac:dyDescent="0.25">
      <c r="A18" s="2">
        <v>8</v>
      </c>
      <c r="B18" s="3" t="s">
        <v>46</v>
      </c>
      <c r="C18" s="51">
        <f>TIME(0,31,38)</f>
        <v>2.1967592592592594E-2</v>
      </c>
      <c r="D18" s="29">
        <f>INDEX('Points Summary'!$E$4:$E$1143,G18)</f>
        <v>46.890473746597834</v>
      </c>
      <c r="E18" s="124">
        <f t="shared" si="0"/>
        <v>0.48223300155098631</v>
      </c>
      <c r="F18" s="3"/>
      <c r="G18" s="2">
        <f>MATCH(B18,'Points Summary'!$B$4:$B$1144,0)</f>
        <v>175</v>
      </c>
    </row>
    <row r="19" spans="1:12" x14ac:dyDescent="0.25">
      <c r="A19" s="2">
        <v>1</v>
      </c>
      <c r="B19" s="3" t="s">
        <v>731</v>
      </c>
      <c r="C19" s="51">
        <f>TIME(0,32,47)</f>
        <v>2.2766203703703702E-2</v>
      </c>
      <c r="D19" s="29">
        <f>INDEX('Points Summary'!$E$4:$E$1143,G19)</f>
        <v>45.896656893682632</v>
      </c>
      <c r="E19" s="124">
        <f t="shared" si="0"/>
        <v>0.46531684643811499</v>
      </c>
      <c r="F19" s="3"/>
      <c r="G19" s="2">
        <f>MATCH(B19,'Points Summary'!$B$4:$B$1144,0)</f>
        <v>273</v>
      </c>
    </row>
    <row r="20" spans="1:12" x14ac:dyDescent="0.25">
      <c r="A20" s="2">
        <v>9</v>
      </c>
      <c r="B20" s="3" t="s">
        <v>110</v>
      </c>
      <c r="C20" s="51">
        <f>TIME(0,32,5)</f>
        <v>2.2280092592592591E-2</v>
      </c>
      <c r="D20" s="29">
        <f>INDEX('Points Summary'!$E$4:$E$1143,G20)</f>
        <v>45.826273858324868</v>
      </c>
      <c r="E20" s="124">
        <f t="shared" si="0"/>
        <v>0.47546921399676473</v>
      </c>
      <c r="F20" s="3"/>
      <c r="G20" s="2">
        <f>MATCH(B20,'Points Summary'!$B$4:$B$1144,0)</f>
        <v>385</v>
      </c>
    </row>
    <row r="21" spans="1:12" x14ac:dyDescent="0.25">
      <c r="A21" s="2">
        <v>1</v>
      </c>
      <c r="B21" s="3" t="s">
        <v>734</v>
      </c>
      <c r="C21" s="51">
        <f>TIME(0,31,4)</f>
        <v>2.1574074074074075E-2</v>
      </c>
      <c r="D21" s="29">
        <f>INDEX('Points Summary'!$E$4:$E$1143,G21)</f>
        <v>42.746778636290308</v>
      </c>
      <c r="E21" s="124">
        <f t="shared" si="0"/>
        <v>0.49102909707283904</v>
      </c>
      <c r="F21" s="3"/>
      <c r="G21" s="2">
        <f>MATCH(B21,'Points Summary'!$B$4:$B$1144,0)</f>
        <v>418</v>
      </c>
    </row>
    <row r="22" spans="1:12" x14ac:dyDescent="0.25">
      <c r="A22" s="2">
        <v>2</v>
      </c>
      <c r="B22" s="3" t="s">
        <v>140</v>
      </c>
      <c r="C22" s="51">
        <f>TIME(0,34,40)</f>
        <v>2.4074074074074071E-2</v>
      </c>
      <c r="D22" s="29">
        <f>INDEX('Points Summary'!$E$4:$E$1143,G22)</f>
        <v>41.802096726598563</v>
      </c>
      <c r="E22" s="124">
        <f t="shared" si="0"/>
        <v>0.44003761391527507</v>
      </c>
      <c r="F22" s="3"/>
      <c r="G22" s="2">
        <f>MATCH(B22,'Points Summary'!$B$4:$B$1144,0)</f>
        <v>393</v>
      </c>
    </row>
    <row r="23" spans="1:12" x14ac:dyDescent="0.25">
      <c r="A23" s="2">
        <v>5</v>
      </c>
      <c r="B23" s="3" t="s">
        <v>1071</v>
      </c>
      <c r="C23" s="51">
        <f>TIME(0,26,44)</f>
        <v>1.8564814814814815E-2</v>
      </c>
      <c r="D23" s="29">
        <f>INDEX('Points Summary'!$E$4:$E$1143,G23)</f>
        <v>0</v>
      </c>
      <c r="E23" s="124">
        <f t="shared" si="0"/>
        <v>0.57062234223427188</v>
      </c>
      <c r="F23" s="3"/>
      <c r="G23" s="2">
        <f>MATCH(B23,'Points Summary'!$B$4:$B$1144,0)</f>
        <v>215</v>
      </c>
    </row>
    <row r="24" spans="1:12" x14ac:dyDescent="0.25">
      <c r="A24" s="2">
        <v>10</v>
      </c>
      <c r="B24" s="3" t="s">
        <v>1101</v>
      </c>
      <c r="C24" s="51">
        <f>TIME(0,38,31)</f>
        <v>2.6747685185185183E-2</v>
      </c>
      <c r="D24" s="29">
        <f>INDEX('Points Summary'!$E$4:$E$1143,G24)</f>
        <v>0</v>
      </c>
      <c r="E24" s="124">
        <f t="shared" si="0"/>
        <v>0.39605289352824413</v>
      </c>
      <c r="F24" s="3"/>
      <c r="G24" s="2">
        <f>MATCH(B24,'Points Summary'!$B$4:$B$1144,0)</f>
        <v>96</v>
      </c>
    </row>
    <row r="25" spans="1:12" x14ac:dyDescent="0.25">
      <c r="A25" s="2"/>
      <c r="B25" s="3"/>
      <c r="C25" s="51"/>
      <c r="D25" s="29"/>
      <c r="E25" s="124"/>
      <c r="F25" s="3"/>
      <c r="G25" s="2"/>
    </row>
    <row r="26" spans="1:12" x14ac:dyDescent="0.25">
      <c r="A26" s="2"/>
      <c r="B26" s="3"/>
      <c r="C26" s="51"/>
      <c r="D26" s="29"/>
      <c r="E26" s="124"/>
      <c r="F26" s="3"/>
      <c r="G26" s="2"/>
    </row>
    <row r="27" spans="1:12" x14ac:dyDescent="0.25">
      <c r="A27" s="2"/>
      <c r="B27" s="3"/>
      <c r="C27" s="51"/>
      <c r="D27" s="29"/>
      <c r="E27" s="124"/>
      <c r="F27" s="3"/>
      <c r="G27" s="2"/>
    </row>
    <row r="28" spans="1:12" x14ac:dyDescent="0.25">
      <c r="A28" s="2"/>
      <c r="B28" s="3"/>
      <c r="C28" s="51"/>
      <c r="D28" s="29"/>
      <c r="E28" s="124"/>
      <c r="F28" s="3"/>
      <c r="G28" s="2"/>
    </row>
    <row r="29" spans="1:12" x14ac:dyDescent="0.25">
      <c r="A29" s="2"/>
      <c r="B29" s="3"/>
      <c r="C29" s="51"/>
      <c r="D29" s="29"/>
      <c r="E29" s="124"/>
      <c r="F29" s="3"/>
      <c r="G29" s="2"/>
    </row>
    <row r="30" spans="1:12" x14ac:dyDescent="0.25">
      <c r="A30" s="2"/>
      <c r="B30" s="3"/>
      <c r="C30" s="51"/>
      <c r="D30" s="29"/>
      <c r="E30" s="124"/>
      <c r="F30" s="3"/>
      <c r="G30" s="2"/>
    </row>
    <row r="31" spans="1:12" x14ac:dyDescent="0.25">
      <c r="A31" s="2"/>
      <c r="B31" s="3"/>
      <c r="C31" s="51"/>
      <c r="D31" s="29"/>
      <c r="E31" s="124"/>
      <c r="F31" s="3"/>
      <c r="G31" s="2"/>
      <c r="L31" s="28"/>
    </row>
    <row r="32" spans="1:12" x14ac:dyDescent="0.25">
      <c r="A32" s="2"/>
      <c r="B32" s="3"/>
      <c r="C32" s="51"/>
      <c r="D32" s="29"/>
      <c r="E32" s="124"/>
      <c r="F32" s="3"/>
      <c r="G32" s="2"/>
    </row>
  </sheetData>
  <sortState ref="A8:G24">
    <sortCondition descending="1" ref="D8:D24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workbookViewId="0">
      <selection activeCell="B1" sqref="B1:B5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8" x14ac:dyDescent="0.25">
      <c r="A1" s="16" t="s">
        <v>22</v>
      </c>
      <c r="B1" s="17" t="s">
        <v>1103</v>
      </c>
      <c r="C1" s="18"/>
      <c r="D1" s="18"/>
      <c r="E1" s="18"/>
      <c r="F1" s="18"/>
      <c r="G1" s="19"/>
      <c r="H1" s="56"/>
    </row>
    <row r="2" spans="1:8" x14ac:dyDescent="0.25">
      <c r="A2" s="20" t="s">
        <v>23</v>
      </c>
      <c r="B2" s="21">
        <v>43104</v>
      </c>
      <c r="C2" s="22"/>
      <c r="D2" s="22"/>
      <c r="E2" s="22"/>
      <c r="F2" s="22"/>
      <c r="G2" s="23"/>
      <c r="H2" s="56"/>
    </row>
    <row r="3" spans="1:8" x14ac:dyDescent="0.25">
      <c r="A3" s="20" t="s">
        <v>24</v>
      </c>
      <c r="B3" s="24" t="s">
        <v>42</v>
      </c>
      <c r="C3" s="22"/>
      <c r="D3" s="22"/>
      <c r="E3" s="22"/>
      <c r="F3" s="22"/>
      <c r="G3" s="23"/>
      <c r="H3" s="56"/>
    </row>
    <row r="4" spans="1:8" x14ac:dyDescent="0.25">
      <c r="A4" s="20" t="s">
        <v>1</v>
      </c>
      <c r="B4" s="24" t="s">
        <v>26</v>
      </c>
      <c r="C4" s="22"/>
      <c r="D4" s="22"/>
      <c r="E4" s="22"/>
      <c r="F4" s="22"/>
      <c r="G4" s="23"/>
      <c r="H4" s="56"/>
    </row>
    <row r="5" spans="1:8" x14ac:dyDescent="0.25">
      <c r="A5" s="20" t="s">
        <v>27</v>
      </c>
      <c r="B5" s="24" t="s">
        <v>115</v>
      </c>
      <c r="C5" s="22"/>
      <c r="D5" s="22"/>
      <c r="E5" s="22" t="s">
        <v>55</v>
      </c>
      <c r="F5" s="38">
        <f>AVERAGE(C8:C12)*(AVERAGE(D8:D12)/100)</f>
        <v>1.2410350978586481E-2</v>
      </c>
      <c r="G5" s="23"/>
      <c r="H5" s="56"/>
    </row>
    <row r="6" spans="1:8" x14ac:dyDescent="0.25">
      <c r="A6" s="25" t="s">
        <v>29</v>
      </c>
      <c r="B6" s="26"/>
      <c r="C6" s="26"/>
      <c r="D6" s="26"/>
      <c r="E6" s="26"/>
      <c r="F6" s="26"/>
      <c r="G6" s="27"/>
      <c r="H6" s="56"/>
    </row>
    <row r="7" spans="1:8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8" x14ac:dyDescent="0.25">
      <c r="A8" s="2">
        <v>1</v>
      </c>
      <c r="B8" s="3" t="s">
        <v>361</v>
      </c>
      <c r="C8" s="28">
        <f>TIME(0,32,5)</f>
        <v>2.2280092592592591E-2</v>
      </c>
      <c r="D8" s="29">
        <f>INDEX('Points Summary'!$E$4:$E$1143,G8)</f>
        <v>57.03021865485718</v>
      </c>
      <c r="E8" s="124">
        <f t="shared" ref="E8:E19" si="0">(AVERAGE($D$8:$D$12)/100*AVERAGE($C$8:$C$12))/C8</f>
        <v>0.55701523353240112</v>
      </c>
      <c r="F8" s="3"/>
      <c r="G8" s="2">
        <f>MATCH(B8,'Points Summary'!$B$4:$B$1144,0)</f>
        <v>82</v>
      </c>
    </row>
    <row r="9" spans="1:8" x14ac:dyDescent="0.25">
      <c r="A9" s="2">
        <v>2</v>
      </c>
      <c r="B9" s="3" t="s">
        <v>362</v>
      </c>
      <c r="C9" s="28">
        <f>TIME(0,35,57)</f>
        <v>2.4965277777777781E-2</v>
      </c>
      <c r="D9" s="29">
        <f>INDEX('Points Summary'!$E$4:$E$1143,G9)</f>
        <v>55.679463696300587</v>
      </c>
      <c r="E9" s="124">
        <f t="shared" si="0"/>
        <v>0.49710446200735831</v>
      </c>
      <c r="F9" s="3"/>
      <c r="G9" s="2">
        <f>MATCH(B9,'Points Summary'!$B$4:$B$1144,0)</f>
        <v>452</v>
      </c>
    </row>
    <row r="10" spans="1:8" x14ac:dyDescent="0.25">
      <c r="A10" s="2">
        <v>1</v>
      </c>
      <c r="B10" s="3" t="s">
        <v>888</v>
      </c>
      <c r="C10" s="28">
        <f>TIME(0,33,24)</f>
        <v>2.3194444444444445E-2</v>
      </c>
      <c r="D10" s="29">
        <f>INDEX('Points Summary'!$E$4:$E$1143,G10)</f>
        <v>55.369402232529268</v>
      </c>
      <c r="E10" s="124">
        <f t="shared" si="0"/>
        <v>0.5350570481785788</v>
      </c>
      <c r="F10" s="3"/>
      <c r="G10" s="2">
        <f>MATCH(B10,'Points Summary'!$B$4:$B$1144,0)</f>
        <v>422</v>
      </c>
    </row>
    <row r="11" spans="1:8" x14ac:dyDescent="0.25">
      <c r="A11" s="2">
        <v>2</v>
      </c>
      <c r="B11" s="3" t="s">
        <v>717</v>
      </c>
      <c r="C11" s="28">
        <f>TIME(0,34,37)</f>
        <v>2.4039351851851853E-2</v>
      </c>
      <c r="D11" s="29">
        <f>INDEX('Points Summary'!$E$4:$E$1143,G11)</f>
        <v>48.672019800701939</v>
      </c>
      <c r="E11" s="124">
        <f t="shared" si="0"/>
        <v>0.51625148028400192</v>
      </c>
      <c r="F11" s="3"/>
      <c r="G11" s="2">
        <f>MATCH(B11,'Points Summary'!$B$4:$B$1144,0)</f>
        <v>237</v>
      </c>
    </row>
    <row r="12" spans="1:8" x14ac:dyDescent="0.25">
      <c r="A12" s="2">
        <v>1</v>
      </c>
      <c r="B12" s="3" t="s">
        <v>773</v>
      </c>
      <c r="C12" s="28">
        <f>TIME(0,35,6)</f>
        <v>2.4375000000000004E-2</v>
      </c>
      <c r="D12" s="29">
        <f>INDEX('Points Summary'!$E$4:$E$1143,G12)</f>
        <v>44.290458705948929</v>
      </c>
      <c r="E12" s="124">
        <f t="shared" si="0"/>
        <v>0.5091426042497017</v>
      </c>
      <c r="F12" s="3"/>
      <c r="G12" s="2">
        <f>MATCH(B12,'Points Summary'!$B$4:$B$1144,0)</f>
        <v>123</v>
      </c>
    </row>
    <row r="13" spans="1:8" x14ac:dyDescent="0.25">
      <c r="A13" s="2">
        <v>3</v>
      </c>
      <c r="B13" s="3" t="s">
        <v>1109</v>
      </c>
      <c r="C13" s="28">
        <f>TIME(0,44,24)</f>
        <v>3.0833333333333334E-2</v>
      </c>
      <c r="D13" s="29">
        <f>INDEX('Points Summary'!$E$4:$E$1143,G13)</f>
        <v>42.513807878999437</v>
      </c>
      <c r="E13" s="124">
        <f t="shared" si="0"/>
        <v>0.40249786957577777</v>
      </c>
      <c r="F13" s="3"/>
      <c r="G13" s="2">
        <f>MATCH(B13,'Points Summary'!$B$4:$B$1144,0)</f>
        <v>227</v>
      </c>
    </row>
    <row r="14" spans="1:8" x14ac:dyDescent="0.25">
      <c r="A14" s="2">
        <v>1</v>
      </c>
      <c r="B14" s="3" t="s">
        <v>160</v>
      </c>
      <c r="C14" s="28">
        <f>TIME(0,44,8)</f>
        <v>3.0648148148148147E-2</v>
      </c>
      <c r="D14" s="29">
        <f>INDEX('Points Summary'!$E$4:$E$1143,G14)</f>
        <v>42.267208176384649</v>
      </c>
      <c r="E14" s="124">
        <f t="shared" si="0"/>
        <v>0.40492988087230819</v>
      </c>
      <c r="F14" s="3"/>
      <c r="G14" s="2">
        <f>MATCH(B14,'Points Summary'!$B$4:$B$1144,0)</f>
        <v>207</v>
      </c>
    </row>
    <row r="15" spans="1:8" x14ac:dyDescent="0.25">
      <c r="A15" s="2">
        <v>1</v>
      </c>
      <c r="B15" s="3" t="s">
        <v>1104</v>
      </c>
      <c r="C15" s="28">
        <f>TIME(0,26,34)</f>
        <v>1.8449074074074073E-2</v>
      </c>
      <c r="D15" s="29">
        <f>INDEX('Points Summary'!$E$4:$E$1143,G15)</f>
        <v>0</v>
      </c>
      <c r="E15" s="124">
        <f t="shared" si="0"/>
        <v>0.67268150850054709</v>
      </c>
      <c r="F15" s="3"/>
      <c r="G15" s="2">
        <f>MATCH(B15,'Points Summary'!$B$4:$B$1144,0)</f>
        <v>149</v>
      </c>
    </row>
    <row r="16" spans="1:8" x14ac:dyDescent="0.25">
      <c r="A16" s="2">
        <v>2</v>
      </c>
      <c r="B16" s="3" t="s">
        <v>1105</v>
      </c>
      <c r="C16" s="28">
        <f>TIME(0,28,24)</f>
        <v>1.9722222222222221E-2</v>
      </c>
      <c r="D16" s="29">
        <f>INDEX('Points Summary'!$E$4:$E$1143,G16)</f>
        <v>0</v>
      </c>
      <c r="E16" s="124">
        <f t="shared" si="0"/>
        <v>0.62925723271706113</v>
      </c>
      <c r="F16" s="3"/>
      <c r="G16" s="2">
        <f>MATCH(B16,'Points Summary'!$B$4:$B$1144,0)</f>
        <v>248</v>
      </c>
    </row>
    <row r="17" spans="1:7" x14ac:dyDescent="0.25">
      <c r="A17" s="2">
        <v>3</v>
      </c>
      <c r="B17" s="3" t="s">
        <v>1106</v>
      </c>
      <c r="C17" s="28">
        <f>TIME(0,36,21)</f>
        <v>2.5243055555555557E-2</v>
      </c>
      <c r="D17" s="29">
        <f>INDEX('Points Summary'!$E$4:$E$1143,G17)</f>
        <v>0</v>
      </c>
      <c r="E17" s="124">
        <f t="shared" si="0"/>
        <v>0.49163426160012469</v>
      </c>
      <c r="F17" s="3"/>
      <c r="G17" s="2">
        <f>MATCH(B17,'Points Summary'!$B$4:$B$1144,0)</f>
        <v>271</v>
      </c>
    </row>
    <row r="18" spans="1:7" x14ac:dyDescent="0.25">
      <c r="A18" s="2">
        <v>1</v>
      </c>
      <c r="B18" s="3" t="s">
        <v>1107</v>
      </c>
      <c r="C18" s="28">
        <f>TIME(0,34,26)</f>
        <v>2.3912037037037034E-2</v>
      </c>
      <c r="D18" s="29">
        <f>INDEX('Points Summary'!$E$4:$E$1143,G18)</f>
        <v>0</v>
      </c>
      <c r="E18" s="124">
        <f t="shared" si="0"/>
        <v>0.51900015709093517</v>
      </c>
      <c r="F18" s="3"/>
      <c r="G18" s="2">
        <f>MATCH(B18,'Points Summary'!$B$4:$B$1144,0)</f>
        <v>144</v>
      </c>
    </row>
    <row r="19" spans="1:7" x14ac:dyDescent="0.25">
      <c r="A19" s="2">
        <v>1</v>
      </c>
      <c r="B19" s="3" t="s">
        <v>1108</v>
      </c>
      <c r="C19" s="28">
        <f>TIME(0,36,41)</f>
        <v>2.5474537037037035E-2</v>
      </c>
      <c r="D19" s="29">
        <f>INDEX('Points Summary'!$E$4:$E$1143,G19)</f>
        <v>0</v>
      </c>
      <c r="E19" s="124">
        <f t="shared" si="0"/>
        <v>0.48716688984546663</v>
      </c>
      <c r="F19" s="3"/>
      <c r="G19" s="2">
        <f>MATCH(B19,'Points Summary'!$B$4:$B$1144,0)</f>
        <v>11</v>
      </c>
    </row>
    <row r="20" spans="1:7" x14ac:dyDescent="0.25">
      <c r="A20" s="2"/>
      <c r="B20" s="3"/>
      <c r="C20" s="28"/>
      <c r="D20" s="29"/>
      <c r="E20" s="30"/>
      <c r="F20" s="3"/>
      <c r="G20" s="2"/>
    </row>
    <row r="21" spans="1:7" x14ac:dyDescent="0.25">
      <c r="A21" s="2"/>
      <c r="B21" s="3"/>
      <c r="C21" s="28"/>
      <c r="D21" s="29"/>
      <c r="E21" s="30"/>
      <c r="F21" s="3"/>
      <c r="G21" s="2"/>
    </row>
    <row r="22" spans="1:7" x14ac:dyDescent="0.25">
      <c r="A22" s="2"/>
      <c r="B22" s="3"/>
      <c r="C22" s="28"/>
      <c r="D22" s="29"/>
      <c r="E22" s="30"/>
      <c r="F22" s="3"/>
      <c r="G22" s="2"/>
    </row>
    <row r="23" spans="1:7" x14ac:dyDescent="0.25">
      <c r="A23" s="2"/>
      <c r="B23" s="3"/>
      <c r="C23" s="28"/>
      <c r="D23" s="29"/>
      <c r="E23" s="30"/>
      <c r="F23" s="3"/>
      <c r="G23" s="2"/>
    </row>
    <row r="24" spans="1:7" x14ac:dyDescent="0.25">
      <c r="A24" s="2"/>
      <c r="B24" s="3"/>
      <c r="C24" s="28"/>
      <c r="D24" s="29"/>
      <c r="E24" s="30"/>
      <c r="F24" s="3"/>
      <c r="G24" s="2"/>
    </row>
    <row r="25" spans="1:7" x14ac:dyDescent="0.25">
      <c r="A25" s="2"/>
      <c r="B25" s="3"/>
      <c r="C25" s="28"/>
      <c r="D25" s="29"/>
      <c r="E25" s="30"/>
      <c r="F25" s="3"/>
      <c r="G25" s="2"/>
    </row>
    <row r="26" spans="1:7" x14ac:dyDescent="0.25">
      <c r="A26" s="2"/>
      <c r="B26" s="3"/>
      <c r="C26" s="28"/>
      <c r="D26" s="29"/>
      <c r="E26" s="30"/>
      <c r="F26" s="3"/>
      <c r="G26" s="2"/>
    </row>
    <row r="27" spans="1:7" x14ac:dyDescent="0.25">
      <c r="A27" s="2"/>
      <c r="B27" s="3"/>
      <c r="C27" s="28"/>
      <c r="D27" s="29"/>
      <c r="E27" s="30"/>
      <c r="F27" s="3"/>
      <c r="G27" s="2"/>
    </row>
    <row r="28" spans="1:7" x14ac:dyDescent="0.25">
      <c r="A28" s="2"/>
      <c r="B28" s="3"/>
      <c r="C28" s="28"/>
      <c r="D28" s="29"/>
      <c r="E28" s="30"/>
      <c r="F28" s="3"/>
      <c r="G28" s="2"/>
    </row>
    <row r="29" spans="1:7" x14ac:dyDescent="0.25">
      <c r="A29" s="2"/>
      <c r="B29" s="3"/>
      <c r="C29" s="28"/>
      <c r="D29" s="29"/>
      <c r="E29" s="30"/>
      <c r="F29" s="3"/>
      <c r="G29" s="2"/>
    </row>
    <row r="30" spans="1:7" x14ac:dyDescent="0.25">
      <c r="A30" s="2"/>
      <c r="B30" s="3"/>
      <c r="C30" s="28"/>
      <c r="D30" s="29"/>
      <c r="E30" s="30"/>
      <c r="F30" s="3"/>
      <c r="G30" s="2"/>
    </row>
  </sheetData>
  <sortState ref="A8:G19">
    <sortCondition descending="1" ref="D8:D19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 xml:space="preserve">&amp;L&amp;"Tahoma,Bold"&amp;11U.S. Biathlon Association&amp;R&amp;"Tahoma,Bold"&amp;11 2018 Race Points 
 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workbookViewId="0">
      <selection activeCell="B5" sqref="B5"/>
    </sheetView>
  </sheetViews>
  <sheetFormatPr defaultRowHeight="13.2" x14ac:dyDescent="0.25"/>
  <cols>
    <col min="2" max="2" width="20.6640625" customWidth="1"/>
    <col min="3" max="7" width="9.6640625" customWidth="1"/>
  </cols>
  <sheetData>
    <row r="1" spans="1:7" x14ac:dyDescent="0.25">
      <c r="A1" s="16" t="s">
        <v>22</v>
      </c>
      <c r="B1" s="17" t="s">
        <v>1014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42684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44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656</v>
      </c>
      <c r="C5" s="22"/>
      <c r="D5" s="22"/>
      <c r="E5" s="22" t="s">
        <v>55</v>
      </c>
      <c r="F5" s="38">
        <f>AVERAGE(C8:C12)*(AVERAGE(D8:D12)/100)</f>
        <v>4.0200752358980511E-2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67</v>
      </c>
      <c r="B8" s="114" t="s">
        <v>84</v>
      </c>
      <c r="C8" s="51">
        <v>4.2771990740740735E-2</v>
      </c>
      <c r="D8" s="29">
        <f>INDEX('Points Summary'!$H$4:$H$1143,G8)</f>
        <v>100.00430567075759</v>
      </c>
      <c r="E8" s="124">
        <f>(AVERAGE($D$8:$D$12)/100*AVERAGE($C$8:$C$12))/C8</f>
        <v>0.93988499629709554</v>
      </c>
      <c r="F8" s="3"/>
      <c r="G8" s="2">
        <f>MATCH(B8,'Points Summary'!$B$4:$B$1144,0)</f>
        <v>13</v>
      </c>
    </row>
    <row r="9" spans="1:7" x14ac:dyDescent="0.25">
      <c r="A9" s="2">
        <v>32</v>
      </c>
      <c r="B9" s="3" t="s">
        <v>7</v>
      </c>
      <c r="C9" s="51">
        <v>4.0841435185185189E-2</v>
      </c>
      <c r="D9" s="29">
        <f>INDEX('Points Summary'!$H$4:$H$1143,G9)</f>
        <v>95.350976065584277</v>
      </c>
      <c r="E9" s="124">
        <f>(AVERAGE($D$8:$D$12)/100*AVERAGE($C$8:$C$12))/C9</f>
        <v>0.98431292085354827</v>
      </c>
      <c r="F9" s="3"/>
      <c r="G9" s="2">
        <f>MATCH(B9,'Points Summary'!$B$4:$B$1144,0)</f>
        <v>63</v>
      </c>
    </row>
    <row r="10" spans="1:7" x14ac:dyDescent="0.25">
      <c r="A10" s="2">
        <v>63</v>
      </c>
      <c r="B10" s="114" t="s">
        <v>70</v>
      </c>
      <c r="C10" s="51">
        <v>4.2714120370370368E-2</v>
      </c>
      <c r="D10" s="29">
        <f>INDEX('Points Summary'!$H$4:$H$1143,G10)</f>
        <v>94.642791354956501</v>
      </c>
      <c r="E10" s="124">
        <f>(AVERAGE($D$8:$D$12)/100*AVERAGE($C$8:$C$12))/C10</f>
        <v>0.94115838065734081</v>
      </c>
      <c r="F10" s="3"/>
      <c r="G10" s="2">
        <f>MATCH(B10,'Points Summary'!$B$4:$B$1144,0)</f>
        <v>309</v>
      </c>
    </row>
    <row r="11" spans="1:7" x14ac:dyDescent="0.25">
      <c r="A11" s="2">
        <v>69</v>
      </c>
      <c r="B11" s="3" t="s">
        <v>762</v>
      </c>
      <c r="C11" s="51">
        <v>4.278703703703704E-2</v>
      </c>
      <c r="D11" s="29">
        <f>INDEX('Points Summary'!$H$4:$H$1143,G11)</f>
        <v>94.093188352610781</v>
      </c>
      <c r="E11" s="124">
        <f>(AVERAGE($D$8:$D$12)/100*AVERAGE($C$8:$C$12))/C11</f>
        <v>0.93955448058210234</v>
      </c>
      <c r="F11" s="3"/>
      <c r="G11" s="2">
        <f>MATCH(B11,'Points Summary'!$B$4:$B$1144,0)</f>
        <v>366</v>
      </c>
    </row>
    <row r="12" spans="1:7" x14ac:dyDescent="0.25">
      <c r="A12" s="2">
        <v>38</v>
      </c>
      <c r="B12" s="114" t="s">
        <v>189</v>
      </c>
      <c r="C12" s="51">
        <v>4.11400462962963E-2</v>
      </c>
      <c r="D12" s="29">
        <f>INDEX('Points Summary'!$H$4:$H$1143,G12)</f>
        <v>93.909537275665315</v>
      </c>
      <c r="E12" s="124">
        <f>(AVERAGE($D$8:$D$12)/100*AVERAGE($C$8:$C$12))/C12</f>
        <v>0.97716837918579713</v>
      </c>
      <c r="F12" s="3"/>
      <c r="G12" s="2">
        <f>MATCH(B12,'Points Summary'!$B$4:$B$1144,0)</f>
        <v>120</v>
      </c>
    </row>
    <row r="13" spans="1:7" x14ac:dyDescent="0.25">
      <c r="A13" s="2"/>
      <c r="B13" s="3"/>
      <c r="C13" s="28"/>
      <c r="D13" s="29"/>
      <c r="E13" s="124"/>
      <c r="F13" s="3"/>
      <c r="G13" s="2"/>
    </row>
    <row r="14" spans="1:7" x14ac:dyDescent="0.25">
      <c r="A14" s="2"/>
      <c r="B14" s="3"/>
      <c r="C14" s="28"/>
      <c r="D14" s="29"/>
      <c r="E14" s="124"/>
      <c r="F14" s="3"/>
      <c r="G14" s="2"/>
    </row>
    <row r="15" spans="1:7" x14ac:dyDescent="0.25">
      <c r="A15" s="2"/>
      <c r="B15" s="3"/>
      <c r="C15" s="28"/>
      <c r="D15" s="29"/>
      <c r="E15" s="124"/>
      <c r="F15" s="3"/>
      <c r="G15" s="2"/>
    </row>
    <row r="16" spans="1:7" x14ac:dyDescent="0.25">
      <c r="A16" s="2"/>
      <c r="B16" s="3"/>
      <c r="C16" s="28"/>
      <c r="D16" s="29"/>
      <c r="E16" s="124"/>
      <c r="F16" s="3"/>
      <c r="G16" s="2"/>
    </row>
    <row r="17" spans="1:7" x14ac:dyDescent="0.25">
      <c r="A17" s="2"/>
      <c r="B17" s="3"/>
      <c r="C17" s="28"/>
      <c r="D17" s="29"/>
      <c r="E17" s="124"/>
      <c r="F17" s="3"/>
      <c r="G17" s="2"/>
    </row>
    <row r="18" spans="1:7" x14ac:dyDescent="0.25">
      <c r="A18" s="2"/>
      <c r="B18" s="3"/>
      <c r="C18" s="28"/>
      <c r="D18" s="29"/>
      <c r="E18" s="124"/>
      <c r="F18" s="3"/>
      <c r="G18" s="2"/>
    </row>
    <row r="19" spans="1:7" x14ac:dyDescent="0.25">
      <c r="A19" s="2"/>
      <c r="B19" s="3"/>
      <c r="C19" s="28"/>
      <c r="D19" s="29"/>
      <c r="E19" s="124"/>
      <c r="F19" s="3"/>
      <c r="G19" s="2"/>
    </row>
    <row r="20" spans="1:7" x14ac:dyDescent="0.25">
      <c r="A20" s="2"/>
      <c r="B20" s="3"/>
      <c r="C20" s="28"/>
      <c r="D20" s="29"/>
      <c r="E20" s="124"/>
      <c r="F20" s="3"/>
      <c r="G20" s="2"/>
    </row>
    <row r="21" spans="1:7" x14ac:dyDescent="0.25">
      <c r="A21" s="2"/>
      <c r="B21" s="3"/>
      <c r="C21" s="28"/>
      <c r="D21" s="29"/>
      <c r="E21" s="124"/>
      <c r="F21" s="3"/>
      <c r="G21" s="2"/>
    </row>
    <row r="22" spans="1:7" x14ac:dyDescent="0.25">
      <c r="A22" s="2"/>
      <c r="B22" s="3"/>
      <c r="C22" s="28"/>
      <c r="D22" s="29"/>
      <c r="E22" s="124"/>
      <c r="F22" s="3"/>
      <c r="G22" s="2"/>
    </row>
    <row r="23" spans="1:7" x14ac:dyDescent="0.25">
      <c r="A23" s="2"/>
      <c r="B23" s="3"/>
      <c r="C23" s="28"/>
      <c r="D23" s="29"/>
      <c r="E23" s="124"/>
      <c r="F23" s="3"/>
      <c r="G23" s="2"/>
    </row>
    <row r="24" spans="1:7" x14ac:dyDescent="0.25">
      <c r="B24" s="3"/>
      <c r="C24" s="28"/>
      <c r="D24" s="29"/>
      <c r="E24" s="30"/>
      <c r="F24" s="3"/>
      <c r="G24" s="2"/>
    </row>
    <row r="25" spans="1:7" x14ac:dyDescent="0.25">
      <c r="B25" s="3"/>
      <c r="C25" s="28"/>
      <c r="D25" s="29"/>
      <c r="E25" s="30"/>
      <c r="F25" s="3"/>
      <c r="G25" s="2"/>
    </row>
    <row r="26" spans="1:7" x14ac:dyDescent="0.25">
      <c r="B26" s="3"/>
      <c r="C26" s="28"/>
      <c r="D26" s="29"/>
      <c r="E26" s="30"/>
      <c r="F26" s="3"/>
      <c r="G26" s="2"/>
    </row>
    <row r="27" spans="1:7" x14ac:dyDescent="0.25">
      <c r="B27" s="3"/>
      <c r="C27" s="28"/>
      <c r="D27" s="29"/>
      <c r="E27" s="30"/>
      <c r="F27" s="3"/>
      <c r="G27" s="2"/>
    </row>
    <row r="28" spans="1:7" x14ac:dyDescent="0.25">
      <c r="B28" s="3"/>
      <c r="C28" s="28"/>
      <c r="D28" s="29"/>
      <c r="E28" s="30"/>
      <c r="F28" s="3"/>
      <c r="G28" s="2"/>
    </row>
    <row r="29" spans="1:7" x14ac:dyDescent="0.25">
      <c r="B29" s="3"/>
      <c r="C29" s="28"/>
      <c r="D29" s="29"/>
      <c r="E29" s="30"/>
      <c r="F29" s="3"/>
      <c r="G29" s="2"/>
    </row>
    <row r="30" spans="1:7" x14ac:dyDescent="0.25">
      <c r="B30" s="3"/>
      <c r="C30" s="28"/>
      <c r="D30" s="29"/>
      <c r="E30" s="30"/>
      <c r="F30" s="3"/>
      <c r="G30" s="2"/>
    </row>
    <row r="31" spans="1:7" x14ac:dyDescent="0.25">
      <c r="B31" s="3"/>
      <c r="C31" s="28"/>
      <c r="D31" s="29"/>
      <c r="E31" s="30"/>
      <c r="F31" s="3"/>
      <c r="G31" s="2"/>
    </row>
    <row r="32" spans="1:7" x14ac:dyDescent="0.25">
      <c r="B32" s="3"/>
      <c r="C32" s="28"/>
      <c r="D32" s="29"/>
      <c r="E32" s="30"/>
      <c r="F32" s="3"/>
      <c r="G32" s="2"/>
    </row>
    <row r="33" spans="2:7" x14ac:dyDescent="0.25">
      <c r="B33" s="3"/>
      <c r="C33" s="28"/>
      <c r="D33" s="29"/>
      <c r="E33" s="30"/>
      <c r="F33" s="3"/>
      <c r="G33" s="2"/>
    </row>
    <row r="34" spans="2:7" x14ac:dyDescent="0.25">
      <c r="B34" s="3"/>
      <c r="C34" s="28"/>
      <c r="D34" s="29"/>
      <c r="E34" s="30"/>
      <c r="F34" s="3"/>
      <c r="G34" s="2"/>
    </row>
    <row r="35" spans="2:7" x14ac:dyDescent="0.25">
      <c r="B35" s="3"/>
      <c r="C35" s="28"/>
      <c r="D35" s="29"/>
      <c r="E35" s="30"/>
      <c r="F35" s="3"/>
      <c r="G35" s="2"/>
    </row>
    <row r="36" spans="2:7" x14ac:dyDescent="0.25">
      <c r="B36" s="3"/>
      <c r="C36" s="28"/>
      <c r="D36" s="29"/>
      <c r="E36" s="30"/>
      <c r="F36" s="3"/>
      <c r="G36" s="2"/>
    </row>
    <row r="37" spans="2:7" x14ac:dyDescent="0.25">
      <c r="B37" s="3"/>
      <c r="C37" s="28"/>
      <c r="D37" s="29"/>
      <c r="E37" s="30"/>
      <c r="F37" s="3"/>
      <c r="G37" s="2"/>
    </row>
    <row r="38" spans="2:7" x14ac:dyDescent="0.25">
      <c r="B38" s="3"/>
      <c r="C38" s="28"/>
      <c r="D38" s="29"/>
      <c r="E38" s="30"/>
      <c r="F38" s="3"/>
      <c r="G38" s="2"/>
    </row>
    <row r="39" spans="2:7" x14ac:dyDescent="0.25">
      <c r="B39" s="3"/>
      <c r="C39" s="28"/>
      <c r="D39" s="29"/>
      <c r="E39" s="30"/>
      <c r="F39" s="3"/>
      <c r="G39" s="2"/>
    </row>
    <row r="40" spans="2:7" x14ac:dyDescent="0.25">
      <c r="B40" s="3"/>
      <c r="C40" s="28"/>
      <c r="D40" s="29"/>
      <c r="E40" s="30"/>
      <c r="F40" s="3"/>
      <c r="G40" s="2"/>
    </row>
    <row r="41" spans="2:7" x14ac:dyDescent="0.25">
      <c r="B41" s="3"/>
      <c r="C41" s="28"/>
      <c r="D41" s="29"/>
      <c r="E41" s="30"/>
      <c r="F41" s="3"/>
      <c r="G41" s="2"/>
    </row>
    <row r="42" spans="2:7" x14ac:dyDescent="0.25">
      <c r="B42" s="3"/>
      <c r="C42" s="28"/>
      <c r="D42" s="29"/>
      <c r="E42" s="30"/>
      <c r="F42" s="3"/>
      <c r="G42" s="2"/>
    </row>
    <row r="43" spans="2:7" x14ac:dyDescent="0.25">
      <c r="B43" s="3"/>
      <c r="C43" s="28"/>
      <c r="D43" s="29"/>
      <c r="E43" s="30"/>
      <c r="F43" s="3"/>
      <c r="G43" s="2"/>
    </row>
    <row r="44" spans="2:7" x14ac:dyDescent="0.25">
      <c r="B44" s="3"/>
      <c r="C44" s="28"/>
      <c r="D44" s="29"/>
      <c r="E44" s="30"/>
      <c r="F44" s="3"/>
      <c r="G44" s="2"/>
    </row>
    <row r="45" spans="2:7" x14ac:dyDescent="0.25">
      <c r="B45" s="3"/>
      <c r="C45" s="28"/>
      <c r="D45" s="29"/>
      <c r="E45" s="30"/>
      <c r="F45" s="3"/>
      <c r="G45" s="2"/>
    </row>
    <row r="46" spans="2:7" x14ac:dyDescent="0.25">
      <c r="B46" s="3"/>
      <c r="C46" s="28"/>
      <c r="D46" s="29"/>
      <c r="E46" s="30"/>
      <c r="F46" s="3"/>
      <c r="G46" s="2"/>
    </row>
    <row r="47" spans="2:7" x14ac:dyDescent="0.25">
      <c r="B47" s="3"/>
      <c r="C47" s="28"/>
      <c r="D47" s="29"/>
      <c r="E47" s="30"/>
      <c r="F47" s="3"/>
      <c r="G47" s="2"/>
    </row>
  </sheetData>
  <sortState ref="A8:G12">
    <sortCondition descending="1" ref="D8:D12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2018 Race Points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"/>
  <sheetViews>
    <sheetView workbookViewId="0">
      <selection activeCell="B22" sqref="B22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11" x14ac:dyDescent="0.25">
      <c r="A1" s="16" t="s">
        <v>22</v>
      </c>
      <c r="B1" s="17" t="s">
        <v>1110</v>
      </c>
      <c r="C1" s="18"/>
      <c r="D1" s="18"/>
      <c r="E1" s="18"/>
      <c r="F1" s="18"/>
      <c r="G1" s="19"/>
    </row>
    <row r="2" spans="1:11" x14ac:dyDescent="0.25">
      <c r="A2" s="20" t="s">
        <v>23</v>
      </c>
      <c r="B2" s="21">
        <v>43118</v>
      </c>
      <c r="C2" s="22"/>
      <c r="D2" s="22"/>
      <c r="E2" s="22"/>
      <c r="F2" s="22"/>
      <c r="G2" s="23"/>
    </row>
    <row r="3" spans="1:11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11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11" x14ac:dyDescent="0.25">
      <c r="A5" s="20" t="s">
        <v>27</v>
      </c>
      <c r="B5" s="24" t="s">
        <v>115</v>
      </c>
      <c r="C5" s="22"/>
      <c r="D5" s="22"/>
      <c r="E5" s="22" t="s">
        <v>55</v>
      </c>
      <c r="F5" s="38">
        <f>AVERAGE(C8:C12)*(AVERAGE(D8:D12)/100)</f>
        <v>1.121168588330407E-2</v>
      </c>
      <c r="G5" s="23"/>
    </row>
    <row r="6" spans="1:11" x14ac:dyDescent="0.25">
      <c r="A6" s="25" t="s">
        <v>29</v>
      </c>
      <c r="B6" s="26"/>
      <c r="C6" s="26"/>
      <c r="D6" s="26"/>
      <c r="E6" s="26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11" x14ac:dyDescent="0.25">
      <c r="A8" s="2">
        <v>2</v>
      </c>
      <c r="B8" s="3" t="s">
        <v>772</v>
      </c>
      <c r="C8" s="51">
        <f>TIME(0,20,18)</f>
        <v>1.4097222222222221E-2</v>
      </c>
      <c r="D8" s="29">
        <f>INDEX('Points Summary'!$E$4:$E$1143,G8)</f>
        <v>83.596812974510229</v>
      </c>
      <c r="E8" s="30">
        <f t="shared" ref="E8:E24" si="0">(AVERAGE($D$8:$D$12)/100*AVERAGE($C$8:$C$12))/C8</f>
        <v>0.79531170797821982</v>
      </c>
      <c r="F8" s="3"/>
      <c r="G8" s="2">
        <f>MATCH(B8,'Points Summary'!$B$4:$B$1144,0)</f>
        <v>90</v>
      </c>
      <c r="K8" s="42"/>
    </row>
    <row r="9" spans="1:11" x14ac:dyDescent="0.25">
      <c r="A9" s="2">
        <v>1</v>
      </c>
      <c r="B9" s="3" t="s">
        <v>808</v>
      </c>
      <c r="C9" s="51">
        <f>TIME(0,20,15)</f>
        <v>1.40625E-2</v>
      </c>
      <c r="D9" s="29">
        <f>INDEX('Points Summary'!$E$4:$E$1143,G9)</f>
        <v>80.85754637552489</v>
      </c>
      <c r="E9" s="30">
        <f t="shared" si="0"/>
        <v>0.79727544059051159</v>
      </c>
      <c r="F9" s="3"/>
      <c r="G9" s="2">
        <f>MATCH(B9,'Points Summary'!$B$4:$B$1144,0)</f>
        <v>441</v>
      </c>
      <c r="K9" s="42"/>
    </row>
    <row r="10" spans="1:11" x14ac:dyDescent="0.25">
      <c r="A10" s="2">
        <v>1</v>
      </c>
      <c r="B10" s="3" t="s">
        <v>11</v>
      </c>
      <c r="C10" s="51">
        <f>TIME(0,23,33)</f>
        <v>1.6354166666666666E-2</v>
      </c>
      <c r="D10" s="29">
        <f>INDEX('Points Summary'!$E$4:$E$1143,G10)</f>
        <v>66.843409203160235</v>
      </c>
      <c r="E10" s="30">
        <f t="shared" si="0"/>
        <v>0.68555531515744628</v>
      </c>
      <c r="F10" s="3"/>
      <c r="G10" s="2">
        <f>MATCH(B10,'Points Summary'!$B$4:$B$1144,0)</f>
        <v>426</v>
      </c>
      <c r="K10" s="42"/>
    </row>
    <row r="11" spans="1:11" x14ac:dyDescent="0.25">
      <c r="A11" s="2">
        <v>1</v>
      </c>
      <c r="B11" s="3" t="s">
        <v>733</v>
      </c>
      <c r="C11" s="51">
        <f>TIME(0,23,45)</f>
        <v>1.6493055555555556E-2</v>
      </c>
      <c r="D11" s="29">
        <f>INDEX('Points Summary'!$E$4:$E$1143,G11)</f>
        <v>65.363286458323827</v>
      </c>
      <c r="E11" s="30">
        <f t="shared" si="0"/>
        <v>0.67978221776664671</v>
      </c>
      <c r="F11" s="3"/>
      <c r="G11" s="2">
        <f>MATCH(B11,'Points Summary'!$B$4:$B$1144,0)</f>
        <v>33</v>
      </c>
      <c r="K11" s="42"/>
    </row>
    <row r="12" spans="1:11" x14ac:dyDescent="0.25">
      <c r="A12" s="2">
        <v>2</v>
      </c>
      <c r="B12" s="3" t="s">
        <v>361</v>
      </c>
      <c r="C12" s="51">
        <f>TIME(0,26,16)</f>
        <v>1.8240740740740741E-2</v>
      </c>
      <c r="D12" s="29">
        <f>INDEX('Points Summary'!$E$4:$E$1143,G12)</f>
        <v>57.03021865485718</v>
      </c>
      <c r="E12" s="30">
        <f t="shared" si="0"/>
        <v>0.61465079969382719</v>
      </c>
      <c r="F12" s="3"/>
      <c r="G12" s="2">
        <f>MATCH(B12,'Points Summary'!$B$4:$B$1144,0)</f>
        <v>82</v>
      </c>
      <c r="K12" s="42"/>
    </row>
    <row r="13" spans="1:11" x14ac:dyDescent="0.25">
      <c r="A13" s="2">
        <v>2</v>
      </c>
      <c r="B13" s="3" t="s">
        <v>888</v>
      </c>
      <c r="C13" s="51">
        <f>TIME(0,24,15)</f>
        <v>1.6840277777777777E-2</v>
      </c>
      <c r="D13" s="29">
        <f>INDEX('Points Summary'!$E$4:$E$1143,G13)</f>
        <v>55.369402232529268</v>
      </c>
      <c r="E13" s="30">
        <f t="shared" si="0"/>
        <v>0.66576608956527261</v>
      </c>
      <c r="F13" s="3"/>
      <c r="G13" s="2">
        <f>MATCH(B13,'Points Summary'!$B$4:$B$1144,0)</f>
        <v>422</v>
      </c>
      <c r="K13" s="42"/>
    </row>
    <row r="14" spans="1:11" x14ac:dyDescent="0.25">
      <c r="A14" s="2">
        <v>1</v>
      </c>
      <c r="B14" s="3" t="s">
        <v>429</v>
      </c>
      <c r="C14" s="51">
        <f>TIME(0,26,50)</f>
        <v>1.8634259259259257E-2</v>
      </c>
      <c r="D14" s="29">
        <f>INDEX('Points Summary'!$E$4:$E$1143,G14)</f>
        <v>53.795488982777009</v>
      </c>
      <c r="E14" s="30">
        <f t="shared" si="0"/>
        <v>0.60167059647047938</v>
      </c>
      <c r="F14" s="3"/>
      <c r="G14" s="2">
        <f>MATCH(B14,'Points Summary'!$B$4:$B$1144,0)</f>
        <v>40</v>
      </c>
      <c r="K14" s="42"/>
    </row>
    <row r="15" spans="1:11" x14ac:dyDescent="0.25">
      <c r="A15" s="2">
        <v>4</v>
      </c>
      <c r="B15" s="3" t="s">
        <v>726</v>
      </c>
      <c r="C15" s="51">
        <f>TIME(0,26,34)</f>
        <v>1.8449074074074073E-2</v>
      </c>
      <c r="D15" s="29">
        <f>INDEX('Points Summary'!$E$4:$E$1143,G15)</f>
        <v>52.275240292798891</v>
      </c>
      <c r="E15" s="30">
        <f t="shared" si="0"/>
        <v>0.60770995001096095</v>
      </c>
      <c r="F15" s="3"/>
      <c r="G15" s="2">
        <f>MATCH(B15,'Points Summary'!$B$4:$B$1144,0)</f>
        <v>51</v>
      </c>
      <c r="K15" s="42"/>
    </row>
    <row r="16" spans="1:11" x14ac:dyDescent="0.25">
      <c r="A16" s="2">
        <v>5</v>
      </c>
      <c r="B16" s="3" t="s">
        <v>717</v>
      </c>
      <c r="C16" s="51">
        <f>TIME(0,27,57)</f>
        <v>1.9409722222222221E-2</v>
      </c>
      <c r="D16" s="29">
        <f>INDEX('Points Summary'!$E$4:$E$1143,G16)</f>
        <v>48.672019800701939</v>
      </c>
      <c r="E16" s="30">
        <f t="shared" si="0"/>
        <v>0.5776324748464351</v>
      </c>
      <c r="F16" s="3"/>
      <c r="G16" s="2">
        <f>MATCH(B16,'Points Summary'!$B$4:$B$1144,0)</f>
        <v>237</v>
      </c>
      <c r="K16" s="42"/>
    </row>
    <row r="17" spans="1:11" x14ac:dyDescent="0.25">
      <c r="A17" s="2">
        <v>6</v>
      </c>
      <c r="B17" s="3" t="s">
        <v>1111</v>
      </c>
      <c r="C17" s="51">
        <f>TIME(0,29,42)</f>
        <v>2.0625000000000001E-2</v>
      </c>
      <c r="D17" s="29">
        <f>INDEX('Points Summary'!$E$4:$E$1143,G17)</f>
        <v>45.893597632545209</v>
      </c>
      <c r="E17" s="30">
        <f t="shared" si="0"/>
        <v>0.5435968913117124</v>
      </c>
      <c r="F17" s="3"/>
      <c r="G17" s="2">
        <f>MATCH(B17,'Points Summary'!$B$4:$B$1144,0)</f>
        <v>408</v>
      </c>
      <c r="K17" s="42"/>
    </row>
    <row r="18" spans="1:11" x14ac:dyDescent="0.25">
      <c r="A18" s="2">
        <v>1</v>
      </c>
      <c r="B18" s="3" t="s">
        <v>773</v>
      </c>
      <c r="C18" s="51">
        <f>TIME(0,29,50)</f>
        <v>2.071759259259259E-2</v>
      </c>
      <c r="D18" s="29">
        <f>INDEX('Points Summary'!$E$4:$E$1143,G18)</f>
        <v>44.290458705948929</v>
      </c>
      <c r="E18" s="30">
        <f t="shared" si="0"/>
        <v>0.54116740799858754</v>
      </c>
      <c r="F18" s="3"/>
      <c r="G18" s="2">
        <f>MATCH(B18,'Points Summary'!$B$4:$B$1144,0)</f>
        <v>123</v>
      </c>
      <c r="K18" s="42"/>
    </row>
    <row r="19" spans="1:11" x14ac:dyDescent="0.25">
      <c r="A19" s="2">
        <v>1</v>
      </c>
      <c r="B19" s="3" t="s">
        <v>734</v>
      </c>
      <c r="C19" s="51">
        <f>TIME(0,31,2)</f>
        <v>2.1550925925925928E-2</v>
      </c>
      <c r="D19" s="29">
        <f>INDEX('Points Summary'!$E$4:$E$1143,G19)</f>
        <v>42.746778636290308</v>
      </c>
      <c r="E19" s="30">
        <f t="shared" si="0"/>
        <v>0.52024149318876023</v>
      </c>
      <c r="F19" s="3"/>
      <c r="G19" s="2">
        <f>MATCH(B19,'Points Summary'!$B$4:$B$1144,0)</f>
        <v>418</v>
      </c>
      <c r="K19" s="42"/>
    </row>
    <row r="20" spans="1:11" x14ac:dyDescent="0.25">
      <c r="A20" s="2">
        <v>7</v>
      </c>
      <c r="B20" s="3" t="s">
        <v>1109</v>
      </c>
      <c r="C20" s="51">
        <f>TIME(0,32,2)</f>
        <v>2.224537037037037E-2</v>
      </c>
      <c r="D20" s="29">
        <f>INDEX('Points Summary'!$E$4:$E$1143,G20)</f>
        <v>42.513807878999437</v>
      </c>
      <c r="E20" s="30">
        <f t="shared" si="0"/>
        <v>0.50400086384884057</v>
      </c>
      <c r="F20" s="3"/>
      <c r="G20" s="2">
        <f>MATCH(B20,'Points Summary'!$B$4:$B$1144,0)</f>
        <v>227</v>
      </c>
      <c r="K20" s="42"/>
    </row>
    <row r="21" spans="1:11" x14ac:dyDescent="0.25">
      <c r="A21" s="2">
        <v>2</v>
      </c>
      <c r="B21" s="3" t="s">
        <v>329</v>
      </c>
      <c r="C21" s="51">
        <f>TIME(0,36,52)</f>
        <v>2.5601851851851851E-2</v>
      </c>
      <c r="D21" s="29">
        <f>INDEX('Points Summary'!$E$4:$E$1143,G21)</f>
        <v>35.205333381012913</v>
      </c>
      <c r="E21" s="30">
        <f t="shared" si="0"/>
        <v>0.43792480122851341</v>
      </c>
      <c r="F21" s="3"/>
      <c r="G21" s="2">
        <f>MATCH(B21,'Points Summary'!$B$4:$B$1144,0)</f>
        <v>245</v>
      </c>
      <c r="K21" s="42"/>
    </row>
    <row r="22" spans="1:11" x14ac:dyDescent="0.25">
      <c r="A22" s="2">
        <v>1</v>
      </c>
      <c r="B22" s="3" t="s">
        <v>1107</v>
      </c>
      <c r="C22" s="51">
        <f>TIME(0,26,56)</f>
        <v>1.8703703703703705E-2</v>
      </c>
      <c r="D22" s="29">
        <f>INDEX('Points Summary'!$E$4:$E$1143,G22)</f>
        <v>0</v>
      </c>
      <c r="E22" s="30">
        <f t="shared" si="0"/>
        <v>0.59943667098853437</v>
      </c>
      <c r="F22" s="3"/>
      <c r="G22" s="2">
        <f>MATCH(B22,'Points Summary'!$B$4:$B$1144,0)</f>
        <v>144</v>
      </c>
      <c r="K22" s="42"/>
    </row>
    <row r="23" spans="1:11" x14ac:dyDescent="0.25">
      <c r="A23" s="2">
        <v>8</v>
      </c>
      <c r="B23" s="3" t="s">
        <v>1112</v>
      </c>
      <c r="C23" s="51">
        <f>TIME(0,33,23)</f>
        <v>2.3182870370370371E-2</v>
      </c>
      <c r="D23" s="29">
        <f>INDEX('Points Summary'!$E$4:$E$1143,G23)</f>
        <v>0</v>
      </c>
      <c r="E23" s="30">
        <f t="shared" si="0"/>
        <v>0.48361940105715007</v>
      </c>
      <c r="F23" s="3"/>
      <c r="G23" s="2">
        <f>MATCH(B23,'Points Summary'!$B$4:$B$1144,0)</f>
        <v>194</v>
      </c>
    </row>
    <row r="24" spans="1:11" x14ac:dyDescent="0.25">
      <c r="A24" s="2">
        <v>1</v>
      </c>
      <c r="B24" s="3" t="s">
        <v>1113</v>
      </c>
      <c r="C24" s="51">
        <f>TIME(0,33,18)</f>
        <v>2.3124999999999996E-2</v>
      </c>
      <c r="D24" s="29">
        <f>INDEX('Points Summary'!$E$4:$E$1143,G24)</f>
        <v>0</v>
      </c>
      <c r="E24" s="30">
        <f t="shared" si="0"/>
        <v>0.48482965981855441</v>
      </c>
      <c r="F24" s="3"/>
      <c r="G24" s="2">
        <f>MATCH(B24,'Points Summary'!$B$4:$B$1144,0)</f>
        <v>72</v>
      </c>
    </row>
    <row r="25" spans="1:11" x14ac:dyDescent="0.25">
      <c r="A25" s="2"/>
      <c r="B25" s="3"/>
      <c r="C25" s="51"/>
      <c r="D25" s="29"/>
      <c r="E25" s="30"/>
      <c r="F25" s="3"/>
      <c r="G25" s="2"/>
    </row>
    <row r="26" spans="1:11" x14ac:dyDescent="0.25">
      <c r="A26" s="2"/>
      <c r="B26" s="3"/>
      <c r="C26" s="51"/>
      <c r="D26" s="29"/>
      <c r="E26" s="30"/>
      <c r="F26" s="3"/>
      <c r="G26" s="2"/>
    </row>
    <row r="27" spans="1:11" x14ac:dyDescent="0.25">
      <c r="A27" s="2"/>
      <c r="B27" s="3"/>
      <c r="C27" s="51"/>
      <c r="D27" s="29"/>
      <c r="E27" s="30"/>
      <c r="F27" s="3"/>
      <c r="G27" s="2"/>
    </row>
    <row r="28" spans="1:11" x14ac:dyDescent="0.25">
      <c r="A28" s="2"/>
      <c r="B28" s="3"/>
      <c r="C28" s="51"/>
      <c r="D28" s="29"/>
      <c r="E28" s="30"/>
      <c r="F28" s="3"/>
      <c r="G28" s="2"/>
    </row>
    <row r="29" spans="1:11" x14ac:dyDescent="0.25">
      <c r="A29" s="2"/>
      <c r="B29" s="3"/>
      <c r="C29" s="51"/>
      <c r="D29" s="29"/>
      <c r="E29" s="30"/>
      <c r="F29" s="3"/>
      <c r="G29" s="2"/>
    </row>
    <row r="30" spans="1:11" x14ac:dyDescent="0.25">
      <c r="A30" s="2"/>
      <c r="B30" s="3"/>
      <c r="C30" s="51"/>
      <c r="D30" s="29"/>
      <c r="E30" s="30"/>
      <c r="F30" s="3"/>
      <c r="G30" s="2"/>
    </row>
    <row r="31" spans="1:11" x14ac:dyDescent="0.25">
      <c r="A31" s="2"/>
      <c r="B31" s="3"/>
      <c r="C31" s="51"/>
      <c r="D31" s="29"/>
      <c r="E31" s="30"/>
      <c r="F31" s="3"/>
      <c r="G31" s="2"/>
    </row>
    <row r="32" spans="1:11" x14ac:dyDescent="0.25">
      <c r="A32" s="2"/>
      <c r="B32" s="3"/>
      <c r="C32" s="51"/>
      <c r="D32" s="29"/>
      <c r="E32" s="30"/>
      <c r="F32" s="3"/>
      <c r="G32" s="2"/>
    </row>
    <row r="33" spans="1:7" x14ac:dyDescent="0.25">
      <c r="A33" s="2"/>
      <c r="B33" s="3"/>
      <c r="C33" s="51"/>
      <c r="D33" s="29"/>
      <c r="E33" s="30"/>
      <c r="F33" s="3"/>
      <c r="G33" s="2"/>
    </row>
    <row r="34" spans="1:7" x14ac:dyDescent="0.25">
      <c r="A34" s="2"/>
      <c r="B34" s="3"/>
      <c r="C34" s="51"/>
      <c r="D34" s="29"/>
      <c r="E34" s="30"/>
      <c r="F34" s="3"/>
      <c r="G34" s="2"/>
    </row>
    <row r="35" spans="1:7" x14ac:dyDescent="0.25">
      <c r="A35" s="2"/>
      <c r="B35" s="3"/>
      <c r="C35" s="51"/>
      <c r="D35" s="29"/>
      <c r="E35" s="30"/>
      <c r="F35" s="3"/>
      <c r="G35" s="2"/>
    </row>
    <row r="36" spans="1:7" x14ac:dyDescent="0.25">
      <c r="A36" s="2"/>
      <c r="B36" s="3"/>
      <c r="C36" s="51"/>
      <c r="D36" s="29"/>
      <c r="E36" s="30"/>
      <c r="F36" s="3"/>
      <c r="G36" s="2"/>
    </row>
    <row r="37" spans="1:7" x14ac:dyDescent="0.25">
      <c r="A37" s="2"/>
      <c r="B37" s="3"/>
      <c r="C37" s="51"/>
      <c r="D37" s="29"/>
      <c r="E37" s="30"/>
      <c r="F37" s="3"/>
      <c r="G37" s="2"/>
    </row>
    <row r="38" spans="1:7" x14ac:dyDescent="0.25">
      <c r="A38" s="2"/>
      <c r="B38" s="3"/>
      <c r="C38" s="51"/>
      <c r="D38" s="29"/>
      <c r="E38" s="30"/>
      <c r="F38" s="3"/>
      <c r="G38" s="2"/>
    </row>
    <row r="39" spans="1:7" x14ac:dyDescent="0.25">
      <c r="A39" s="2"/>
      <c r="B39" s="3"/>
      <c r="C39" s="51"/>
      <c r="D39" s="29"/>
      <c r="E39" s="30"/>
      <c r="F39" s="3"/>
      <c r="G39" s="2"/>
    </row>
    <row r="40" spans="1:7" x14ac:dyDescent="0.25">
      <c r="A40" s="2"/>
      <c r="B40" s="3"/>
      <c r="C40" s="51"/>
      <c r="D40" s="29"/>
      <c r="E40" s="30"/>
      <c r="F40" s="3"/>
      <c r="G40" s="2"/>
    </row>
    <row r="41" spans="1:7" x14ac:dyDescent="0.25">
      <c r="A41" s="2"/>
      <c r="B41" s="3"/>
      <c r="C41" s="51"/>
      <c r="D41" s="29"/>
      <c r="E41" s="30"/>
      <c r="F41" s="3"/>
      <c r="G41" s="2"/>
    </row>
    <row r="42" spans="1:7" x14ac:dyDescent="0.25">
      <c r="A42" s="2"/>
      <c r="B42" s="3"/>
      <c r="C42" s="51"/>
      <c r="D42" s="29"/>
      <c r="E42" s="30"/>
      <c r="F42" s="3"/>
      <c r="G42" s="2"/>
    </row>
    <row r="43" spans="1:7" x14ac:dyDescent="0.25">
      <c r="A43" s="2"/>
      <c r="B43" s="3"/>
      <c r="C43" s="51"/>
      <c r="D43" s="29"/>
      <c r="E43" s="30"/>
      <c r="F43" s="3"/>
      <c r="G43" s="2"/>
    </row>
    <row r="44" spans="1:7" x14ac:dyDescent="0.25">
      <c r="A44" s="2"/>
      <c r="B44" s="3"/>
      <c r="C44" s="51"/>
      <c r="D44" s="29"/>
      <c r="E44" s="30"/>
      <c r="F44" s="3"/>
      <c r="G44" s="2"/>
    </row>
    <row r="45" spans="1:7" x14ac:dyDescent="0.25">
      <c r="A45" s="2"/>
      <c r="B45" s="3"/>
      <c r="C45" s="51"/>
      <c r="D45" s="29"/>
      <c r="E45" s="30"/>
      <c r="F45" s="3"/>
      <c r="G45" s="2"/>
    </row>
    <row r="46" spans="1:7" x14ac:dyDescent="0.25">
      <c r="A46" s="2"/>
      <c r="B46" s="3"/>
      <c r="C46" s="51"/>
      <c r="D46" s="29"/>
      <c r="E46" s="30"/>
      <c r="F46" s="3"/>
      <c r="G46" s="2"/>
    </row>
    <row r="47" spans="1:7" x14ac:dyDescent="0.25">
      <c r="A47" s="2"/>
      <c r="B47" s="3"/>
      <c r="C47" s="51"/>
      <c r="D47" s="29"/>
      <c r="E47" s="30"/>
      <c r="F47" s="3"/>
      <c r="G47" s="2"/>
    </row>
    <row r="48" spans="1:7" x14ac:dyDescent="0.25">
      <c r="A48" s="2"/>
      <c r="B48" s="3"/>
      <c r="C48" s="51"/>
      <c r="D48" s="29"/>
      <c r="E48" s="30"/>
      <c r="F48" s="3"/>
      <c r="G48" s="2"/>
    </row>
    <row r="49" spans="1:7" x14ac:dyDescent="0.25">
      <c r="A49" s="2"/>
      <c r="B49" s="3"/>
      <c r="C49" s="51"/>
      <c r="D49" s="29"/>
      <c r="E49" s="30"/>
      <c r="F49" s="3"/>
      <c r="G49" s="2"/>
    </row>
    <row r="50" spans="1:7" x14ac:dyDescent="0.25">
      <c r="A50" s="2"/>
      <c r="B50" s="3"/>
      <c r="C50" s="51"/>
      <c r="D50" s="29"/>
      <c r="E50" s="30"/>
      <c r="F50" s="3"/>
      <c r="G50" s="2"/>
    </row>
    <row r="51" spans="1:7" x14ac:dyDescent="0.25">
      <c r="A51" s="2"/>
      <c r="B51" s="3"/>
      <c r="C51" s="51"/>
      <c r="D51" s="29"/>
      <c r="E51" s="30"/>
      <c r="F51" s="3"/>
      <c r="G51" s="2"/>
    </row>
    <row r="52" spans="1:7" x14ac:dyDescent="0.25">
      <c r="B52" s="3"/>
    </row>
    <row r="53" spans="1:7" x14ac:dyDescent="0.25">
      <c r="B53" s="3"/>
    </row>
    <row r="54" spans="1:7" x14ac:dyDescent="0.25">
      <c r="B54" s="3"/>
    </row>
    <row r="55" spans="1:7" x14ac:dyDescent="0.25">
      <c r="B55" s="3"/>
    </row>
  </sheetData>
  <sortState ref="A8:G24">
    <sortCondition descending="1" ref="D8:D22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2017 Race Points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workbookViewId="0">
      <selection activeCell="B19" sqref="B19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1114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43125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115</v>
      </c>
      <c r="C5" s="22"/>
      <c r="D5" s="22"/>
      <c r="E5" s="22" t="s">
        <v>55</v>
      </c>
      <c r="F5" s="38">
        <f>AVERAGE(C8:C12)*(AVERAGE(D8:D12)/100)</f>
        <v>1.1408511593369301E-2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</v>
      </c>
      <c r="B8" s="3" t="s">
        <v>772</v>
      </c>
      <c r="C8" s="28">
        <f>TIME(0,19,19)</f>
        <v>1.3414351851851851E-2</v>
      </c>
      <c r="D8" s="29">
        <f>INDEX('Points Summary'!$E$4:$E$1143,G8)</f>
        <v>83.596812974510229</v>
      </c>
      <c r="E8" s="124">
        <f t="shared" ref="E8:E19" si="0">(AVERAGE($D$8:$D$12)/100*AVERAGE($C$8:$C$12))/C8</f>
        <v>0.85047057952295746</v>
      </c>
      <c r="F8" s="3"/>
      <c r="G8" s="2">
        <f>MATCH(B8,'Points Summary'!$B$4:$B$1144,0)</f>
        <v>90</v>
      </c>
    </row>
    <row r="9" spans="1:7" x14ac:dyDescent="0.25">
      <c r="A9" s="2">
        <v>2</v>
      </c>
      <c r="B9" s="3" t="s">
        <v>808</v>
      </c>
      <c r="C9" s="28">
        <f>TIME(0,19,28)</f>
        <v>1.3518518518518518E-2</v>
      </c>
      <c r="D9" s="29">
        <f>INDEX('Points Summary'!$E$4:$E$1143,G9)</f>
        <v>80.85754637552489</v>
      </c>
      <c r="E9" s="124">
        <f t="shared" si="0"/>
        <v>0.84391729594786613</v>
      </c>
      <c r="F9" s="3"/>
      <c r="G9" s="2">
        <f>MATCH(B9,'Points Summary'!$B$4:$B$1144,0)</f>
        <v>441</v>
      </c>
    </row>
    <row r="10" spans="1:7" x14ac:dyDescent="0.25">
      <c r="A10" s="2">
        <v>2</v>
      </c>
      <c r="B10" s="3" t="s">
        <v>362</v>
      </c>
      <c r="C10" s="28">
        <f>TIME(0,32,22)</f>
        <v>2.2476851851851855E-2</v>
      </c>
      <c r="D10" s="29">
        <f>INDEX('Points Summary'!$E$4:$E$1143,G10)</f>
        <v>55.679463696300587</v>
      </c>
      <c r="E10" s="124">
        <f t="shared" si="0"/>
        <v>0.50756714812930359</v>
      </c>
      <c r="F10" s="3"/>
      <c r="G10" s="2">
        <f>MATCH(B10,'Points Summary'!$B$4:$B$1144,0)</f>
        <v>452</v>
      </c>
    </row>
    <row r="11" spans="1:7" x14ac:dyDescent="0.25">
      <c r="A11" s="2">
        <v>1</v>
      </c>
      <c r="B11" s="3" t="s">
        <v>888</v>
      </c>
      <c r="C11" s="28">
        <f>TIME(0,26,31)</f>
        <v>1.8414351851851852E-2</v>
      </c>
      <c r="D11" s="29">
        <f>INDEX('Points Summary'!$E$4:$E$1143,G11)</f>
        <v>55.369402232529268</v>
      </c>
      <c r="E11" s="124">
        <f t="shared" si="0"/>
        <v>0.61954456421565529</v>
      </c>
      <c r="F11" s="3"/>
      <c r="G11" s="2">
        <f>MATCH(B11,'Points Summary'!$B$4:$B$1144,0)</f>
        <v>422</v>
      </c>
    </row>
    <row r="12" spans="1:7" x14ac:dyDescent="0.25">
      <c r="A12" s="2">
        <v>2</v>
      </c>
      <c r="B12" s="3" t="s">
        <v>726</v>
      </c>
      <c r="C12" s="28">
        <f>TIME(0,27,38)</f>
        <v>1.9189814814814816E-2</v>
      </c>
      <c r="D12" s="29">
        <f>INDEX('Points Summary'!$E$4:$E$1143,G12)</f>
        <v>52.275240292798891</v>
      </c>
      <c r="E12" s="124">
        <f t="shared" si="0"/>
        <v>0.59450868616833996</v>
      </c>
      <c r="F12" s="3"/>
      <c r="G12" s="2">
        <f>MATCH(B12,'Points Summary'!$B$4:$B$1144,0)</f>
        <v>51</v>
      </c>
    </row>
    <row r="13" spans="1:7" x14ac:dyDescent="0.25">
      <c r="A13" s="2">
        <v>1</v>
      </c>
      <c r="B13" s="3" t="s">
        <v>717</v>
      </c>
      <c r="C13" s="28">
        <f>TIME(0,27,7)</f>
        <v>1.8831018518518518E-2</v>
      </c>
      <c r="D13" s="29">
        <f>INDEX('Points Summary'!$E$4:$E$1143,G13)</f>
        <v>48.672019800701939</v>
      </c>
      <c r="E13" s="124">
        <f t="shared" si="0"/>
        <v>0.6058361411598695</v>
      </c>
      <c r="F13" s="3"/>
      <c r="G13" s="2">
        <f>MATCH(B13,'Points Summary'!$B$4:$B$1144,0)</f>
        <v>237</v>
      </c>
    </row>
    <row r="14" spans="1:7" x14ac:dyDescent="0.25">
      <c r="A14" s="2">
        <v>4</v>
      </c>
      <c r="B14" s="3" t="s">
        <v>1111</v>
      </c>
      <c r="C14" s="28">
        <f>TIME(0,30,4)</f>
        <v>2.0879629629629626E-2</v>
      </c>
      <c r="D14" s="29">
        <f>INDEX('Points Summary'!$E$4:$E$1143,G14)</f>
        <v>45.893597632545209</v>
      </c>
      <c r="E14" s="124">
        <f t="shared" si="0"/>
        <v>0.54639434682212185</v>
      </c>
      <c r="F14" s="3"/>
      <c r="G14" s="2">
        <f>MATCH(B14,'Points Summary'!$B$4:$B$1144,0)</f>
        <v>408</v>
      </c>
    </row>
    <row r="15" spans="1:7" x14ac:dyDescent="0.25">
      <c r="A15" s="2">
        <v>1</v>
      </c>
      <c r="B15" s="3" t="s">
        <v>773</v>
      </c>
      <c r="C15" s="28">
        <f>TIME(0,29,45)</f>
        <v>2.0659722222222222E-2</v>
      </c>
      <c r="D15" s="29">
        <f>INDEX('Points Summary'!$E$4:$E$1143,G15)</f>
        <v>44.290458705948929</v>
      </c>
      <c r="E15" s="124">
        <f t="shared" si="0"/>
        <v>0.55221030905720314</v>
      </c>
      <c r="F15" s="3"/>
      <c r="G15" s="2">
        <f>MATCH(B15,'Points Summary'!$B$4:$B$1144,0)</f>
        <v>123</v>
      </c>
    </row>
    <row r="16" spans="1:7" x14ac:dyDescent="0.25">
      <c r="A16" s="2">
        <v>1</v>
      </c>
      <c r="B16" s="3" t="s">
        <v>734</v>
      </c>
      <c r="C16" s="28">
        <f>TIME(0,36,53)</f>
        <v>2.5613425925925925E-2</v>
      </c>
      <c r="D16" s="29">
        <f>INDEX('Points Summary'!$E$4:$E$1143,G16)</f>
        <v>42.746778636290308</v>
      </c>
      <c r="E16" s="124">
        <f t="shared" si="0"/>
        <v>0.44541138801044178</v>
      </c>
      <c r="F16" s="3"/>
      <c r="G16" s="2">
        <f>MATCH(B16,'Points Summary'!$B$4:$B$1144,0)</f>
        <v>418</v>
      </c>
    </row>
    <row r="17" spans="1:9" x14ac:dyDescent="0.25">
      <c r="A17" s="2">
        <v>3</v>
      </c>
      <c r="B17" s="3" t="s">
        <v>1109</v>
      </c>
      <c r="C17" s="28">
        <f>TIME(0,29,14)</f>
        <v>2.0300925925925927E-2</v>
      </c>
      <c r="D17" s="29">
        <f>INDEX('Points Summary'!$E$4:$E$1143,G17)</f>
        <v>42.513807878999437</v>
      </c>
      <c r="E17" s="124">
        <f t="shared" si="0"/>
        <v>0.56197001235296895</v>
      </c>
      <c r="F17" s="3"/>
      <c r="G17" s="2">
        <f>MATCH(B17,'Points Summary'!$B$4:$B$1144,0)</f>
        <v>227</v>
      </c>
      <c r="I17" s="196"/>
    </row>
    <row r="18" spans="1:9" x14ac:dyDescent="0.25">
      <c r="A18" s="2">
        <v>3</v>
      </c>
      <c r="B18" s="3" t="s">
        <v>329</v>
      </c>
      <c r="C18" s="28">
        <f>TIME(0,38,10)</f>
        <v>2.6504629629629628E-2</v>
      </c>
      <c r="D18" s="29">
        <f>INDEX('Points Summary'!$E$4:$E$1143,G18)</f>
        <v>35.205333381012913</v>
      </c>
      <c r="E18" s="124">
        <f t="shared" si="0"/>
        <v>0.43043467321707757</v>
      </c>
      <c r="F18" s="3"/>
      <c r="G18" s="2">
        <f>MATCH(B18,'Points Summary'!$B$4:$B$1144,0)</f>
        <v>245</v>
      </c>
      <c r="I18" s="42"/>
    </row>
    <row r="19" spans="1:9" x14ac:dyDescent="0.25">
      <c r="A19" s="2">
        <v>5</v>
      </c>
      <c r="B19" s="3" t="s">
        <v>1112</v>
      </c>
      <c r="C19" s="28">
        <f>TIME(0,34,53)</f>
        <v>2.4224537037037034E-2</v>
      </c>
      <c r="D19" s="29">
        <f>INDEX('Points Summary'!$E$4:$E$1143,G19)</f>
        <v>0</v>
      </c>
      <c r="E19" s="124">
        <f t="shared" si="0"/>
        <v>0.47094859133641076</v>
      </c>
      <c r="F19" s="3"/>
      <c r="G19" s="2">
        <f>MATCH(B19,'Points Summary'!$B$4:$B$1144,0)</f>
        <v>194</v>
      </c>
      <c r="I19" s="42"/>
    </row>
    <row r="20" spans="1:9" x14ac:dyDescent="0.25">
      <c r="A20" s="2"/>
      <c r="B20" s="3"/>
      <c r="C20" s="28"/>
      <c r="D20" s="29"/>
      <c r="E20" s="124"/>
      <c r="F20" s="3"/>
      <c r="G20" s="2"/>
      <c r="I20" s="42"/>
    </row>
    <row r="21" spans="1:9" x14ac:dyDescent="0.25">
      <c r="A21" s="2"/>
      <c r="B21" s="3"/>
      <c r="C21" s="28"/>
      <c r="D21" s="29"/>
      <c r="E21" s="124"/>
      <c r="F21" s="3"/>
      <c r="G21" s="2"/>
      <c r="I21" s="42"/>
    </row>
    <row r="22" spans="1:9" x14ac:dyDescent="0.25">
      <c r="A22" s="2"/>
      <c r="B22" s="3"/>
      <c r="C22" s="28"/>
      <c r="D22" s="29"/>
      <c r="E22" s="124"/>
      <c r="F22" s="3"/>
      <c r="G22" s="2"/>
      <c r="I22" s="42"/>
    </row>
    <row r="23" spans="1:9" x14ac:dyDescent="0.25">
      <c r="A23" s="2"/>
      <c r="B23" s="3"/>
      <c r="C23" s="28"/>
      <c r="D23" s="29"/>
      <c r="E23" s="124"/>
      <c r="F23" s="3"/>
      <c r="G23" s="2"/>
      <c r="I23" s="42"/>
    </row>
    <row r="24" spans="1:9" x14ac:dyDescent="0.25">
      <c r="A24" s="2"/>
      <c r="B24" s="3"/>
      <c r="C24" s="51"/>
      <c r="D24" s="29"/>
      <c r="E24" s="124"/>
      <c r="F24" s="3"/>
      <c r="G24" s="2"/>
      <c r="I24" s="42"/>
    </row>
    <row r="25" spans="1:9" x14ac:dyDescent="0.25">
      <c r="A25" s="2"/>
      <c r="B25" s="3"/>
      <c r="C25" s="28"/>
      <c r="D25" s="29"/>
      <c r="E25" s="124"/>
      <c r="F25" s="3"/>
      <c r="G25" s="2"/>
      <c r="I25" s="42"/>
    </row>
    <row r="26" spans="1:9" x14ac:dyDescent="0.25">
      <c r="A26" s="2"/>
      <c r="B26" s="3"/>
      <c r="C26" s="28"/>
      <c r="D26" s="29"/>
      <c r="E26" s="124"/>
      <c r="F26" s="3"/>
      <c r="G26" s="2"/>
      <c r="I26" s="42"/>
    </row>
    <row r="27" spans="1:9" x14ac:dyDescent="0.25">
      <c r="A27" s="2"/>
      <c r="B27" s="3"/>
      <c r="C27" s="51"/>
      <c r="D27" s="29"/>
      <c r="E27" s="124"/>
      <c r="F27" s="3"/>
      <c r="G27" s="2"/>
      <c r="I27" s="42"/>
    </row>
    <row r="28" spans="1:9" x14ac:dyDescent="0.25">
      <c r="A28" s="2"/>
      <c r="B28" s="3"/>
      <c r="C28" s="28"/>
      <c r="D28" s="29"/>
      <c r="E28" s="30"/>
      <c r="F28" s="3"/>
      <c r="G28" s="2"/>
    </row>
    <row r="29" spans="1:9" x14ac:dyDescent="0.25">
      <c r="A29" s="2"/>
      <c r="B29" s="3"/>
      <c r="C29" s="28"/>
      <c r="D29" s="29"/>
      <c r="E29" s="30"/>
      <c r="F29" s="3"/>
      <c r="G29" s="2"/>
    </row>
    <row r="30" spans="1:9" x14ac:dyDescent="0.25">
      <c r="A30" s="2"/>
      <c r="B30" s="3"/>
      <c r="C30" s="28"/>
      <c r="D30" s="29"/>
      <c r="E30" s="30"/>
      <c r="F30" s="3"/>
      <c r="G30" s="2"/>
    </row>
    <row r="31" spans="1:9" x14ac:dyDescent="0.25">
      <c r="A31" s="2"/>
      <c r="B31" s="3"/>
      <c r="C31" s="28"/>
      <c r="D31" s="29"/>
      <c r="E31" s="30"/>
      <c r="F31" s="3"/>
      <c r="G31" s="2"/>
    </row>
    <row r="32" spans="1:9" x14ac:dyDescent="0.25">
      <c r="A32" s="2"/>
      <c r="B32" s="3"/>
      <c r="C32" s="28"/>
      <c r="D32" s="29"/>
      <c r="E32" s="30"/>
      <c r="F32" s="3"/>
      <c r="G32" s="2"/>
    </row>
    <row r="33" spans="1:7" x14ac:dyDescent="0.25">
      <c r="A33" s="2"/>
      <c r="B33" s="3"/>
      <c r="C33" s="28"/>
      <c r="D33" s="29"/>
      <c r="E33" s="30"/>
      <c r="F33" s="3"/>
      <c r="G33" s="2"/>
    </row>
    <row r="34" spans="1:7" x14ac:dyDescent="0.25">
      <c r="A34" s="2"/>
      <c r="B34" s="3"/>
      <c r="C34" s="28"/>
      <c r="D34" s="29"/>
      <c r="E34" s="30"/>
      <c r="F34" s="3"/>
      <c r="G34" s="2"/>
    </row>
    <row r="35" spans="1:7" x14ac:dyDescent="0.25">
      <c r="A35" s="2"/>
      <c r="B35" s="3"/>
      <c r="C35" s="28"/>
      <c r="D35" s="29"/>
      <c r="E35" s="30"/>
      <c r="F35" s="3"/>
      <c r="G35" s="2"/>
    </row>
    <row r="36" spans="1:7" x14ac:dyDescent="0.25">
      <c r="A36" s="2"/>
      <c r="B36" s="3"/>
      <c r="C36" s="28"/>
      <c r="D36" s="29"/>
      <c r="E36" s="30"/>
      <c r="F36" s="3"/>
      <c r="G36" s="2"/>
    </row>
    <row r="37" spans="1:7" x14ac:dyDescent="0.25">
      <c r="A37" s="2"/>
      <c r="B37" s="3"/>
      <c r="C37" s="28"/>
      <c r="D37" s="29"/>
      <c r="E37" s="30"/>
      <c r="F37" s="3"/>
      <c r="G37" s="2"/>
    </row>
    <row r="38" spans="1:7" x14ac:dyDescent="0.25">
      <c r="A38" s="2"/>
      <c r="B38" s="3"/>
      <c r="C38" s="28"/>
      <c r="D38" s="29"/>
      <c r="E38" s="30"/>
      <c r="F38" s="3"/>
      <c r="G38" s="2"/>
    </row>
    <row r="39" spans="1:7" x14ac:dyDescent="0.25">
      <c r="A39" s="2"/>
      <c r="B39" s="3"/>
      <c r="C39" s="28"/>
      <c r="D39" s="29"/>
      <c r="E39" s="30"/>
      <c r="F39" s="3"/>
      <c r="G39" s="2"/>
    </row>
    <row r="40" spans="1:7" x14ac:dyDescent="0.25">
      <c r="A40" s="2"/>
      <c r="B40" s="3"/>
      <c r="C40" s="28"/>
      <c r="D40" s="29"/>
      <c r="E40" s="30"/>
      <c r="F40" s="3"/>
      <c r="G40" s="2"/>
    </row>
    <row r="41" spans="1:7" x14ac:dyDescent="0.25">
      <c r="A41" s="2"/>
      <c r="B41" s="3"/>
      <c r="C41" s="28"/>
      <c r="D41" s="29"/>
      <c r="E41" s="30"/>
      <c r="F41" s="3"/>
      <c r="G41" s="2"/>
    </row>
    <row r="42" spans="1:7" x14ac:dyDescent="0.25">
      <c r="A42" s="2"/>
      <c r="B42" s="3"/>
      <c r="C42" s="28"/>
      <c r="D42" s="29"/>
      <c r="E42" s="30"/>
      <c r="F42" s="3"/>
      <c r="G42" s="2"/>
    </row>
    <row r="43" spans="1:7" x14ac:dyDescent="0.25">
      <c r="A43" s="2"/>
      <c r="B43" s="3"/>
      <c r="C43" s="28"/>
      <c r="D43" s="29"/>
      <c r="E43" s="30"/>
      <c r="F43" s="3"/>
      <c r="G43" s="2"/>
    </row>
    <row r="44" spans="1:7" x14ac:dyDescent="0.25">
      <c r="A44" s="2"/>
      <c r="B44" s="3"/>
      <c r="C44" s="28"/>
      <c r="D44" s="29"/>
      <c r="E44" s="30"/>
      <c r="F44" s="3"/>
      <c r="G44" s="2"/>
    </row>
    <row r="45" spans="1:7" x14ac:dyDescent="0.25">
      <c r="A45" s="2"/>
      <c r="B45" s="3"/>
      <c r="C45" s="28"/>
      <c r="D45" s="29"/>
      <c r="E45" s="30"/>
      <c r="F45" s="3"/>
      <c r="G45" s="2"/>
    </row>
    <row r="46" spans="1:7" x14ac:dyDescent="0.25">
      <c r="A46" s="2"/>
      <c r="B46" s="3"/>
      <c r="C46" s="28"/>
      <c r="D46" s="29"/>
      <c r="E46" s="30"/>
      <c r="F46" s="3"/>
      <c r="G46" s="2"/>
    </row>
    <row r="47" spans="1:7" x14ac:dyDescent="0.25">
      <c r="A47" s="2"/>
      <c r="B47" s="3"/>
      <c r="C47" s="28"/>
      <c r="D47" s="29"/>
      <c r="E47" s="30"/>
      <c r="F47" s="3"/>
      <c r="G47" s="2"/>
    </row>
    <row r="48" spans="1:7" x14ac:dyDescent="0.25">
      <c r="A48" s="2"/>
      <c r="B48" s="3"/>
      <c r="C48" s="28"/>
      <c r="D48" s="29"/>
      <c r="E48" s="30"/>
      <c r="F48" s="3"/>
      <c r="G48" s="2"/>
    </row>
    <row r="49" spans="1:7" x14ac:dyDescent="0.25">
      <c r="A49" s="2"/>
      <c r="B49" s="3"/>
      <c r="C49" s="28"/>
      <c r="D49" s="29"/>
      <c r="E49" s="30"/>
      <c r="F49" s="3"/>
      <c r="G49" s="2"/>
    </row>
  </sheetData>
  <sortState ref="A8:G19">
    <sortCondition descending="1" ref="D8:D19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2018 Race Points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workbookViewId="0">
      <selection activeCell="B20" sqref="B20"/>
    </sheetView>
  </sheetViews>
  <sheetFormatPr defaultRowHeight="13.2" x14ac:dyDescent="0.25"/>
  <cols>
    <col min="2" max="2" width="24.6640625" customWidth="1"/>
    <col min="3" max="3" width="9.6640625" style="42" customWidth="1"/>
    <col min="4" max="4" width="9.6640625" customWidth="1"/>
    <col min="5" max="5" width="9.6640625" style="42" customWidth="1"/>
    <col min="6" max="7" width="9.6640625" customWidth="1"/>
    <col min="9" max="9" width="14.109375" customWidth="1"/>
  </cols>
  <sheetData>
    <row r="1" spans="1:9" x14ac:dyDescent="0.25">
      <c r="A1" s="16" t="s">
        <v>22</v>
      </c>
      <c r="B1" s="17" t="s">
        <v>1115</v>
      </c>
      <c r="C1" s="133"/>
      <c r="D1" s="18"/>
      <c r="E1" s="133"/>
      <c r="F1" s="18"/>
      <c r="G1" s="19"/>
    </row>
    <row r="2" spans="1:9" x14ac:dyDescent="0.25">
      <c r="A2" s="20" t="s">
        <v>23</v>
      </c>
      <c r="B2" s="21">
        <v>43128</v>
      </c>
      <c r="C2" s="56"/>
      <c r="D2" s="22"/>
      <c r="E2" s="56"/>
      <c r="F2" s="22"/>
      <c r="G2" s="23"/>
    </row>
    <row r="3" spans="1:9" x14ac:dyDescent="0.25">
      <c r="A3" s="20" t="s">
        <v>24</v>
      </c>
      <c r="B3" s="24" t="s">
        <v>421</v>
      </c>
      <c r="C3" s="56"/>
      <c r="D3" s="22"/>
      <c r="E3" s="56"/>
      <c r="F3" s="22"/>
      <c r="G3" s="23"/>
    </row>
    <row r="4" spans="1:9" x14ac:dyDescent="0.25">
      <c r="A4" s="20" t="s">
        <v>1</v>
      </c>
      <c r="B4" s="24" t="s">
        <v>26</v>
      </c>
      <c r="C4" s="56"/>
      <c r="D4" s="22"/>
      <c r="E4" s="56"/>
      <c r="F4" s="22"/>
      <c r="G4" s="23"/>
    </row>
    <row r="5" spans="1:9" x14ac:dyDescent="0.25">
      <c r="A5" s="20" t="s">
        <v>27</v>
      </c>
      <c r="B5" s="24" t="s">
        <v>1116</v>
      </c>
      <c r="C5" s="56"/>
      <c r="D5" s="22"/>
      <c r="E5" s="56" t="s">
        <v>55</v>
      </c>
      <c r="F5" s="38">
        <f>AVERAGE(C8:C12)*(AVERAGE(D8:D12)/100)</f>
        <v>1.6191635361010565E-2</v>
      </c>
      <c r="G5" s="23"/>
    </row>
    <row r="6" spans="1:9" x14ac:dyDescent="0.25">
      <c r="A6" s="25" t="s">
        <v>29</v>
      </c>
      <c r="B6" s="26"/>
      <c r="C6" s="134"/>
      <c r="D6" s="26"/>
      <c r="E6" s="134"/>
      <c r="F6" s="26"/>
      <c r="G6" s="27"/>
    </row>
    <row r="7" spans="1:9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9" x14ac:dyDescent="0.25">
      <c r="A8" s="2">
        <v>1</v>
      </c>
      <c r="B8" s="3" t="s">
        <v>12</v>
      </c>
      <c r="C8" s="51">
        <v>2.6736111111111113E-2</v>
      </c>
      <c r="D8" s="29">
        <f>INDEX('Points Summary'!$E$4:$E$1143,G8)</f>
        <v>61.556524973626225</v>
      </c>
      <c r="E8" s="124">
        <f t="shared" ref="E8:E19" si="0">(AVERAGE($D$8:$D$12)/100*AVERAGE($C$8:$C$12))/C8</f>
        <v>0.60560921869753792</v>
      </c>
      <c r="F8" s="3"/>
      <c r="G8" s="2">
        <f>MATCH(B8,'Points Summary'!$B$4:$B$1144,0)</f>
        <v>292</v>
      </c>
      <c r="I8" s="42"/>
    </row>
    <row r="9" spans="1:9" x14ac:dyDescent="0.25">
      <c r="A9" s="2">
        <v>1</v>
      </c>
      <c r="B9" s="3" t="s">
        <v>398</v>
      </c>
      <c r="C9" s="51">
        <v>2.6099537037037036E-2</v>
      </c>
      <c r="D9" s="29">
        <f>INDEX('Points Summary'!$E$4:$E$1143,G9)</f>
        <v>60.636529782048591</v>
      </c>
      <c r="E9" s="124">
        <f t="shared" si="0"/>
        <v>0.62038017525113653</v>
      </c>
      <c r="F9" s="3"/>
      <c r="G9" s="2">
        <f>MATCH(B9,'Points Summary'!$B$4:$B$1144,0)</f>
        <v>119</v>
      </c>
      <c r="I9" s="42"/>
    </row>
    <row r="10" spans="1:9" x14ac:dyDescent="0.25">
      <c r="A10" s="2">
        <v>2</v>
      </c>
      <c r="B10" s="3" t="s">
        <v>108</v>
      </c>
      <c r="C10" s="51">
        <v>2.6724537037037036E-2</v>
      </c>
      <c r="D10" s="29">
        <f>INDEX('Points Summary'!$E$4:$E$1143,G10)</f>
        <v>59.774545485164211</v>
      </c>
      <c r="E10" s="124">
        <f t="shared" si="0"/>
        <v>0.60587150073248719</v>
      </c>
      <c r="F10" s="3"/>
      <c r="G10" s="2">
        <f>MATCH(B10,'Points Summary'!$B$4:$B$1144,0)</f>
        <v>48</v>
      </c>
      <c r="I10" s="42"/>
    </row>
    <row r="11" spans="1:9" x14ac:dyDescent="0.25">
      <c r="A11" s="2">
        <v>5</v>
      </c>
      <c r="B11" s="3" t="s">
        <v>362</v>
      </c>
      <c r="C11" s="51">
        <f>TIME(0,45,49)</f>
        <v>3.1817129629629633E-2</v>
      </c>
      <c r="D11" s="29">
        <f>INDEX('Points Summary'!$E$4:$E$1143,G11)</f>
        <v>55.679463696300587</v>
      </c>
      <c r="E11" s="124">
        <f t="shared" si="0"/>
        <v>0.50889679708669067</v>
      </c>
      <c r="F11" s="3"/>
      <c r="G11" s="2">
        <f>MATCH(B11,'Points Summary'!$B$4:$B$1144,0)</f>
        <v>452</v>
      </c>
      <c r="I11" s="42"/>
    </row>
    <row r="12" spans="1:9" x14ac:dyDescent="0.25">
      <c r="A12" s="2">
        <v>1</v>
      </c>
      <c r="B12" s="3" t="s">
        <v>430</v>
      </c>
      <c r="C12" s="51">
        <v>2.9594907407407407E-2</v>
      </c>
      <c r="D12" s="29">
        <f>INDEX('Points Summary'!$E$4:$E$1143,G12)</f>
        <v>49.495238031520621</v>
      </c>
      <c r="E12" s="124">
        <f t="shared" si="0"/>
        <v>0.54710883660199949</v>
      </c>
      <c r="F12" s="3"/>
      <c r="G12" s="2">
        <f>MATCH(B12,'Points Summary'!$B$4:$B$1144,0)</f>
        <v>67</v>
      </c>
      <c r="I12" s="42"/>
    </row>
    <row r="13" spans="1:9" x14ac:dyDescent="0.25">
      <c r="A13" s="2">
        <v>4</v>
      </c>
      <c r="B13" s="3" t="s">
        <v>46</v>
      </c>
      <c r="C13" s="51">
        <f>TIME(0,45,35)</f>
        <v>3.1655092592592596E-2</v>
      </c>
      <c r="D13" s="29">
        <f>INDEX('Points Summary'!$E$4:$E$1143,G13)</f>
        <v>46.890473746597834</v>
      </c>
      <c r="E13" s="124">
        <f t="shared" si="0"/>
        <v>0.51150175326921854</v>
      </c>
      <c r="F13" s="3"/>
      <c r="G13" s="2">
        <f>MATCH(B13,'Points Summary'!$B$4:$B$1144,0)</f>
        <v>175</v>
      </c>
      <c r="I13" s="42"/>
    </row>
    <row r="14" spans="1:9" x14ac:dyDescent="0.25">
      <c r="A14" s="2">
        <v>2</v>
      </c>
      <c r="B14" s="3" t="s">
        <v>731</v>
      </c>
      <c r="C14" s="51">
        <v>3.4270833333333334E-2</v>
      </c>
      <c r="D14" s="29">
        <f>INDEX('Points Summary'!$E$4:$E$1143,G14)</f>
        <v>45.896656893682632</v>
      </c>
      <c r="E14" s="124">
        <f t="shared" si="0"/>
        <v>0.47246109260091618</v>
      </c>
      <c r="F14" s="3"/>
      <c r="G14" s="2">
        <f>MATCH(B14,'Points Summary'!$B$4:$B$1144,0)</f>
        <v>273</v>
      </c>
      <c r="I14" s="42"/>
    </row>
    <row r="15" spans="1:9" x14ac:dyDescent="0.25">
      <c r="A15" s="2">
        <v>6</v>
      </c>
      <c r="B15" s="3" t="s">
        <v>110</v>
      </c>
      <c r="C15" s="51">
        <v>3.3472222222222223E-2</v>
      </c>
      <c r="D15" s="29">
        <f>INDEX('Points Summary'!$E$4:$E$1143,G15)</f>
        <v>45.826273858324868</v>
      </c>
      <c r="E15" s="124">
        <f t="shared" si="0"/>
        <v>0.48373350456131148</v>
      </c>
      <c r="F15" s="3"/>
      <c r="G15" s="2">
        <f>MATCH(B15,'Points Summary'!$B$4:$B$1144,0)</f>
        <v>385</v>
      </c>
      <c r="I15" s="42"/>
    </row>
    <row r="16" spans="1:9" x14ac:dyDescent="0.25">
      <c r="A16" s="2">
        <v>1</v>
      </c>
      <c r="B16" s="3" t="s">
        <v>14</v>
      </c>
      <c r="C16" s="51">
        <v>3.3958333333333333E-2</v>
      </c>
      <c r="D16" s="29">
        <f>INDEX('Points Summary'!$E$4:$E$1143,G16)</f>
        <v>44.279717789493709</v>
      </c>
      <c r="E16" s="124">
        <f t="shared" si="0"/>
        <v>0.47680889406656879</v>
      </c>
      <c r="F16" s="3"/>
      <c r="G16" s="2">
        <f>MATCH(B16,'Points Summary'!$B$4:$B$1144,0)</f>
        <v>354</v>
      </c>
      <c r="I16" s="42"/>
    </row>
    <row r="17" spans="1:9" x14ac:dyDescent="0.25">
      <c r="A17" s="2">
        <v>1</v>
      </c>
      <c r="B17" s="3" t="s">
        <v>734</v>
      </c>
      <c r="C17" s="51">
        <v>3.3587962962962965E-2</v>
      </c>
      <c r="D17" s="29">
        <f>INDEX('Points Summary'!$E$4:$E$1143,G17)</f>
        <v>42.746778636290308</v>
      </c>
      <c r="E17" s="124">
        <f t="shared" si="0"/>
        <v>0.48206660757798508</v>
      </c>
      <c r="F17" s="3"/>
      <c r="G17" s="2">
        <f>MATCH(B17,'Points Summary'!$B$4:$B$1144,0)</f>
        <v>418</v>
      </c>
      <c r="I17" s="42"/>
    </row>
    <row r="18" spans="1:9" x14ac:dyDescent="0.25">
      <c r="A18" s="2">
        <v>2</v>
      </c>
      <c r="B18" s="3" t="s">
        <v>56</v>
      </c>
      <c r="C18" s="51">
        <f>TIME(1,10,27)</f>
        <v>4.8923611111111105E-2</v>
      </c>
      <c r="D18" s="29">
        <f>INDEX('Points Summary'!$E$4:$E$1143,G18)</f>
        <v>34.115818965564202</v>
      </c>
      <c r="E18" s="124">
        <f t="shared" si="0"/>
        <v>0.33095748644223161</v>
      </c>
      <c r="F18" s="3"/>
      <c r="G18" s="2">
        <f>MATCH(B18,'Points Summary'!$B$4:$B$1144,0)</f>
        <v>185</v>
      </c>
      <c r="I18" s="42"/>
    </row>
    <row r="19" spans="1:9" x14ac:dyDescent="0.25">
      <c r="A19" s="2">
        <v>3</v>
      </c>
      <c r="B19" s="3" t="s">
        <v>1071</v>
      </c>
      <c r="C19" s="51">
        <v>3.0277777777777778E-2</v>
      </c>
      <c r="D19" s="29">
        <f>INDEX('Points Summary'!$E$4:$E$1143,G19)</f>
        <v>0</v>
      </c>
      <c r="E19" s="124">
        <f t="shared" si="0"/>
        <v>0.5347696082535599</v>
      </c>
      <c r="F19" s="3"/>
      <c r="G19" s="2">
        <f>MATCH(B19,'Points Summary'!$B$4:$B$1144,0)</f>
        <v>215</v>
      </c>
      <c r="I19" s="42"/>
    </row>
    <row r="20" spans="1:9" x14ac:dyDescent="0.25">
      <c r="A20" s="2"/>
      <c r="C20" s="51"/>
      <c r="D20" s="29"/>
      <c r="E20" s="124"/>
      <c r="F20" s="3"/>
      <c r="G20" s="2"/>
      <c r="I20" s="42"/>
    </row>
    <row r="21" spans="1:9" x14ac:dyDescent="0.25">
      <c r="A21" s="2"/>
      <c r="B21" s="3"/>
      <c r="C21" s="51"/>
      <c r="D21" s="29"/>
      <c r="E21" s="124"/>
      <c r="F21" s="3"/>
      <c r="G21" s="2"/>
      <c r="I21" s="42"/>
    </row>
    <row r="22" spans="1:9" x14ac:dyDescent="0.25">
      <c r="A22" s="2"/>
      <c r="B22" s="3"/>
      <c r="C22" s="51"/>
      <c r="D22" s="29"/>
      <c r="E22" s="124"/>
      <c r="F22" s="3"/>
      <c r="G22" s="2"/>
      <c r="I22" s="42"/>
    </row>
    <row r="23" spans="1:9" x14ac:dyDescent="0.25">
      <c r="A23" s="2"/>
      <c r="B23" s="3"/>
      <c r="C23" s="51"/>
      <c r="D23" s="29"/>
      <c r="E23" s="124"/>
      <c r="F23" s="3"/>
      <c r="G23" s="2"/>
      <c r="I23" s="42"/>
    </row>
    <row r="24" spans="1:9" x14ac:dyDescent="0.25">
      <c r="A24" s="2"/>
      <c r="B24" s="3"/>
      <c r="C24" s="51"/>
      <c r="D24" s="29"/>
      <c r="E24" s="124"/>
      <c r="F24" s="3"/>
      <c r="G24" s="2"/>
      <c r="I24" s="42"/>
    </row>
    <row r="25" spans="1:9" x14ac:dyDescent="0.25">
      <c r="A25" s="2"/>
      <c r="B25" s="3"/>
      <c r="C25" s="51"/>
      <c r="D25" s="29"/>
      <c r="E25" s="124"/>
      <c r="F25" s="3"/>
      <c r="G25" s="2"/>
      <c r="I25" s="42"/>
    </row>
    <row r="26" spans="1:9" x14ac:dyDescent="0.25">
      <c r="A26" s="2"/>
      <c r="B26" s="3"/>
      <c r="C26" s="51"/>
      <c r="D26" s="29"/>
      <c r="E26" s="124"/>
      <c r="F26" s="3"/>
      <c r="G26" s="2"/>
      <c r="I26" s="42"/>
    </row>
    <row r="27" spans="1:9" x14ac:dyDescent="0.25">
      <c r="A27" s="2"/>
      <c r="B27" s="3"/>
      <c r="C27" s="51"/>
      <c r="D27" s="29"/>
      <c r="E27" s="124"/>
      <c r="F27" s="3"/>
      <c r="G27" s="2"/>
      <c r="I27" s="42"/>
    </row>
    <row r="28" spans="1:9" x14ac:dyDescent="0.25">
      <c r="A28" s="2"/>
      <c r="B28" s="3"/>
      <c r="C28" s="51"/>
      <c r="D28" s="29"/>
      <c r="E28" s="124"/>
      <c r="F28" s="3"/>
      <c r="G28" s="2"/>
      <c r="I28" s="42"/>
    </row>
    <row r="29" spans="1:9" x14ac:dyDescent="0.25">
      <c r="A29" s="2"/>
      <c r="B29" s="3"/>
      <c r="C29" s="51"/>
      <c r="D29" s="29"/>
      <c r="E29" s="124"/>
      <c r="F29" s="3"/>
      <c r="G29" s="2"/>
    </row>
    <row r="30" spans="1:9" x14ac:dyDescent="0.25">
      <c r="A30" s="2"/>
      <c r="B30" s="3"/>
      <c r="C30" s="51"/>
      <c r="D30" s="29"/>
      <c r="E30" s="124"/>
      <c r="F30" s="3"/>
      <c r="G30" s="2"/>
    </row>
    <row r="31" spans="1:9" x14ac:dyDescent="0.25">
      <c r="A31" s="2"/>
      <c r="B31" s="3"/>
      <c r="C31" s="51"/>
      <c r="D31" s="29"/>
      <c r="E31" s="124"/>
      <c r="F31" s="3"/>
      <c r="G31" s="2"/>
    </row>
    <row r="32" spans="1:9" x14ac:dyDescent="0.25">
      <c r="A32" s="2"/>
      <c r="B32" s="39"/>
      <c r="C32" s="51"/>
      <c r="D32" s="29"/>
      <c r="E32" s="124"/>
      <c r="F32" s="3"/>
      <c r="G32" s="2"/>
    </row>
    <row r="33" spans="1:9" x14ac:dyDescent="0.25">
      <c r="A33" s="2"/>
      <c r="B33" s="3"/>
      <c r="C33" s="51"/>
      <c r="D33" s="29"/>
      <c r="E33" s="124"/>
      <c r="F33" s="3"/>
      <c r="G33" s="2"/>
    </row>
    <row r="34" spans="1:9" x14ac:dyDescent="0.25">
      <c r="A34" s="2"/>
      <c r="B34" s="3"/>
      <c r="C34" s="51"/>
      <c r="D34" s="29"/>
      <c r="E34" s="124"/>
      <c r="F34" s="3"/>
      <c r="G34" s="2"/>
      <c r="I34" s="42"/>
    </row>
    <row r="35" spans="1:9" x14ac:dyDescent="0.25">
      <c r="A35" s="2"/>
      <c r="B35" s="3"/>
      <c r="C35" s="51"/>
      <c r="D35" s="29"/>
      <c r="E35" s="124"/>
      <c r="F35" s="3"/>
      <c r="G35" s="2"/>
      <c r="I35" s="42"/>
    </row>
    <row r="36" spans="1:9" x14ac:dyDescent="0.25">
      <c r="A36" s="2"/>
      <c r="B36" s="3"/>
      <c r="C36" s="51"/>
      <c r="D36" s="29"/>
      <c r="E36" s="124"/>
      <c r="F36" s="3"/>
      <c r="G36" s="2"/>
      <c r="I36" s="42"/>
    </row>
    <row r="37" spans="1:9" x14ac:dyDescent="0.25">
      <c r="A37" s="2"/>
      <c r="C37" s="51"/>
      <c r="D37" s="29"/>
      <c r="E37" s="124"/>
      <c r="F37" s="3"/>
      <c r="G37" s="2"/>
      <c r="I37" s="42"/>
    </row>
    <row r="38" spans="1:9" x14ac:dyDescent="0.25">
      <c r="A38" s="2"/>
      <c r="C38" s="51"/>
      <c r="D38" s="29"/>
      <c r="E38" s="124"/>
      <c r="F38" s="3"/>
      <c r="G38" s="2"/>
      <c r="I38" s="42"/>
    </row>
    <row r="39" spans="1:9" x14ac:dyDescent="0.25">
      <c r="A39" s="2"/>
      <c r="C39" s="51"/>
      <c r="D39" s="29"/>
      <c r="E39" s="124"/>
      <c r="F39" s="3"/>
      <c r="G39" s="2"/>
      <c r="I39" s="42"/>
    </row>
    <row r="40" spans="1:9" x14ac:dyDescent="0.25">
      <c r="A40" s="2"/>
      <c r="C40" s="51"/>
      <c r="D40" s="29"/>
      <c r="E40" s="124"/>
      <c r="F40" s="3"/>
      <c r="G40" s="2"/>
      <c r="I40" s="42"/>
    </row>
    <row r="41" spans="1:9" x14ac:dyDescent="0.25">
      <c r="A41" s="2"/>
      <c r="C41" s="51"/>
      <c r="D41" s="29"/>
      <c r="E41" s="124"/>
      <c r="F41" s="3"/>
      <c r="G41" s="2"/>
      <c r="I41" s="42"/>
    </row>
    <row r="42" spans="1:9" x14ac:dyDescent="0.25">
      <c r="A42" s="2"/>
      <c r="C42" s="51"/>
      <c r="D42" s="29"/>
      <c r="E42" s="124"/>
      <c r="F42" s="3"/>
      <c r="G42" s="2"/>
      <c r="I42" s="42"/>
    </row>
    <row r="43" spans="1:9" x14ac:dyDescent="0.25">
      <c r="A43" s="2"/>
      <c r="C43" s="51"/>
      <c r="D43" s="29"/>
      <c r="E43" s="124"/>
      <c r="F43" s="3"/>
      <c r="G43" s="2"/>
      <c r="I43" s="42"/>
    </row>
    <row r="44" spans="1:9" x14ac:dyDescent="0.25">
      <c r="A44" s="2"/>
      <c r="C44" s="51"/>
      <c r="D44" s="29"/>
      <c r="E44" s="124"/>
      <c r="F44" s="3"/>
      <c r="G44" s="2"/>
    </row>
    <row r="45" spans="1:9" x14ac:dyDescent="0.25">
      <c r="A45" s="2"/>
      <c r="C45" s="51"/>
      <c r="D45" s="29"/>
      <c r="E45" s="124"/>
      <c r="F45" s="3"/>
      <c r="G45" s="2"/>
    </row>
    <row r="46" spans="1:9" x14ac:dyDescent="0.25">
      <c r="A46" s="2"/>
      <c r="C46" s="51"/>
      <c r="D46" s="29"/>
      <c r="E46" s="124"/>
      <c r="F46" s="3"/>
      <c r="G46" s="2"/>
    </row>
    <row r="47" spans="1:9" x14ac:dyDescent="0.25">
      <c r="A47" s="2"/>
      <c r="C47" s="51"/>
      <c r="D47" s="29"/>
      <c r="E47" s="124"/>
      <c r="F47" s="3"/>
      <c r="G47" s="2"/>
    </row>
    <row r="48" spans="1:9" x14ac:dyDescent="0.25">
      <c r="A48" s="2"/>
      <c r="C48" s="51"/>
      <c r="D48" s="29"/>
      <c r="E48" s="124"/>
      <c r="F48" s="3"/>
      <c r="G48" s="2"/>
      <c r="I48" s="42"/>
    </row>
    <row r="49" spans="1:9" x14ac:dyDescent="0.25">
      <c r="A49" s="2"/>
      <c r="C49" s="51"/>
      <c r="D49" s="29"/>
      <c r="E49" s="124"/>
      <c r="F49" s="3"/>
      <c r="G49" s="2"/>
    </row>
    <row r="50" spans="1:9" x14ac:dyDescent="0.25">
      <c r="A50" s="2"/>
      <c r="C50" s="51"/>
      <c r="D50" s="29"/>
      <c r="E50" s="124"/>
      <c r="F50" s="3"/>
      <c r="G50" s="2"/>
    </row>
    <row r="51" spans="1:9" x14ac:dyDescent="0.25">
      <c r="A51" s="2"/>
      <c r="C51" s="51"/>
      <c r="D51" s="29"/>
      <c r="E51" s="124"/>
      <c r="F51" s="3"/>
      <c r="G51" s="2"/>
    </row>
    <row r="52" spans="1:9" x14ac:dyDescent="0.25">
      <c r="A52" s="2"/>
      <c r="C52" s="51"/>
      <c r="D52" s="29"/>
      <c r="E52" s="124"/>
      <c r="F52" s="3"/>
      <c r="G52" s="2"/>
      <c r="I52" s="42"/>
    </row>
    <row r="53" spans="1:9" x14ac:dyDescent="0.25">
      <c r="A53" s="2"/>
      <c r="C53" s="51"/>
      <c r="D53" s="29"/>
      <c r="E53" s="124"/>
      <c r="F53" s="3"/>
      <c r="G53" s="2"/>
    </row>
    <row r="54" spans="1:9" x14ac:dyDescent="0.25">
      <c r="A54" s="2"/>
      <c r="C54" s="51"/>
      <c r="D54" s="29"/>
      <c r="E54" s="124"/>
      <c r="F54" s="3"/>
      <c r="G54" s="2"/>
    </row>
    <row r="55" spans="1:9" x14ac:dyDescent="0.25">
      <c r="A55" s="2"/>
      <c r="C55" s="51"/>
      <c r="D55" s="29"/>
      <c r="E55" s="124"/>
      <c r="F55" s="3"/>
      <c r="G55" s="2"/>
    </row>
    <row r="56" spans="1:9" x14ac:dyDescent="0.25">
      <c r="I56" s="42"/>
    </row>
  </sheetData>
  <sortState ref="A8:G19">
    <sortCondition descending="1" ref="D8:D19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2"/>
  <sheetViews>
    <sheetView topLeftCell="A49" workbookViewId="0">
      <selection activeCell="B69" sqref="B69"/>
    </sheetView>
  </sheetViews>
  <sheetFormatPr defaultRowHeight="13.2" x14ac:dyDescent="0.25"/>
  <cols>
    <col min="2" max="2" width="24.6640625" customWidth="1"/>
    <col min="3" max="7" width="9.6640625" customWidth="1"/>
    <col min="9" max="9" width="10.6640625" customWidth="1"/>
  </cols>
  <sheetData>
    <row r="1" spans="1:9" x14ac:dyDescent="0.25">
      <c r="A1" s="16" t="s">
        <v>22</v>
      </c>
      <c r="B1" s="17" t="s">
        <v>1117</v>
      </c>
      <c r="C1" s="18"/>
      <c r="D1" s="18"/>
      <c r="E1" s="18"/>
      <c r="F1" s="18"/>
      <c r="G1" s="19"/>
    </row>
    <row r="2" spans="1:9" x14ac:dyDescent="0.25">
      <c r="A2" s="20" t="s">
        <v>23</v>
      </c>
      <c r="B2" s="21">
        <v>43126</v>
      </c>
      <c r="C2" s="22"/>
      <c r="D2" s="22"/>
      <c r="E2" s="22"/>
      <c r="F2" s="22"/>
      <c r="G2" s="23"/>
    </row>
    <row r="3" spans="1:9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9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9" x14ac:dyDescent="0.25">
      <c r="A5" s="20" t="s">
        <v>27</v>
      </c>
      <c r="B5" s="24" t="s">
        <v>115</v>
      </c>
      <c r="C5" s="22"/>
      <c r="D5" s="22"/>
      <c r="E5" s="22" t="s">
        <v>55</v>
      </c>
      <c r="F5" s="38">
        <f>AVERAGE(C8:C12)*(AVERAGE(D8:D12)/100)</f>
        <v>1.6298978936489458E-2</v>
      </c>
      <c r="G5" s="23"/>
    </row>
    <row r="6" spans="1:9" x14ac:dyDescent="0.25">
      <c r="A6" s="25" t="s">
        <v>29</v>
      </c>
      <c r="B6" s="26"/>
      <c r="C6" s="26"/>
      <c r="D6" s="26"/>
      <c r="E6" s="26"/>
      <c r="F6" s="26"/>
      <c r="G6" s="27"/>
    </row>
    <row r="7" spans="1:9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9" x14ac:dyDescent="0.25">
      <c r="A8" s="2">
        <v>1</v>
      </c>
      <c r="B8" s="3" t="s">
        <v>765</v>
      </c>
      <c r="C8" s="28">
        <f>TIME(0,26,57)</f>
        <v>1.8715277777777779E-2</v>
      </c>
      <c r="D8" s="29">
        <f>INDEX('Points Summary'!$E$4:$E$1143,G8)</f>
        <v>87.331891379066732</v>
      </c>
      <c r="E8" s="124">
        <f>(AVERAGE($D$8:$D$12)/100*AVERAGE($C$8:$C$12))/C8</f>
        <v>0.87089163890704335</v>
      </c>
      <c r="F8" s="3"/>
      <c r="G8" s="2">
        <f>MATCH(B8,'Points Summary'!$B$4:$B$1144,0)</f>
        <v>97</v>
      </c>
      <c r="I8" s="28"/>
    </row>
    <row r="9" spans="1:9" x14ac:dyDescent="0.25">
      <c r="A9" s="2">
        <v>2</v>
      </c>
      <c r="B9" s="3" t="s">
        <v>718</v>
      </c>
      <c r="C9" s="28">
        <f>TIME(0,29,1)</f>
        <v>2.0150462962962964E-2</v>
      </c>
      <c r="D9" s="29">
        <f>INDEX('Points Summary'!$E$4:$E$1143,G9)</f>
        <v>79.950714004385887</v>
      </c>
      <c r="E9" s="124">
        <f t="shared" ref="E9:E72" si="0">(AVERAGE($D$8:$D$12)/100*AVERAGE($C$8:$C$12))/C9</f>
        <v>0.80886374503887948</v>
      </c>
      <c r="F9" s="3"/>
      <c r="G9" s="2">
        <f>MATCH(B9,'Points Summary'!$B$4:$B$1144,0)</f>
        <v>305</v>
      </c>
      <c r="I9" s="28"/>
    </row>
    <row r="10" spans="1:9" x14ac:dyDescent="0.25">
      <c r="A10" s="2">
        <v>1</v>
      </c>
      <c r="B10" s="3" t="s">
        <v>9</v>
      </c>
      <c r="C10" s="28">
        <f>TIME(0,30,49)</f>
        <v>2.1400462962962965E-2</v>
      </c>
      <c r="D10" s="29">
        <f>INDEX('Points Summary'!$E$4:$E$1143,G10)</f>
        <v>78.23350033640854</v>
      </c>
      <c r="E10" s="124">
        <f t="shared" si="0"/>
        <v>0.76161805306256847</v>
      </c>
      <c r="F10" s="3"/>
      <c r="G10" s="2">
        <f>MATCH(B10,'Points Summary'!$B$4:$B$1144,0)</f>
        <v>124</v>
      </c>
      <c r="I10" s="28"/>
    </row>
    <row r="11" spans="1:9" x14ac:dyDescent="0.25">
      <c r="A11" s="2">
        <v>3</v>
      </c>
      <c r="B11" s="3" t="s">
        <v>394</v>
      </c>
      <c r="C11" s="51">
        <f>TIME(0,30,51)</f>
        <v>2.1423611111111112E-2</v>
      </c>
      <c r="D11" s="29">
        <f>INDEX('Points Summary'!$E$4:$E$1143,G11)</f>
        <v>75.70114602398391</v>
      </c>
      <c r="E11" s="124">
        <f t="shared" si="0"/>
        <v>0.76079512701928098</v>
      </c>
      <c r="F11" s="3"/>
      <c r="G11" s="2">
        <f>MATCH(B11,'Points Summary'!$B$4:$B$1144,0)</f>
        <v>106</v>
      </c>
      <c r="I11" s="28"/>
    </row>
    <row r="12" spans="1:9" x14ac:dyDescent="0.25">
      <c r="A12" s="2">
        <v>2</v>
      </c>
      <c r="B12" s="3" t="s">
        <v>730</v>
      </c>
      <c r="C12" s="51">
        <f>TIME(0,30,34)</f>
        <v>2.1226851851851854E-2</v>
      </c>
      <c r="D12" s="29">
        <f>INDEX('Points Summary'!$E$4:$E$1143,G12)</f>
        <v>74.709362098004064</v>
      </c>
      <c r="E12" s="124">
        <f t="shared" si="0"/>
        <v>0.76784720834933973</v>
      </c>
      <c r="F12" s="3"/>
      <c r="G12" s="2">
        <f>MATCH(B12,'Points Summary'!$B$4:$B$1144,0)</f>
        <v>355</v>
      </c>
      <c r="I12" s="28"/>
    </row>
    <row r="13" spans="1:9" x14ac:dyDescent="0.25">
      <c r="A13" s="2">
        <v>2</v>
      </c>
      <c r="B13" s="3" t="s">
        <v>107</v>
      </c>
      <c r="C13" s="28">
        <f>TIME(0,30,58)</f>
        <v>2.1504629629629627E-2</v>
      </c>
      <c r="D13" s="29">
        <f>INDEX('Points Summary'!$E$4:$E$1143,G13)</f>
        <v>72.609368887451112</v>
      </c>
      <c r="E13" s="124">
        <f t="shared" si="0"/>
        <v>0.75792883752028484</v>
      </c>
      <c r="F13" s="3"/>
      <c r="G13" s="2">
        <f>MATCH(B13,'Points Summary'!$B$4:$B$1144,0)</f>
        <v>125</v>
      </c>
      <c r="I13" s="28"/>
    </row>
    <row r="14" spans="1:9" x14ac:dyDescent="0.25">
      <c r="A14" s="2">
        <v>5</v>
      </c>
      <c r="B14" s="3" t="s">
        <v>729</v>
      </c>
      <c r="C14" s="51">
        <f>TIME(0,30,56)</f>
        <v>2.148148148148148E-2</v>
      </c>
      <c r="D14" s="29">
        <f>INDEX('Points Summary'!$E$4:$E$1143,G14)</f>
        <v>72.442202338406162</v>
      </c>
      <c r="E14" s="124">
        <f t="shared" si="0"/>
        <v>0.75874557118140584</v>
      </c>
      <c r="F14" s="3"/>
      <c r="G14" s="2">
        <f>MATCH(B14,'Points Summary'!$B$4:$B$1144,0)</f>
        <v>252</v>
      </c>
      <c r="I14" s="28"/>
    </row>
    <row r="15" spans="1:9" x14ac:dyDescent="0.25">
      <c r="A15" s="2">
        <v>1</v>
      </c>
      <c r="B15" s="3" t="s">
        <v>250</v>
      </c>
      <c r="C15" s="28">
        <f>TIME(0,35,2)</f>
        <v>2.4328703703703703E-2</v>
      </c>
      <c r="D15" s="29">
        <f>INDEX('Points Summary'!$E$4:$E$1143,G15)</f>
        <v>70.74923745396147</v>
      </c>
      <c r="E15" s="124">
        <f t="shared" si="0"/>
        <v>0.66994851575294445</v>
      </c>
      <c r="F15" s="3"/>
      <c r="G15" s="2">
        <f>MATCH(B15,'Points Summary'!$B$4:$B$1144,0)</f>
        <v>442</v>
      </c>
      <c r="I15" s="28"/>
    </row>
    <row r="16" spans="1:9" x14ac:dyDescent="0.25">
      <c r="A16" s="2">
        <v>5</v>
      </c>
      <c r="B16" s="3" t="s">
        <v>149</v>
      </c>
      <c r="C16" s="51">
        <f>TIME(0,31,2)</f>
        <v>2.1550925925925928E-2</v>
      </c>
      <c r="D16" s="29">
        <f>INDEX('Points Summary'!$E$4:$E$1143,G16)</f>
        <v>70.603296790545315</v>
      </c>
      <c r="E16" s="124">
        <f t="shared" si="0"/>
        <v>0.75630063378769552</v>
      </c>
      <c r="F16" s="3"/>
      <c r="G16" s="2">
        <f>MATCH(B16,'Points Summary'!$B$4:$B$1144,0)</f>
        <v>195</v>
      </c>
      <c r="I16" s="28"/>
    </row>
    <row r="17" spans="1:9" x14ac:dyDescent="0.25">
      <c r="A17" s="2">
        <v>3</v>
      </c>
      <c r="B17" s="3" t="s">
        <v>94</v>
      </c>
      <c r="C17" s="28">
        <f>TIME(0,38,22)</f>
        <v>2.6643518518518521E-2</v>
      </c>
      <c r="D17" s="29">
        <f>INDEX('Points Summary'!$E$4:$E$1143,G17)</f>
        <v>64.193321890375088</v>
      </c>
      <c r="E17" s="124">
        <f t="shared" si="0"/>
        <v>0.61174273679960423</v>
      </c>
      <c r="F17" s="3"/>
      <c r="G17" s="2">
        <f>MATCH(B17,'Points Summary'!$B$4:$B$1144,0)</f>
        <v>251</v>
      </c>
      <c r="I17" s="28"/>
    </row>
    <row r="18" spans="1:9" x14ac:dyDescent="0.25">
      <c r="A18" s="2">
        <v>2</v>
      </c>
      <c r="B18" s="3" t="s">
        <v>150</v>
      </c>
      <c r="C18" s="51">
        <f>TIME(0,33,22)</f>
        <v>2.3171296296296297E-2</v>
      </c>
      <c r="D18" s="29">
        <f>INDEX('Points Summary'!$E$4:$E$1143,G18)</f>
        <v>63.580104613969013</v>
      </c>
      <c r="E18" s="124">
        <f t="shared" si="0"/>
        <v>0.70341247757876579</v>
      </c>
      <c r="F18" s="3"/>
      <c r="G18" s="2">
        <f>MATCH(B18,'Points Summary'!$B$4:$B$1144,0)</f>
        <v>323</v>
      </c>
      <c r="I18" s="28"/>
    </row>
    <row r="19" spans="1:9" x14ac:dyDescent="0.25">
      <c r="A19" s="2">
        <v>3</v>
      </c>
      <c r="B19" s="3" t="s">
        <v>116</v>
      </c>
      <c r="C19" s="51">
        <f>TIME(0,35,18)</f>
        <v>2.4513888888888887E-2</v>
      </c>
      <c r="D19" s="29">
        <f>INDEX('Points Summary'!$E$4:$E$1143,G19)</f>
        <v>63.412418623415896</v>
      </c>
      <c r="E19" s="124">
        <f t="shared" si="0"/>
        <v>0.66488752602109968</v>
      </c>
      <c r="F19" s="3"/>
      <c r="G19" s="2">
        <f>MATCH(B19,'Points Summary'!$B$4:$B$1144,0)</f>
        <v>155</v>
      </c>
    </row>
    <row r="20" spans="1:9" x14ac:dyDescent="0.25">
      <c r="A20" s="2">
        <v>1</v>
      </c>
      <c r="B20" s="3" t="s">
        <v>224</v>
      </c>
      <c r="C20" s="28">
        <f>TIME(0,35,5)</f>
        <v>2.4363425925925927E-2</v>
      </c>
      <c r="D20" s="29">
        <f>INDEX('Points Summary'!$E$4:$E$1143,G20)</f>
        <v>62.293008941503402</v>
      </c>
      <c r="E20" s="124">
        <f t="shared" si="0"/>
        <v>0.66899371976849842</v>
      </c>
      <c r="F20" s="3"/>
      <c r="G20" s="2">
        <f>MATCH(B20,'Points Summary'!$B$4:$B$1144,0)</f>
        <v>102</v>
      </c>
    </row>
    <row r="21" spans="1:9" x14ac:dyDescent="0.25">
      <c r="A21" s="2">
        <v>5</v>
      </c>
      <c r="B21" s="3" t="s">
        <v>757</v>
      </c>
      <c r="C21" s="28">
        <f>TIME(0,44,1)</f>
        <v>3.0567129629629628E-2</v>
      </c>
      <c r="D21" s="29">
        <f>INDEX('Points Summary'!$E$4:$E$1143,G21)</f>
        <v>60.328448077557226</v>
      </c>
      <c r="E21" s="124">
        <f t="shared" si="0"/>
        <v>0.53321915187909474</v>
      </c>
      <c r="F21" s="3"/>
      <c r="G21" s="2">
        <f>MATCH(B21,'Points Summary'!$B$4:$B$1144,0)</f>
        <v>240</v>
      </c>
    </row>
    <row r="22" spans="1:9" x14ac:dyDescent="0.25">
      <c r="A22" s="2">
        <v>2</v>
      </c>
      <c r="B22" s="3" t="s">
        <v>720</v>
      </c>
      <c r="C22" s="28">
        <f>TIME(0,38,50)</f>
        <v>2.6967592592592595E-2</v>
      </c>
      <c r="D22" s="29">
        <f>INDEX('Points Summary'!$E$4:$E$1143,G22)</f>
        <v>57.326166620501759</v>
      </c>
      <c r="E22" s="124">
        <f t="shared" si="0"/>
        <v>0.60439132193677636</v>
      </c>
      <c r="F22" s="3"/>
      <c r="G22" s="2">
        <f>MATCH(B22,'Points Summary'!$B$4:$B$1144,0)</f>
        <v>242</v>
      </c>
    </row>
    <row r="23" spans="1:9" x14ac:dyDescent="0.25">
      <c r="A23" s="2">
        <v>13</v>
      </c>
      <c r="B23" s="3" t="s">
        <v>98</v>
      </c>
      <c r="C23" s="28">
        <f>TIME(0,42,7)</f>
        <v>2.9247685185185186E-2</v>
      </c>
      <c r="D23" s="29">
        <f>INDEX('Points Summary'!$E$4:$E$1143,G23)</f>
        <v>57.073595074319748</v>
      </c>
      <c r="E23" s="124">
        <f t="shared" si="0"/>
        <v>0.5572741512119862</v>
      </c>
      <c r="F23" s="3"/>
      <c r="G23" s="2">
        <f>MATCH(B23,'Points Summary'!$B$4:$B$1144,0)</f>
        <v>38</v>
      </c>
    </row>
    <row r="24" spans="1:9" x14ac:dyDescent="0.25">
      <c r="A24" s="2">
        <v>2</v>
      </c>
      <c r="B24" s="3" t="s">
        <v>710</v>
      </c>
      <c r="C24" s="28">
        <f>TIME(0,42,50)</f>
        <v>2.974537037037037E-2</v>
      </c>
      <c r="D24" s="29">
        <f>INDEX('Points Summary'!$E$4:$E$1143,G24)</f>
        <v>55.346530216192669</v>
      </c>
      <c r="E24" s="124">
        <f t="shared" si="0"/>
        <v>0.54795010899326424</v>
      </c>
      <c r="F24" s="3"/>
      <c r="G24" s="2">
        <f>MATCH(B24,'Points Summary'!$B$4:$B$1144,0)</f>
        <v>351</v>
      </c>
    </row>
    <row r="25" spans="1:9" x14ac:dyDescent="0.25">
      <c r="A25" s="2">
        <v>4</v>
      </c>
      <c r="B25" s="3" t="s">
        <v>902</v>
      </c>
      <c r="C25" s="28">
        <f>TIME(0,42,34)</f>
        <v>2.9560185185185189E-2</v>
      </c>
      <c r="D25" s="29">
        <f>INDEX('Points Summary'!$E$4:$E$1143,G25)</f>
        <v>55.267797279066791</v>
      </c>
      <c r="E25" s="124">
        <f t="shared" si="0"/>
        <v>0.55138284264396586</v>
      </c>
      <c r="F25" s="3"/>
      <c r="G25" s="2">
        <f>MATCH(B25,'Points Summary'!$B$4:$B$1144,0)</f>
        <v>266</v>
      </c>
    </row>
    <row r="26" spans="1:9" x14ac:dyDescent="0.25">
      <c r="A26" s="2">
        <v>10</v>
      </c>
      <c r="B26" s="3" t="s">
        <v>97</v>
      </c>
      <c r="C26" s="51">
        <f>TIME(0,44,32)</f>
        <v>3.0925925925925926E-2</v>
      </c>
      <c r="D26" s="29">
        <f>INDEX('Points Summary'!$E$4:$E$1143,G26)</f>
        <v>54.035970497750959</v>
      </c>
      <c r="E26" s="124">
        <f t="shared" si="0"/>
        <v>0.52703285183858128</v>
      </c>
      <c r="F26" s="3"/>
      <c r="G26" s="2">
        <f>MATCH(B26,'Points Summary'!$B$4:$B$1144,0)</f>
        <v>187</v>
      </c>
    </row>
    <row r="27" spans="1:9" x14ac:dyDescent="0.25">
      <c r="A27" s="2">
        <v>5</v>
      </c>
      <c r="B27" s="3" t="s">
        <v>721</v>
      </c>
      <c r="C27" s="28">
        <f>TIME(0,43,33)</f>
        <v>3.0243055555555554E-2</v>
      </c>
      <c r="D27" s="29">
        <f>INDEX('Points Summary'!$E$4:$E$1143,G27)</f>
        <v>53.722167631725</v>
      </c>
      <c r="E27" s="124">
        <f t="shared" si="0"/>
        <v>0.53893294302054695</v>
      </c>
      <c r="F27" s="3"/>
      <c r="G27" s="2">
        <f>MATCH(B27,'Points Summary'!$B$4:$B$1144,0)</f>
        <v>352</v>
      </c>
    </row>
    <row r="28" spans="1:9" x14ac:dyDescent="0.25">
      <c r="A28" s="2">
        <v>4</v>
      </c>
      <c r="B28" s="3" t="s">
        <v>493</v>
      </c>
      <c r="C28" s="28">
        <f>TIME(0,39,37)</f>
        <v>2.7511574074074074E-2</v>
      </c>
      <c r="D28" s="29">
        <f>INDEX('Points Summary'!$E$4:$E$1143,G28)</f>
        <v>52.725599570492811</v>
      </c>
      <c r="E28" s="124">
        <f t="shared" si="0"/>
        <v>0.59244079937429073</v>
      </c>
      <c r="F28" s="3"/>
      <c r="G28" s="2">
        <f>MATCH(B28,'Points Summary'!$B$4:$B$1144,0)</f>
        <v>81</v>
      </c>
    </row>
    <row r="29" spans="1:9" x14ac:dyDescent="0.25">
      <c r="A29" s="2">
        <v>5</v>
      </c>
      <c r="B29" s="3" t="s">
        <v>411</v>
      </c>
      <c r="C29" s="28">
        <f>TIME(0,42,40)</f>
        <v>2.9629629629629627E-2</v>
      </c>
      <c r="D29" s="29">
        <f>INDEX('Points Summary'!$E$4:$E$1143,G29)</f>
        <v>52.571291503624565</v>
      </c>
      <c r="E29" s="124">
        <f t="shared" si="0"/>
        <v>0.55009053910651928</v>
      </c>
      <c r="F29" s="3"/>
      <c r="G29" s="2">
        <f>MATCH(B29,'Points Summary'!$B$4:$B$1144,0)</f>
        <v>395</v>
      </c>
    </row>
    <row r="30" spans="1:9" x14ac:dyDescent="0.25">
      <c r="A30" s="2">
        <v>8</v>
      </c>
      <c r="B30" s="3" t="s">
        <v>1131</v>
      </c>
      <c r="C30" s="51">
        <f>TIME(0,41,41)</f>
        <v>2.8946759259259255E-2</v>
      </c>
      <c r="D30" s="29">
        <f>INDEX('Points Summary'!$E$4:$E$1143,G30)</f>
        <v>52.484524221802282</v>
      </c>
      <c r="E30" s="124">
        <f t="shared" si="0"/>
        <v>0.56306748505105531</v>
      </c>
      <c r="F30" s="3"/>
      <c r="G30" s="2">
        <f>MATCH(B30,'Points Summary'!$B$4:$B$1144,0)</f>
        <v>429</v>
      </c>
    </row>
    <row r="31" spans="1:9" x14ac:dyDescent="0.25">
      <c r="A31" s="2">
        <v>17</v>
      </c>
      <c r="B31" s="3" t="s">
        <v>119</v>
      </c>
      <c r="C31" s="28">
        <f>TIME(0,48,39)</f>
        <v>3.3784722222222223E-2</v>
      </c>
      <c r="D31" s="29">
        <f>INDEX('Points Summary'!$E$4:$E$1143,G31)</f>
        <v>52.034414050964813</v>
      </c>
      <c r="E31" s="124">
        <f t="shared" si="0"/>
        <v>0.48243637550965712</v>
      </c>
      <c r="F31" s="3"/>
      <c r="G31" s="2">
        <f>MATCH(B31,'Points Summary'!$B$4:$B$1144,0)</f>
        <v>332</v>
      </c>
    </row>
    <row r="32" spans="1:9" x14ac:dyDescent="0.25">
      <c r="A32" s="2">
        <v>6</v>
      </c>
      <c r="B32" s="3" t="s">
        <v>797</v>
      </c>
      <c r="C32" s="28">
        <f>TIME(0,43,58)</f>
        <v>3.0532407407407411E-2</v>
      </c>
      <c r="D32" s="29">
        <f>INDEX('Points Summary'!$E$4:$E$1143,G32)</f>
        <v>51.877823989586943</v>
      </c>
      <c r="E32" s="124">
        <f t="shared" si="0"/>
        <v>0.53382554212004885</v>
      </c>
      <c r="F32" s="3"/>
      <c r="G32" s="2">
        <f>MATCH(B32,'Points Summary'!$B$4:$B$1144,0)</f>
        <v>181</v>
      </c>
    </row>
    <row r="33" spans="1:7" x14ac:dyDescent="0.25">
      <c r="A33" s="2">
        <v>6</v>
      </c>
      <c r="B33" s="3" t="s">
        <v>914</v>
      </c>
      <c r="C33" s="28">
        <f>TIME(0,43,1)</f>
        <v>2.9872685185185183E-2</v>
      </c>
      <c r="D33" s="29">
        <f>INDEX('Points Summary'!$E$4:$E$1143,G33)</f>
        <v>51.513881346722151</v>
      </c>
      <c r="E33" s="124">
        <f t="shared" si="0"/>
        <v>0.54561479275966263</v>
      </c>
      <c r="F33" s="3"/>
      <c r="G33" s="2">
        <f>MATCH(B33,'Points Summary'!$B$4:$B$1144,0)</f>
        <v>8</v>
      </c>
    </row>
    <row r="34" spans="1:7" x14ac:dyDescent="0.25">
      <c r="A34" s="2">
        <v>3</v>
      </c>
      <c r="B34" s="3" t="s">
        <v>913</v>
      </c>
      <c r="C34" s="28">
        <f>TIME(0,40,50)</f>
        <v>2.8356481481481483E-2</v>
      </c>
      <c r="D34" s="29">
        <f>INDEX('Points Summary'!$E$4:$E$1143,G34)</f>
        <v>51.500741645093136</v>
      </c>
      <c r="E34" s="124">
        <f t="shared" si="0"/>
        <v>0.5747884816786486</v>
      </c>
      <c r="F34" s="3"/>
      <c r="G34" s="2">
        <f>MATCH(B34,'Points Summary'!$B$4:$B$1144,0)</f>
        <v>113</v>
      </c>
    </row>
    <row r="35" spans="1:7" x14ac:dyDescent="0.25">
      <c r="A35" s="2">
        <v>7</v>
      </c>
      <c r="B35" s="3" t="s">
        <v>118</v>
      </c>
      <c r="C35" s="28">
        <f>TIME(0,44,20)</f>
        <v>3.078703703703704E-2</v>
      </c>
      <c r="D35" s="29">
        <f>INDEX('Points Summary'!$E$4:$E$1143,G35)</f>
        <v>50.672970719908648</v>
      </c>
      <c r="E35" s="124">
        <f t="shared" si="0"/>
        <v>0.5294104436513869</v>
      </c>
      <c r="F35" s="3"/>
      <c r="G35" s="2">
        <f>MATCH(B35,'Points Summary'!$B$4:$B$1144,0)</f>
        <v>37</v>
      </c>
    </row>
    <row r="36" spans="1:7" x14ac:dyDescent="0.25">
      <c r="A36" s="2">
        <v>8</v>
      </c>
      <c r="B36" s="3" t="s">
        <v>401</v>
      </c>
      <c r="C36" s="28">
        <f>TIME(0,45,9)</f>
        <v>3.1354166666666662E-2</v>
      </c>
      <c r="D36" s="29">
        <f>INDEX('Points Summary'!$E$4:$E$1143,G36)</f>
        <v>49.43360583444634</v>
      </c>
      <c r="E36" s="124">
        <f t="shared" si="0"/>
        <v>0.51983454415381669</v>
      </c>
      <c r="F36" s="3"/>
      <c r="G36" s="2">
        <f>MATCH(B36,'Points Summary'!$B$4:$B$1144,0)</f>
        <v>457</v>
      </c>
    </row>
    <row r="37" spans="1:7" x14ac:dyDescent="0.25">
      <c r="A37" s="2">
        <v>12</v>
      </c>
      <c r="B37" s="3" t="s">
        <v>301</v>
      </c>
      <c r="C37" s="51">
        <f>TIME(0,45,0)</f>
        <v>3.125E-2</v>
      </c>
      <c r="D37" s="29">
        <f>INDEX('Points Summary'!$E$4:$E$1143,G37)</f>
        <v>49.337749083784765</v>
      </c>
      <c r="E37" s="124">
        <f t="shared" si="0"/>
        <v>0.52156732596766264</v>
      </c>
      <c r="F37" s="3"/>
      <c r="G37" s="2">
        <f>MATCH(B37,'Points Summary'!$B$4:$B$1144,0)</f>
        <v>148</v>
      </c>
    </row>
    <row r="38" spans="1:7" x14ac:dyDescent="0.25">
      <c r="A38" s="2">
        <v>15</v>
      </c>
      <c r="B38" s="3" t="s">
        <v>299</v>
      </c>
      <c r="C38" s="28">
        <f>TIME(0,45,36)</f>
        <v>3.1666666666666669E-2</v>
      </c>
      <c r="D38" s="29">
        <f>INDEX('Points Summary'!$E$4:$E$1143,G38)</f>
        <v>48.774033778538787</v>
      </c>
      <c r="E38" s="124">
        <f t="shared" si="0"/>
        <v>0.51470459799440393</v>
      </c>
      <c r="F38" s="3"/>
      <c r="G38" s="2">
        <f>MATCH(B38,'Points Summary'!$B$4:$B$1144,0)</f>
        <v>280</v>
      </c>
    </row>
    <row r="39" spans="1:7" x14ac:dyDescent="0.25">
      <c r="A39" s="2">
        <v>9</v>
      </c>
      <c r="B39" s="3" t="s">
        <v>300</v>
      </c>
      <c r="C39" s="28">
        <f>TIME(0,45,25)</f>
        <v>3.1539351851851853E-2</v>
      </c>
      <c r="D39" s="29">
        <f>INDEX('Points Summary'!$E$4:$E$1143,G39)</f>
        <v>47.053782402994266</v>
      </c>
      <c r="E39" s="124">
        <f t="shared" si="0"/>
        <v>0.51678230462850971</v>
      </c>
      <c r="F39" s="3"/>
      <c r="G39" s="2">
        <f>MATCH(B39,'Points Summary'!$B$4:$B$1144,0)</f>
        <v>303</v>
      </c>
    </row>
    <row r="40" spans="1:7" x14ac:dyDescent="0.25">
      <c r="A40" s="2">
        <v>11</v>
      </c>
      <c r="B40" s="3" t="s">
        <v>915</v>
      </c>
      <c r="C40" s="51">
        <f>TIME(0,44,49)</f>
        <v>3.1122685185185187E-2</v>
      </c>
      <c r="D40" s="29">
        <f>INDEX('Points Summary'!$E$4:$E$1143,G40)</f>
        <v>46.805698483503036</v>
      </c>
      <c r="E40" s="124">
        <f t="shared" si="0"/>
        <v>0.52370092231784637</v>
      </c>
      <c r="F40" s="3"/>
      <c r="G40" s="2">
        <f>MATCH(B40,'Points Summary'!$B$4:$B$1144,0)</f>
        <v>68</v>
      </c>
    </row>
    <row r="41" spans="1:7" x14ac:dyDescent="0.25">
      <c r="A41" s="2">
        <v>1</v>
      </c>
      <c r="B41" s="3" t="s">
        <v>918</v>
      </c>
      <c r="C41" s="28">
        <f>TIME(0,32,47)</f>
        <v>2.2766203703703702E-2</v>
      </c>
      <c r="D41" s="29">
        <f>INDEX('Points Summary'!$E$4:$E$1143,G41)</f>
        <v>46.08889444969649</v>
      </c>
      <c r="E41" s="124">
        <f t="shared" si="0"/>
        <v>0.71592871383461576</v>
      </c>
      <c r="F41" s="3"/>
      <c r="G41" s="2">
        <f>MATCH(B41,'Points Summary'!$B$4:$B$1144,0)</f>
        <v>212</v>
      </c>
    </row>
    <row r="42" spans="1:7" x14ac:dyDescent="0.25">
      <c r="A42" s="2">
        <v>16</v>
      </c>
      <c r="B42" s="3" t="s">
        <v>917</v>
      </c>
      <c r="C42" s="28">
        <f>TIME(0,47,5)</f>
        <v>3.2696759259259259E-2</v>
      </c>
      <c r="D42" s="29">
        <f>INDEX('Points Summary'!$E$4:$E$1143,G42)</f>
        <v>45.986216168141205</v>
      </c>
      <c r="E42" s="124">
        <f t="shared" si="0"/>
        <v>0.49848912570360676</v>
      </c>
      <c r="F42" s="3"/>
      <c r="G42" s="2">
        <f>MATCH(B42,'Points Summary'!$B$4:$B$1144,0)</f>
        <v>165</v>
      </c>
    </row>
    <row r="43" spans="1:7" x14ac:dyDescent="0.25">
      <c r="A43" s="2">
        <v>7</v>
      </c>
      <c r="B43" s="3" t="s">
        <v>532</v>
      </c>
      <c r="C43" s="28">
        <f>TIME(0,46,1)</f>
        <v>3.1956018518518516E-2</v>
      </c>
      <c r="D43" s="29">
        <f>INDEX('Points Summary'!$E$4:$E$1143,G43)</f>
        <v>45.842153082400259</v>
      </c>
      <c r="E43" s="124">
        <f t="shared" si="0"/>
        <v>0.51004410724834814</v>
      </c>
      <c r="F43" s="3"/>
      <c r="G43" s="2">
        <f>MATCH(B43,'Points Summary'!$B$4:$B$1144,0)</f>
        <v>348</v>
      </c>
    </row>
    <row r="44" spans="1:7" x14ac:dyDescent="0.25">
      <c r="A44" s="2">
        <v>4</v>
      </c>
      <c r="B44" s="3" t="s">
        <v>132</v>
      </c>
      <c r="C44" s="28">
        <f>TIME(0,50,56)</f>
        <v>3.5370370370370365E-2</v>
      </c>
      <c r="D44" s="29">
        <f>INDEX('Points Summary'!$E$4:$E$1143,G44)</f>
        <v>45.438067890189281</v>
      </c>
      <c r="E44" s="124">
        <f t="shared" si="0"/>
        <v>0.46080882857090621</v>
      </c>
      <c r="F44" s="3"/>
      <c r="G44" s="2">
        <f>MATCH(B44,'Points Summary'!$B$4:$B$1144,0)</f>
        <v>398</v>
      </c>
    </row>
    <row r="45" spans="1:7" x14ac:dyDescent="0.25">
      <c r="A45" s="2">
        <v>13</v>
      </c>
      <c r="B45" s="3" t="s">
        <v>1294</v>
      </c>
      <c r="C45" s="28">
        <f>TIME(0,54,31)</f>
        <v>3.78587962962963E-2</v>
      </c>
      <c r="D45" s="29">
        <f>INDEX('Points Summary'!$E$4:$E$1143,G45)</f>
        <v>45.234917421915668</v>
      </c>
      <c r="E45" s="124">
        <f t="shared" si="0"/>
        <v>0.43052026295099022</v>
      </c>
      <c r="F45" s="3"/>
      <c r="G45" s="2">
        <f>MATCH(B45,'Points Summary'!$B$4:$B$1144,0)</f>
        <v>284</v>
      </c>
    </row>
    <row r="46" spans="1:7" x14ac:dyDescent="0.25">
      <c r="A46" s="2">
        <v>11</v>
      </c>
      <c r="B46" s="3" t="s">
        <v>1142</v>
      </c>
      <c r="C46" s="28">
        <f>TIME(0,51,52)</f>
        <v>3.6018518518518519E-2</v>
      </c>
      <c r="D46" s="29">
        <f>INDEX('Points Summary'!$E$4:$E$1143,G46)</f>
        <v>44.502163815680298</v>
      </c>
      <c r="E46" s="124">
        <f t="shared" si="0"/>
        <v>0.45251663885369187</v>
      </c>
      <c r="F46" s="3"/>
      <c r="G46" s="2">
        <f>MATCH(B46,'Points Summary'!$B$4:$B$1144,0)</f>
        <v>1</v>
      </c>
    </row>
    <row r="47" spans="1:7" x14ac:dyDescent="0.25">
      <c r="A47" s="2">
        <v>6</v>
      </c>
      <c r="B47" s="3" t="s">
        <v>724</v>
      </c>
      <c r="C47" s="28">
        <f>TIME(0,45,17)</f>
        <v>3.1446759259259258E-2</v>
      </c>
      <c r="D47" s="29">
        <f>INDEX('Points Summary'!$E$4:$E$1143,G47)</f>
        <v>43.49732725275247</v>
      </c>
      <c r="E47" s="124">
        <f t="shared" si="0"/>
        <v>0.5183039308475117</v>
      </c>
      <c r="F47" s="3"/>
      <c r="G47" s="2">
        <f>MATCH(B47,'Points Summary'!$B$4:$B$1144,0)</f>
        <v>302</v>
      </c>
    </row>
    <row r="48" spans="1:7" x14ac:dyDescent="0.25">
      <c r="A48" s="2">
        <v>10</v>
      </c>
      <c r="B48" s="3" t="s">
        <v>887</v>
      </c>
      <c r="C48" s="28">
        <f>TIME(1,1,5)</f>
        <v>4.2418981481481481E-2</v>
      </c>
      <c r="D48" s="29">
        <f>INDEX('Points Summary'!$E$4:$E$1143,G48)</f>
        <v>43.084608238540156</v>
      </c>
      <c r="E48" s="124">
        <f t="shared" si="0"/>
        <v>0.38423786633361234</v>
      </c>
      <c r="F48" s="3"/>
      <c r="G48" s="2">
        <f>MATCH(B48,'Points Summary'!$B$4:$B$1144,0)</f>
        <v>65</v>
      </c>
    </row>
    <row r="49" spans="1:7" x14ac:dyDescent="0.25">
      <c r="A49" s="2">
        <v>9</v>
      </c>
      <c r="B49" s="3" t="s">
        <v>452</v>
      </c>
      <c r="C49" s="28">
        <f>TIME(0,49,32)</f>
        <v>3.4398148148148143E-2</v>
      </c>
      <c r="D49" s="29">
        <f>INDEX('Points Summary'!$E$4:$E$1143,G49)</f>
        <v>41.478551768004372</v>
      </c>
      <c r="E49" s="124">
        <f t="shared" si="0"/>
        <v>0.47383303503118751</v>
      </c>
      <c r="F49" s="3"/>
      <c r="G49" s="2">
        <f>MATCH(B49,'Points Summary'!$B$4:$B$1144,0)</f>
        <v>225</v>
      </c>
    </row>
    <row r="50" spans="1:7" x14ac:dyDescent="0.25">
      <c r="A50" s="2">
        <v>4</v>
      </c>
      <c r="B50" s="3" t="s">
        <v>922</v>
      </c>
      <c r="C50" s="28">
        <f>TIME(0,39,51)</f>
        <v>2.7673611111111111E-2</v>
      </c>
      <c r="D50" s="29">
        <f>INDEX('Points Summary'!$E$4:$E$1143,G50)</f>
        <v>40.492629924536757</v>
      </c>
      <c r="E50" s="124">
        <f t="shared" si="0"/>
        <v>0.58897188628719743</v>
      </c>
      <c r="F50" s="3"/>
      <c r="G50" s="2">
        <f>MATCH(B50,'Points Summary'!$B$4:$B$1144,0)</f>
        <v>372</v>
      </c>
    </row>
    <row r="51" spans="1:7" x14ac:dyDescent="0.25">
      <c r="A51" s="2">
        <v>9</v>
      </c>
      <c r="B51" s="3" t="s">
        <v>1147</v>
      </c>
      <c r="C51" s="28">
        <f>TIME(0,48,9)</f>
        <v>3.3437500000000002E-2</v>
      </c>
      <c r="D51" s="29">
        <f>INDEX('Points Summary'!$E$4:$E$1143,G51)</f>
        <v>38.388153047362962</v>
      </c>
      <c r="E51" s="124">
        <f t="shared" si="0"/>
        <v>0.4874460990351987</v>
      </c>
      <c r="F51" s="3"/>
      <c r="G51" s="2">
        <f>MATCH(B51,'Points Summary'!$B$4:$B$1144,0)</f>
        <v>362</v>
      </c>
    </row>
    <row r="52" spans="1:7" x14ac:dyDescent="0.25">
      <c r="A52" s="2">
        <v>8</v>
      </c>
      <c r="B52" s="3" t="s">
        <v>1145</v>
      </c>
      <c r="C52" s="28">
        <f>TIME(0,47,19)</f>
        <v>3.2858796296296296E-2</v>
      </c>
      <c r="D52" s="29">
        <f>INDEX('Points Summary'!$E$4:$E$1143,G52)</f>
        <v>35.829740635167489</v>
      </c>
      <c r="E52" s="124">
        <f t="shared" si="0"/>
        <v>0.49603091937748828</v>
      </c>
      <c r="F52" s="3"/>
      <c r="G52" s="2">
        <f>MATCH(B52,'Points Summary'!$B$4:$B$1144,0)</f>
        <v>7</v>
      </c>
    </row>
    <row r="53" spans="1:7" x14ac:dyDescent="0.25">
      <c r="A53" s="2">
        <v>3</v>
      </c>
      <c r="B53" s="3" t="s">
        <v>924</v>
      </c>
      <c r="C53" s="28">
        <f>TIME(0,55,21)</f>
        <v>3.8437499999999999E-2</v>
      </c>
      <c r="D53" s="29">
        <f>INDEX('Points Summary'!$E$4:$E$1143,G53)</f>
        <v>33.693573573651193</v>
      </c>
      <c r="E53" s="124">
        <f t="shared" si="0"/>
        <v>0.42403847639647368</v>
      </c>
      <c r="F53" s="3"/>
      <c r="G53" s="2">
        <f>MATCH(B53,'Points Summary'!$B$4:$B$1144,0)</f>
        <v>46</v>
      </c>
    </row>
    <row r="54" spans="1:7" x14ac:dyDescent="0.25">
      <c r="A54" s="2">
        <v>2</v>
      </c>
      <c r="B54" s="3" t="s">
        <v>925</v>
      </c>
      <c r="C54" s="28">
        <f>TIME(0,52,23)</f>
        <v>3.6377314814814814E-2</v>
      </c>
      <c r="D54" s="29">
        <f>INDEX('Points Summary'!$E$4:$E$1143,G54)</f>
        <v>32.752601332873503</v>
      </c>
      <c r="E54" s="124">
        <f t="shared" si="0"/>
        <v>0.44805338215484863</v>
      </c>
      <c r="F54" s="3"/>
      <c r="G54" s="2">
        <f>MATCH(B54,'Points Summary'!$B$4:$B$1144,0)</f>
        <v>301</v>
      </c>
    </row>
    <row r="55" spans="1:7" x14ac:dyDescent="0.25">
      <c r="A55" s="2">
        <v>13</v>
      </c>
      <c r="B55" s="3" t="s">
        <v>928</v>
      </c>
      <c r="C55" s="28">
        <f>TIME(1,3,13)</f>
        <v>4.3900462962962961E-2</v>
      </c>
      <c r="D55" s="29">
        <f>INDEX('Points Summary'!$E$4:$E$1143,G55)</f>
        <v>28.828514546275404</v>
      </c>
      <c r="E55" s="124">
        <f t="shared" si="0"/>
        <v>0.37127123124510658</v>
      </c>
      <c r="F55" s="3"/>
      <c r="G55" s="2">
        <f>MATCH(B55,'Points Summary'!$B$4:$B$1144,0)</f>
        <v>285</v>
      </c>
    </row>
    <row r="56" spans="1:7" x14ac:dyDescent="0.25">
      <c r="A56" s="2">
        <v>2</v>
      </c>
      <c r="B56" s="3" t="s">
        <v>1055</v>
      </c>
      <c r="C56" s="28">
        <f>TIME(0,34,50)</f>
        <v>2.4189814814814817E-2</v>
      </c>
      <c r="D56" s="29">
        <f>INDEX('Points Summary'!$E$4:$E$1143,G56)</f>
        <v>0</v>
      </c>
      <c r="E56" s="124">
        <f t="shared" si="0"/>
        <v>0.67379511010176507</v>
      </c>
      <c r="F56" s="3"/>
      <c r="G56" s="2">
        <f>MATCH(B56,'Points Summary'!$B$4:$B$1144,0)</f>
        <v>60</v>
      </c>
    </row>
    <row r="57" spans="1:7" x14ac:dyDescent="0.25">
      <c r="A57" s="2">
        <v>1</v>
      </c>
      <c r="B57" s="3" t="s">
        <v>1119</v>
      </c>
      <c r="C57" s="28">
        <f>TIME(0,27,33)</f>
        <v>1.9131944444444444E-2</v>
      </c>
      <c r="D57" s="29">
        <f>INDEX('Points Summary'!$E$4:$E$1143,G57)</f>
        <v>0</v>
      </c>
      <c r="E57" s="124">
        <f t="shared" si="0"/>
        <v>0.85192485185280653</v>
      </c>
      <c r="F57" s="3"/>
      <c r="G57" s="2">
        <f>MATCH(B57,'Points Summary'!$B$4:$B$1144,0)</f>
        <v>349</v>
      </c>
    </row>
    <row r="58" spans="1:7" x14ac:dyDescent="0.25">
      <c r="A58" s="2">
        <v>4</v>
      </c>
      <c r="B58" s="3" t="s">
        <v>1128</v>
      </c>
      <c r="C58" s="51">
        <f>TIME(0,29,38)</f>
        <v>2.0578703703703703E-2</v>
      </c>
      <c r="D58" s="29">
        <f>INDEX('Points Summary'!$E$4:$E$1143,G58)</f>
        <v>0</v>
      </c>
      <c r="E58" s="124">
        <f t="shared" si="0"/>
        <v>0.79203137239183863</v>
      </c>
      <c r="F58" s="3"/>
      <c r="G58" s="2">
        <f>MATCH(B58,'Points Summary'!$B$4:$B$1144,0)</f>
        <v>462</v>
      </c>
    </row>
    <row r="59" spans="1:7" x14ac:dyDescent="0.25">
      <c r="A59" s="2">
        <v>1</v>
      </c>
      <c r="B59" s="3" t="s">
        <v>1127</v>
      </c>
      <c r="C59" s="51">
        <f>TIME(0,32,56)</f>
        <v>2.2870370370370371E-2</v>
      </c>
      <c r="D59" s="29">
        <f>INDEX('Points Summary'!$E$4:$E$1143,G59)</f>
        <v>0</v>
      </c>
      <c r="E59" s="124">
        <f t="shared" si="0"/>
        <v>0.7126679049153285</v>
      </c>
      <c r="F59" s="3"/>
      <c r="G59" s="2">
        <f>MATCH(B59,'Points Summary'!$B$4:$B$1144,0)</f>
        <v>254</v>
      </c>
    </row>
    <row r="60" spans="1:7" x14ac:dyDescent="0.25">
      <c r="A60" s="2">
        <v>2</v>
      </c>
      <c r="B60" s="3" t="s">
        <v>1129</v>
      </c>
      <c r="C60" s="51">
        <f>TIME(0,33,42)</f>
        <v>2.3402777777777783E-2</v>
      </c>
      <c r="D60" s="29">
        <f>INDEX('Points Summary'!$E$4:$E$1143,G60)</f>
        <v>0</v>
      </c>
      <c r="E60" s="124">
        <f t="shared" si="0"/>
        <v>0.69645488630696772</v>
      </c>
      <c r="F60" s="3"/>
      <c r="G60" s="2">
        <f>MATCH(B60,'Points Summary'!$B$4:$B$1144,0)</f>
        <v>246</v>
      </c>
    </row>
    <row r="61" spans="1:7" x14ac:dyDescent="0.25">
      <c r="A61" s="2">
        <v>3</v>
      </c>
      <c r="B61" s="3" t="s">
        <v>1124</v>
      </c>
      <c r="C61" s="51">
        <f>TIME(0,34,37)</f>
        <v>2.4039351851851853E-2</v>
      </c>
      <c r="D61" s="29">
        <f>INDEX('Points Summary'!$E$4:$E$1143,G61)</f>
        <v>0</v>
      </c>
      <c r="E61" s="124">
        <f t="shared" si="0"/>
        <v>0.67801241218713959</v>
      </c>
      <c r="F61" s="3"/>
      <c r="G61" s="2">
        <f>MATCH(B61,'Points Summary'!$B$4:$B$1144,0)</f>
        <v>22</v>
      </c>
    </row>
    <row r="62" spans="1:7" x14ac:dyDescent="0.25">
      <c r="A62" s="2">
        <v>4</v>
      </c>
      <c r="B62" s="3" t="s">
        <v>1143</v>
      </c>
      <c r="C62" s="28">
        <f>TIME(0,39,23)</f>
        <v>2.7349537037037037E-2</v>
      </c>
      <c r="D62" s="29">
        <f>INDEX('Points Summary'!$E$4:$E$1143,G62)</f>
        <v>0</v>
      </c>
      <c r="E62" s="124">
        <f t="shared" si="0"/>
        <v>0.595950816806047</v>
      </c>
      <c r="F62" s="3"/>
      <c r="G62" s="2">
        <f>MATCH(B62,'Points Summary'!$B$4:$B$1144,0)</f>
        <v>369</v>
      </c>
    </row>
    <row r="63" spans="1:7" x14ac:dyDescent="0.25">
      <c r="A63" s="2">
        <v>6</v>
      </c>
      <c r="B63" s="3" t="s">
        <v>1122</v>
      </c>
      <c r="C63" s="51">
        <f>TIME(0,41,23)</f>
        <v>2.8738425925925928E-2</v>
      </c>
      <c r="D63" s="29">
        <f>INDEX('Points Summary'!$E$4:$E$1143,G63)</f>
        <v>0</v>
      </c>
      <c r="E63" s="124">
        <f t="shared" si="0"/>
        <v>0.5671493274718844</v>
      </c>
      <c r="F63" s="3"/>
      <c r="G63" s="2">
        <f>MATCH(B63,'Points Summary'!$B$4:$B$1144,0)</f>
        <v>381</v>
      </c>
    </row>
    <row r="64" spans="1:7" x14ac:dyDescent="0.25">
      <c r="A64" s="2">
        <v>7</v>
      </c>
      <c r="B64" s="3" t="s">
        <v>1130</v>
      </c>
      <c r="C64" s="51">
        <f>TIME(0,41,26)</f>
        <v>2.8773148148148145E-2</v>
      </c>
      <c r="D64" s="29">
        <f>INDEX('Points Summary'!$E$4:$E$1143,G64)</f>
        <v>0</v>
      </c>
      <c r="E64" s="124">
        <f t="shared" si="0"/>
        <v>0.56646491557228051</v>
      </c>
      <c r="F64" s="3"/>
      <c r="G64" s="2">
        <f>MATCH(B64,'Points Summary'!$B$4:$B$1144,0)</f>
        <v>306</v>
      </c>
    </row>
    <row r="65" spans="1:7" x14ac:dyDescent="0.25">
      <c r="A65" s="2">
        <v>9</v>
      </c>
      <c r="B65" s="3" t="s">
        <v>1144</v>
      </c>
      <c r="C65" s="28">
        <f>TIME(0,41,36)</f>
        <v>2.8888888888888891E-2</v>
      </c>
      <c r="D65" s="29">
        <f>INDEX('Points Summary'!$E$4:$E$1143,G65)</f>
        <v>0</v>
      </c>
      <c r="E65" s="124">
        <f t="shared" si="0"/>
        <v>0.56419542472463502</v>
      </c>
      <c r="F65" s="3"/>
      <c r="G65" s="2">
        <f>MATCH(B65,'Points Summary'!$B$4:$B$1144,0)</f>
        <v>145</v>
      </c>
    </row>
    <row r="66" spans="1:7" x14ac:dyDescent="0.25">
      <c r="A66" s="2">
        <v>14</v>
      </c>
      <c r="B66" s="3" t="s">
        <v>1132</v>
      </c>
      <c r="C66" s="51">
        <f>TIME(0,42,15)</f>
        <v>2.9340277777777781E-2</v>
      </c>
      <c r="D66" s="29">
        <f>INDEX('Points Summary'!$E$4:$E$1143,G66)</f>
        <v>0</v>
      </c>
      <c r="E66" s="124">
        <f t="shared" si="0"/>
        <v>0.55551549511348675</v>
      </c>
      <c r="F66" s="3"/>
      <c r="G66" s="2">
        <f>MATCH(B66,'Points Summary'!$B$4:$B$1144,0)</f>
        <v>327</v>
      </c>
    </row>
    <row r="67" spans="1:7" x14ac:dyDescent="0.25">
      <c r="A67" s="2">
        <v>1</v>
      </c>
      <c r="B67" s="3" t="s">
        <v>1133</v>
      </c>
      <c r="C67" s="51">
        <f>TIME(0,45,4)</f>
        <v>3.1296296296296301E-2</v>
      </c>
      <c r="D67" s="29">
        <f>INDEX('Points Summary'!$E$4:$E$1143,G67)</f>
        <v>0</v>
      </c>
      <c r="E67" s="124">
        <f t="shared" si="0"/>
        <v>0.52079577666889387</v>
      </c>
      <c r="F67" s="3"/>
      <c r="G67" s="2">
        <f>MATCH(B67,'Points Summary'!$B$4:$B$1144,0)</f>
        <v>193</v>
      </c>
    </row>
    <row r="68" spans="1:7" x14ac:dyDescent="0.25">
      <c r="A68" s="2">
        <v>4</v>
      </c>
      <c r="B68" s="3" t="s">
        <v>1134</v>
      </c>
      <c r="C68" s="28">
        <f>TIME(0,45,29)</f>
        <v>3.1585648148148147E-2</v>
      </c>
      <c r="D68" s="29">
        <f>INDEX('Points Summary'!$E$4:$E$1143,G68)</f>
        <v>0</v>
      </c>
      <c r="E68" s="124">
        <f t="shared" si="0"/>
        <v>0.51602483697790003</v>
      </c>
      <c r="F68" s="3"/>
      <c r="G68" s="2">
        <f>MATCH(B68,'Points Summary'!$B$4:$B$1144,0)</f>
        <v>231</v>
      </c>
    </row>
    <row r="69" spans="1:7" x14ac:dyDescent="0.25">
      <c r="A69" s="2">
        <v>1</v>
      </c>
      <c r="B69" s="3" t="s">
        <v>1299</v>
      </c>
      <c r="C69" s="28">
        <f>TIME(0,47,2)</f>
        <v>3.2662037037037038E-2</v>
      </c>
      <c r="D69" s="29">
        <f>INDEX('Points Summary'!$E$4:$E$1143,G69)</f>
        <v>0</v>
      </c>
      <c r="E69" s="124">
        <f t="shared" si="0"/>
        <v>0.49901905744602731</v>
      </c>
      <c r="F69" s="3"/>
      <c r="G69" s="2">
        <f>MATCH(B69,'Points Summary'!$B$4:$B$1144,0)</f>
        <v>216</v>
      </c>
    </row>
    <row r="70" spans="1:7" x14ac:dyDescent="0.25">
      <c r="A70" s="2">
        <v>7</v>
      </c>
      <c r="B70" s="3" t="s">
        <v>1141</v>
      </c>
      <c r="C70" s="28">
        <f>TIME(0,47,8)</f>
        <v>3.2731481481481479E-2</v>
      </c>
      <c r="D70" s="29">
        <f>INDEX('Points Summary'!$E$4:$E$1143,G70)</f>
        <v>0</v>
      </c>
      <c r="E70" s="124">
        <f t="shared" si="0"/>
        <v>0.49796031828595799</v>
      </c>
      <c r="F70" s="3"/>
      <c r="G70" s="2">
        <f>MATCH(B70,'Points Summary'!$B$4:$B$1144,0)</f>
        <v>450</v>
      </c>
    </row>
    <row r="71" spans="1:7" x14ac:dyDescent="0.25">
      <c r="A71" s="2">
        <v>9</v>
      </c>
      <c r="B71" s="3" t="s">
        <v>727</v>
      </c>
      <c r="C71" s="28">
        <f>TIME(0,47,20)</f>
        <v>3.2870370370370376E-2</v>
      </c>
      <c r="D71" s="29">
        <f>INDEX('Points Summary'!$E$4:$E$1143,G71)</f>
        <v>0</v>
      </c>
      <c r="E71" s="124">
        <f t="shared" si="0"/>
        <v>0.49585626060305948</v>
      </c>
      <c r="F71" s="3"/>
      <c r="G71" s="2">
        <f>MATCH(B71,'Points Summary'!$B$4:$B$1144,0)</f>
        <v>197</v>
      </c>
    </row>
    <row r="72" spans="1:7" x14ac:dyDescent="0.25">
      <c r="A72" s="2">
        <v>11</v>
      </c>
      <c r="B72" s="3" t="s">
        <v>1146</v>
      </c>
      <c r="C72" s="28">
        <f>TIME(0,48,9)</f>
        <v>3.3437500000000002E-2</v>
      </c>
      <c r="D72" s="29">
        <f>INDEX('Points Summary'!$E$4:$E$1143,G72)</f>
        <v>0</v>
      </c>
      <c r="E72" s="124">
        <f t="shared" si="0"/>
        <v>0.4874460990351987</v>
      </c>
      <c r="F72" s="3"/>
      <c r="G72" s="2">
        <f>MATCH(B72,'Points Summary'!$B$4:$B$1144,0)</f>
        <v>24</v>
      </c>
    </row>
    <row r="73" spans="1:7" x14ac:dyDescent="0.25">
      <c r="A73" s="2">
        <v>12</v>
      </c>
      <c r="B73" s="3" t="s">
        <v>1157</v>
      </c>
      <c r="C73" s="28">
        <f>TIME(0,48,12)</f>
        <v>3.3472222222222223E-2</v>
      </c>
      <c r="D73" s="29">
        <f>INDEX('Points Summary'!$E$4:$E$1143,G73)</f>
        <v>0</v>
      </c>
      <c r="E73" s="124">
        <f t="shared" ref="E73:E93" si="1">(AVERAGE($D$8:$D$12)/100*AVERAGE($C$8:$C$12))/C73</f>
        <v>0.48694044955487176</v>
      </c>
      <c r="F73" s="3"/>
      <c r="G73" s="2">
        <f>MATCH(B73,'Points Summary'!$B$4:$B$1144,0)</f>
        <v>412</v>
      </c>
    </row>
    <row r="74" spans="1:7" x14ac:dyDescent="0.25">
      <c r="A74" s="2">
        <v>14</v>
      </c>
      <c r="B74" s="3" t="s">
        <v>1155</v>
      </c>
      <c r="C74" s="28">
        <f>TIME(0,50,37)</f>
        <v>3.515046296296296E-2</v>
      </c>
      <c r="D74" s="29">
        <f>INDEX('Points Summary'!$E$4:$E$1143,G74)</f>
        <v>0</v>
      </c>
      <c r="E74" s="124">
        <f t="shared" si="1"/>
        <v>0.46369172871672348</v>
      </c>
      <c r="F74" s="3"/>
      <c r="G74" s="2">
        <f>MATCH(B74,'Points Summary'!$B$4:$B$1144,0)</f>
        <v>62</v>
      </c>
    </row>
    <row r="75" spans="1:7" x14ac:dyDescent="0.25">
      <c r="A75" s="2">
        <v>3</v>
      </c>
      <c r="B75" s="3" t="s">
        <v>1148</v>
      </c>
      <c r="C75" s="28">
        <f>TIME(0,50,46)</f>
        <v>3.5254629629629629E-2</v>
      </c>
      <c r="D75" s="29">
        <f>INDEX('Points Summary'!$E$4:$E$1143,G75)</f>
        <v>0</v>
      </c>
      <c r="E75" s="124">
        <f t="shared" si="1"/>
        <v>0.46232166123200563</v>
      </c>
      <c r="F75" s="3"/>
      <c r="G75" s="2">
        <f>MATCH(B75,'Points Summary'!$B$4:$B$1144,0)</f>
        <v>275</v>
      </c>
    </row>
    <row r="76" spans="1:7" x14ac:dyDescent="0.25">
      <c r="A76" s="2">
        <v>8</v>
      </c>
      <c r="B76" s="3" t="s">
        <v>859</v>
      </c>
      <c r="C76" s="28">
        <f>TIME(0,51,2)</f>
        <v>3.5439814814814813E-2</v>
      </c>
      <c r="D76" s="29">
        <f>INDEX('Points Summary'!$E$4:$E$1143,G76)</f>
        <v>42.726926272293511</v>
      </c>
      <c r="E76" s="124">
        <f t="shared" si="1"/>
        <v>0.45990587201590111</v>
      </c>
      <c r="F76" s="3"/>
      <c r="G76" s="2">
        <f>MATCH(B76,'Points Summary'!$B$4:$B$1144,0)</f>
        <v>100</v>
      </c>
    </row>
    <row r="77" spans="1:7" x14ac:dyDescent="0.25">
      <c r="A77" s="2">
        <v>10</v>
      </c>
      <c r="B77" s="3" t="s">
        <v>1136</v>
      </c>
      <c r="C77" s="28">
        <f>TIME(0,51,21)</f>
        <v>3.5659722222222225E-2</v>
      </c>
      <c r="D77" s="29">
        <f>INDEX('Points Summary'!$E$4:$E$1143,G77)</f>
        <v>0</v>
      </c>
      <c r="E77" s="124">
        <f t="shared" si="1"/>
        <v>0.4570697111693246</v>
      </c>
      <c r="F77" s="3"/>
      <c r="G77" s="2">
        <f>MATCH(B77,'Points Summary'!$B$4:$B$1144,0)</f>
        <v>274</v>
      </c>
    </row>
    <row r="78" spans="1:7" x14ac:dyDescent="0.25">
      <c r="A78" s="2">
        <v>12</v>
      </c>
      <c r="B78" s="3" t="s">
        <v>1156</v>
      </c>
      <c r="C78" s="28">
        <f>TIME(0,51,53)</f>
        <v>3.6030092592592593E-2</v>
      </c>
      <c r="D78" s="29">
        <f>INDEX('Points Summary'!$E$4:$E$1143,G78)</f>
        <v>0</v>
      </c>
      <c r="E78" s="124">
        <f t="shared" si="1"/>
        <v>0.45237127533334054</v>
      </c>
      <c r="F78" s="3"/>
      <c r="G78" s="2">
        <f>MATCH(B78,'Points Summary'!$B$4:$B$1144,0)</f>
        <v>427</v>
      </c>
    </row>
    <row r="79" spans="1:7" x14ac:dyDescent="0.25">
      <c r="A79" s="2">
        <v>3</v>
      </c>
      <c r="B79" s="3" t="s">
        <v>1149</v>
      </c>
      <c r="C79" s="28">
        <f>TIME(0,54,2)</f>
        <v>3.7523148148148146E-2</v>
      </c>
      <c r="D79" s="29">
        <f>INDEX('Points Summary'!$E$4:$E$1143,G79)</f>
        <v>0</v>
      </c>
      <c r="E79" s="124">
        <f t="shared" si="1"/>
        <v>0.43437130786942912</v>
      </c>
      <c r="F79" s="3"/>
      <c r="G79" s="2">
        <f>MATCH(B79,'Points Summary'!$B$4:$B$1144,0)</f>
        <v>116</v>
      </c>
    </row>
    <row r="80" spans="1:7" x14ac:dyDescent="0.25">
      <c r="A80" s="2">
        <v>5</v>
      </c>
      <c r="B80" s="3" t="s">
        <v>129</v>
      </c>
      <c r="C80" s="28">
        <f>TIME(0,54,40)</f>
        <v>3.7962962962962962E-2</v>
      </c>
      <c r="D80" s="29">
        <f>INDEX('Points Summary'!$E$4:$E$1143,G80)</f>
        <v>0</v>
      </c>
      <c r="E80" s="124">
        <f t="shared" si="1"/>
        <v>0.42933895735142963</v>
      </c>
      <c r="F80" s="3"/>
      <c r="G80" s="2">
        <f>MATCH(B80,'Points Summary'!$B$4:$B$1144,0)</f>
        <v>243</v>
      </c>
    </row>
    <row r="81" spans="1:7" x14ac:dyDescent="0.25">
      <c r="A81" s="2">
        <v>6</v>
      </c>
      <c r="B81" s="3" t="s">
        <v>1150</v>
      </c>
      <c r="C81" s="28">
        <f>TIME(0,54,40)</f>
        <v>3.7962962962962962E-2</v>
      </c>
      <c r="D81" s="29">
        <f>INDEX('Points Summary'!$E$4:$E$1143,G81)</f>
        <v>0</v>
      </c>
      <c r="E81" s="124">
        <f t="shared" si="1"/>
        <v>0.42933895735142963</v>
      </c>
      <c r="F81" s="3"/>
      <c r="G81" s="2">
        <f>MATCH(B81,'Points Summary'!$B$4:$B$1144,0)</f>
        <v>341</v>
      </c>
    </row>
    <row r="82" spans="1:7" x14ac:dyDescent="0.25">
      <c r="A82" s="2">
        <v>7</v>
      </c>
      <c r="B82" s="3" t="s">
        <v>1125</v>
      </c>
      <c r="C82" s="51">
        <f>TIME(0,54,48)</f>
        <v>3.8055555555555558E-2</v>
      </c>
      <c r="D82" s="29">
        <f>INDEX('Points Summary'!$E$4:$E$1143,G82)</f>
        <v>0</v>
      </c>
      <c r="E82" s="124">
        <f t="shared" si="1"/>
        <v>0.42829433701724118</v>
      </c>
      <c r="F82" s="3"/>
      <c r="G82" s="2">
        <f>MATCH(B82,'Points Summary'!$B$4:$B$1144,0)</f>
        <v>399</v>
      </c>
    </row>
    <row r="83" spans="1:7" x14ac:dyDescent="0.25">
      <c r="A83" s="2">
        <v>8</v>
      </c>
      <c r="B83" s="3" t="s">
        <v>1123</v>
      </c>
      <c r="C83" s="51">
        <f>TIME(0,55,22)</f>
        <v>3.8449074074074073E-2</v>
      </c>
      <c r="D83" s="29">
        <f>INDEX('Points Summary'!$E$4:$E$1143,G83)</f>
        <v>0</v>
      </c>
      <c r="E83" s="124">
        <f t="shared" si="1"/>
        <v>0.42391083085872644</v>
      </c>
      <c r="F83" s="3"/>
      <c r="G83" s="2">
        <f>MATCH(B83,'Points Summary'!$B$4:$B$1144,0)</f>
        <v>178</v>
      </c>
    </row>
    <row r="84" spans="1:7" x14ac:dyDescent="0.25">
      <c r="A84" s="2">
        <v>10</v>
      </c>
      <c r="B84" s="3" t="s">
        <v>1151</v>
      </c>
      <c r="C84" s="28">
        <f>TIME(0,55,30)</f>
        <v>3.8541666666666669E-2</v>
      </c>
      <c r="D84" s="29">
        <f>INDEX('Points Summary'!$E$4:$E$1143,G84)</f>
        <v>0</v>
      </c>
      <c r="E84" s="124">
        <f t="shared" si="1"/>
        <v>0.42289242646026698</v>
      </c>
      <c r="F84" s="3"/>
      <c r="G84" s="2">
        <f>MATCH(B84,'Points Summary'!$B$4:$B$1144,0)</f>
        <v>75</v>
      </c>
    </row>
    <row r="85" spans="1:7" x14ac:dyDescent="0.25">
      <c r="A85" s="2">
        <v>11</v>
      </c>
      <c r="B85" s="3" t="s">
        <v>1152</v>
      </c>
      <c r="C85" s="28">
        <f>TIME(0,55,32)</f>
        <v>3.8564814814814816E-2</v>
      </c>
      <c r="D85" s="29">
        <f>INDEX('Points Summary'!$E$4:$E$1143,G85)</f>
        <v>0</v>
      </c>
      <c r="E85" s="124">
        <f t="shared" si="1"/>
        <v>0.42263858946959459</v>
      </c>
      <c r="F85" s="3"/>
      <c r="G85" s="2">
        <f>MATCH(B85,'Points Summary'!$B$4:$B$1144,0)</f>
        <v>387</v>
      </c>
    </row>
    <row r="86" spans="1:7" x14ac:dyDescent="0.25">
      <c r="A86" s="2">
        <v>12</v>
      </c>
      <c r="B86" s="3" t="s">
        <v>1137</v>
      </c>
      <c r="C86" s="28">
        <f>TIME(0,55,44)</f>
        <v>3.8703703703703705E-2</v>
      </c>
      <c r="D86" s="29">
        <f>INDEX('Points Summary'!$E$4:$E$1143,G86)</f>
        <v>0</v>
      </c>
      <c r="E86" s="124">
        <f t="shared" si="1"/>
        <v>0.42112194381360318</v>
      </c>
      <c r="F86" s="3"/>
      <c r="G86" s="2">
        <f>MATCH(B86,'Points Summary'!$B$4:$B$1144,0)</f>
        <v>112</v>
      </c>
    </row>
    <row r="87" spans="1:7" x14ac:dyDescent="0.25">
      <c r="A87" s="2">
        <v>13</v>
      </c>
      <c r="B87" s="3" t="s">
        <v>1135</v>
      </c>
      <c r="C87" s="28">
        <f>TIME(1,1,13)</f>
        <v>4.2511574074074077E-2</v>
      </c>
      <c r="D87" s="29">
        <f>INDEX('Points Summary'!$E$4:$E$1143,G87)</f>
        <v>0</v>
      </c>
      <c r="E87" s="124">
        <f t="shared" si="1"/>
        <v>0.38340097471077839</v>
      </c>
      <c r="F87" s="3"/>
      <c r="G87" s="2">
        <f>MATCH(B87,'Points Summary'!$B$4:$B$1144,0)</f>
        <v>153</v>
      </c>
    </row>
    <row r="88" spans="1:7" x14ac:dyDescent="0.25">
      <c r="A88" s="2">
        <v>14</v>
      </c>
      <c r="B88" s="3" t="s">
        <v>1138</v>
      </c>
      <c r="C88" s="28">
        <f>TIME(1,1,18)</f>
        <v>4.2569444444444444E-2</v>
      </c>
      <c r="D88" s="29">
        <f>INDEX('Points Summary'!$E$4:$E$1143,G88)</f>
        <v>0</v>
      </c>
      <c r="E88" s="124">
        <f t="shared" si="1"/>
        <v>0.38287976620790898</v>
      </c>
      <c r="F88" s="3"/>
      <c r="G88" s="2">
        <f>MATCH(B88,'Points Summary'!$B$4:$B$1144,0)</f>
        <v>121</v>
      </c>
    </row>
    <row r="89" spans="1:7" x14ac:dyDescent="0.25">
      <c r="A89" s="2">
        <v>15</v>
      </c>
      <c r="B89" s="3" t="s">
        <v>1139</v>
      </c>
      <c r="C89" s="28">
        <f>TIME(1,2,17)</f>
        <v>4.3252314814814813E-2</v>
      </c>
      <c r="D89" s="29">
        <f>INDEX('Points Summary'!$E$4:$E$1143,G89)</f>
        <v>0</v>
      </c>
      <c r="E89" s="124">
        <f t="shared" si="1"/>
        <v>0.37683483545964386</v>
      </c>
      <c r="F89" s="3"/>
      <c r="G89" s="2">
        <f>MATCH(B89,'Points Summary'!$B$4:$B$1144,0)</f>
        <v>283</v>
      </c>
    </row>
    <row r="90" spans="1:7" x14ac:dyDescent="0.25">
      <c r="A90" s="2">
        <v>16</v>
      </c>
      <c r="B90" s="3" t="s">
        <v>1153</v>
      </c>
      <c r="C90" s="28">
        <f>TIME(1,5,45)</f>
        <v>4.5659722222222227E-2</v>
      </c>
      <c r="D90" s="29">
        <f>INDEX('Points Summary'!$E$4:$E$1143,G90)</f>
        <v>0</v>
      </c>
      <c r="E90" s="124">
        <f t="shared" si="1"/>
        <v>0.35696623070030137</v>
      </c>
      <c r="F90" s="3"/>
      <c r="G90" s="2">
        <f>MATCH(B90,'Points Summary'!$B$4:$B$1144,0)</f>
        <v>414</v>
      </c>
    </row>
    <row r="91" spans="1:7" x14ac:dyDescent="0.25">
      <c r="A91" s="2">
        <v>10</v>
      </c>
      <c r="B91" s="3" t="s">
        <v>1126</v>
      </c>
      <c r="C91" s="51">
        <f>TIME(1,7,16)</f>
        <v>4.6712962962962963E-2</v>
      </c>
      <c r="D91" s="29">
        <f>INDEX('Points Summary'!$E$4:$E$1143,G91)</f>
        <v>0</v>
      </c>
      <c r="E91" s="124">
        <f t="shared" si="1"/>
        <v>0.348917685855473</v>
      </c>
      <c r="F91" s="3"/>
      <c r="G91" s="2">
        <f>MATCH(B91,'Points Summary'!$B$4:$B$1144,0)</f>
        <v>434</v>
      </c>
    </row>
    <row r="92" spans="1:7" x14ac:dyDescent="0.25">
      <c r="A92" s="2">
        <v>11</v>
      </c>
      <c r="B92" s="3" t="s">
        <v>1140</v>
      </c>
      <c r="C92" s="28">
        <f>TIME(1,9,48)</f>
        <v>4.8472222222222222E-2</v>
      </c>
      <c r="D92" s="29">
        <f>INDEX('Points Summary'!$E$4:$E$1143,G92)</f>
        <v>0</v>
      </c>
      <c r="E92" s="124">
        <f t="shared" si="1"/>
        <v>0.33625400671267647</v>
      </c>
      <c r="F92" s="3"/>
      <c r="G92" s="2">
        <f>MATCH(B92,'Points Summary'!$B$4:$B$1144,0)</f>
        <v>375</v>
      </c>
    </row>
    <row r="93" spans="1:7" x14ac:dyDescent="0.25">
      <c r="A93" s="2">
        <v>12</v>
      </c>
      <c r="B93" s="3" t="s">
        <v>1154</v>
      </c>
      <c r="C93" s="28">
        <f>TIME(1,20,30)</f>
        <v>5.590277777777778E-2</v>
      </c>
      <c r="D93" s="29">
        <f>INDEX('Points Summary'!$E$4:$E$1143,G93)</f>
        <v>0</v>
      </c>
      <c r="E93" s="124">
        <f t="shared" si="1"/>
        <v>0.29155937476453192</v>
      </c>
      <c r="F93" s="3"/>
      <c r="G93" s="2">
        <f>MATCH(B93,'Points Summary'!$B$4:$B$1144,0)</f>
        <v>157</v>
      </c>
    </row>
    <row r="94" spans="1:7" x14ac:dyDescent="0.25">
      <c r="A94" s="2"/>
      <c r="B94" s="3"/>
      <c r="C94" s="28"/>
      <c r="D94" s="29"/>
      <c r="E94" s="30"/>
      <c r="F94" s="3"/>
    </row>
    <row r="95" spans="1:7" x14ac:dyDescent="0.25">
      <c r="A95" s="2"/>
      <c r="B95" s="3"/>
      <c r="C95" s="28"/>
      <c r="D95" s="29"/>
      <c r="E95" s="30"/>
      <c r="F95" s="3"/>
    </row>
    <row r="96" spans="1:7" x14ac:dyDescent="0.25">
      <c r="A96" s="2"/>
      <c r="B96" s="3"/>
      <c r="C96" s="28"/>
      <c r="D96" s="29"/>
      <c r="E96" s="30"/>
      <c r="F96" s="3"/>
    </row>
    <row r="97" spans="1:6" x14ac:dyDescent="0.25">
      <c r="A97" s="2"/>
      <c r="B97" s="3"/>
      <c r="C97" s="28"/>
      <c r="D97" s="29"/>
      <c r="E97" s="30"/>
      <c r="F97" s="3"/>
    </row>
    <row r="98" spans="1:6" x14ac:dyDescent="0.25">
      <c r="A98" s="2"/>
      <c r="B98" s="3"/>
      <c r="C98" s="28"/>
      <c r="D98" s="29"/>
      <c r="E98" s="30"/>
      <c r="F98" s="3"/>
    </row>
    <row r="99" spans="1:6" x14ac:dyDescent="0.25">
      <c r="A99" s="2"/>
      <c r="B99" s="3"/>
      <c r="C99" s="28"/>
      <c r="D99" s="29"/>
      <c r="E99" s="30"/>
      <c r="F99" s="3"/>
    </row>
    <row r="100" spans="1:6" x14ac:dyDescent="0.25">
      <c r="A100" s="2"/>
      <c r="B100" s="3"/>
      <c r="C100" s="28"/>
      <c r="D100" s="29"/>
      <c r="E100" s="30"/>
      <c r="F100" s="3"/>
    </row>
    <row r="101" spans="1:6" x14ac:dyDescent="0.25">
      <c r="A101" s="2"/>
      <c r="B101" s="3"/>
      <c r="C101" s="28"/>
      <c r="D101" s="29"/>
      <c r="E101" s="30"/>
      <c r="F101" s="3"/>
    </row>
    <row r="102" spans="1:6" x14ac:dyDescent="0.25">
      <c r="A102" s="2"/>
      <c r="B102" s="3"/>
      <c r="C102" s="28"/>
      <c r="D102" s="29"/>
      <c r="E102" s="30"/>
      <c r="F102" s="3"/>
    </row>
    <row r="103" spans="1:6" x14ac:dyDescent="0.25">
      <c r="A103" s="2"/>
      <c r="B103" s="3"/>
      <c r="C103" s="28"/>
      <c r="D103" s="29"/>
      <c r="E103" s="30"/>
      <c r="F103" s="3"/>
    </row>
    <row r="104" spans="1:6" x14ac:dyDescent="0.25">
      <c r="A104" s="2"/>
      <c r="B104" s="3"/>
      <c r="C104" s="28"/>
      <c r="D104" s="29"/>
      <c r="E104" s="30"/>
      <c r="F104" s="3"/>
    </row>
    <row r="105" spans="1:6" x14ac:dyDescent="0.25">
      <c r="A105" s="2"/>
      <c r="B105" s="3"/>
      <c r="C105" s="28"/>
      <c r="D105" s="29"/>
      <c r="E105" s="30"/>
      <c r="F105" s="3"/>
    </row>
    <row r="106" spans="1:6" x14ac:dyDescent="0.25">
      <c r="A106" s="2"/>
      <c r="B106" s="3"/>
      <c r="C106" s="28"/>
      <c r="D106" s="29"/>
      <c r="E106" s="30"/>
      <c r="F106" s="3"/>
    </row>
    <row r="107" spans="1:6" x14ac:dyDescent="0.25">
      <c r="A107" s="2"/>
      <c r="B107" s="3"/>
      <c r="C107" s="28"/>
      <c r="D107" s="29"/>
      <c r="E107" s="30"/>
      <c r="F107" s="3"/>
    </row>
    <row r="108" spans="1:6" x14ac:dyDescent="0.25">
      <c r="A108" s="2"/>
      <c r="B108" s="3"/>
      <c r="C108" s="28"/>
      <c r="D108" s="29"/>
      <c r="E108" s="30"/>
      <c r="F108" s="3"/>
    </row>
    <row r="109" spans="1:6" x14ac:dyDescent="0.25">
      <c r="A109" s="2"/>
      <c r="B109" s="3"/>
      <c r="C109" s="28"/>
      <c r="D109" s="29"/>
      <c r="E109" s="30"/>
      <c r="F109" s="3"/>
    </row>
    <row r="110" spans="1:6" x14ac:dyDescent="0.25">
      <c r="A110" s="2"/>
      <c r="B110" s="3"/>
      <c r="C110" s="28"/>
      <c r="D110" s="29"/>
      <c r="E110" s="30"/>
      <c r="F110" s="3"/>
    </row>
    <row r="111" spans="1:6" x14ac:dyDescent="0.25">
      <c r="A111" s="2"/>
      <c r="B111" s="3"/>
      <c r="C111" s="28"/>
      <c r="D111" s="29"/>
      <c r="E111" s="30"/>
      <c r="F111" s="3"/>
    </row>
    <row r="112" spans="1:6" x14ac:dyDescent="0.25">
      <c r="A112" s="2"/>
      <c r="B112" s="3"/>
      <c r="C112" s="28"/>
      <c r="D112" s="29"/>
      <c r="E112" s="30"/>
      <c r="F112" s="3"/>
    </row>
    <row r="113" spans="1:6" x14ac:dyDescent="0.25">
      <c r="A113" s="2"/>
      <c r="B113" s="3"/>
      <c r="C113" s="28"/>
      <c r="D113" s="29"/>
      <c r="E113" s="30"/>
      <c r="F113" s="3"/>
    </row>
    <row r="114" spans="1:6" x14ac:dyDescent="0.25">
      <c r="A114" s="2"/>
      <c r="B114" s="3"/>
      <c r="C114" s="28"/>
      <c r="D114" s="29"/>
      <c r="E114" s="30"/>
      <c r="F114" s="3"/>
    </row>
    <row r="115" spans="1:6" x14ac:dyDescent="0.25">
      <c r="A115" s="2"/>
      <c r="B115" s="3"/>
      <c r="C115" s="28"/>
      <c r="D115" s="29"/>
      <c r="E115" s="30"/>
      <c r="F115" s="3"/>
    </row>
    <row r="116" spans="1:6" x14ac:dyDescent="0.25">
      <c r="A116" s="2"/>
      <c r="B116" s="3"/>
      <c r="C116" s="28"/>
      <c r="D116" s="29"/>
      <c r="E116" s="30"/>
      <c r="F116" s="3"/>
    </row>
    <row r="117" spans="1:6" x14ac:dyDescent="0.25">
      <c r="A117" s="2"/>
      <c r="B117" s="3"/>
      <c r="C117" s="28"/>
      <c r="D117" s="29"/>
      <c r="E117" s="30"/>
      <c r="F117" s="3"/>
    </row>
    <row r="118" spans="1:6" x14ac:dyDescent="0.25">
      <c r="A118" s="2"/>
      <c r="B118" s="3"/>
      <c r="C118" s="28"/>
      <c r="D118" s="29"/>
      <c r="E118" s="30"/>
      <c r="F118" s="3"/>
    </row>
    <row r="119" spans="1:6" x14ac:dyDescent="0.25">
      <c r="A119" s="2"/>
      <c r="B119" s="3"/>
      <c r="C119" s="28"/>
      <c r="D119" s="29"/>
      <c r="E119" s="30"/>
      <c r="F119" s="3"/>
    </row>
    <row r="120" spans="1:6" x14ac:dyDescent="0.25">
      <c r="A120" s="2"/>
      <c r="B120" s="3"/>
      <c r="C120" s="28"/>
      <c r="D120" s="29"/>
      <c r="E120" s="30"/>
      <c r="F120" s="3"/>
    </row>
    <row r="121" spans="1:6" x14ac:dyDescent="0.25">
      <c r="A121" s="2"/>
      <c r="B121" s="3"/>
      <c r="C121" s="28"/>
      <c r="D121" s="29"/>
      <c r="E121" s="30"/>
      <c r="F121" s="3"/>
    </row>
    <row r="122" spans="1:6" x14ac:dyDescent="0.25">
      <c r="A122" s="2"/>
      <c r="B122" s="3"/>
      <c r="C122" s="28"/>
      <c r="D122" s="29"/>
      <c r="E122" s="30"/>
      <c r="F122" s="3"/>
    </row>
    <row r="123" spans="1:6" x14ac:dyDescent="0.25">
      <c r="A123" s="2"/>
      <c r="B123" s="3"/>
      <c r="C123" s="28"/>
      <c r="D123" s="29"/>
      <c r="E123" s="30"/>
      <c r="F123" s="3"/>
    </row>
    <row r="124" spans="1:6" x14ac:dyDescent="0.25">
      <c r="A124" s="2"/>
      <c r="B124" s="3"/>
      <c r="C124" s="28"/>
      <c r="D124" s="29"/>
      <c r="E124" s="30"/>
      <c r="F124" s="3"/>
    </row>
    <row r="125" spans="1:6" x14ac:dyDescent="0.25">
      <c r="A125" s="2"/>
      <c r="B125" s="3"/>
      <c r="C125" s="28"/>
      <c r="D125" s="29"/>
      <c r="E125" s="30"/>
      <c r="F125" s="3"/>
    </row>
    <row r="126" spans="1:6" x14ac:dyDescent="0.25">
      <c r="A126" s="2"/>
      <c r="B126" s="3"/>
      <c r="C126" s="28"/>
      <c r="D126" s="29"/>
      <c r="E126" s="30"/>
      <c r="F126" s="3"/>
    </row>
    <row r="127" spans="1:6" x14ac:dyDescent="0.25">
      <c r="A127" s="2"/>
      <c r="B127" s="3"/>
      <c r="C127" s="28"/>
      <c r="D127" s="29"/>
      <c r="E127" s="30"/>
      <c r="F127" s="3"/>
    </row>
    <row r="128" spans="1:6" x14ac:dyDescent="0.25">
      <c r="A128" s="2"/>
      <c r="B128" s="3"/>
      <c r="C128" s="28"/>
      <c r="D128" s="29"/>
      <c r="E128" s="30"/>
      <c r="F128" s="3"/>
    </row>
    <row r="129" spans="1:6" x14ac:dyDescent="0.25">
      <c r="A129" s="2"/>
      <c r="B129" s="3"/>
      <c r="C129" s="28"/>
      <c r="D129" s="29"/>
      <c r="E129" s="30"/>
      <c r="F129" s="3"/>
    </row>
    <row r="130" spans="1:6" x14ac:dyDescent="0.25">
      <c r="A130" s="2"/>
      <c r="B130" s="3"/>
      <c r="C130" s="28"/>
      <c r="D130" s="29"/>
      <c r="E130" s="30"/>
      <c r="F130" s="3"/>
    </row>
    <row r="131" spans="1:6" x14ac:dyDescent="0.25">
      <c r="A131" s="2"/>
      <c r="B131" s="3"/>
      <c r="C131" s="28"/>
      <c r="D131" s="29"/>
      <c r="E131" s="30"/>
      <c r="F131" s="3"/>
    </row>
    <row r="132" spans="1:6" x14ac:dyDescent="0.25">
      <c r="A132" s="2"/>
      <c r="B132" s="3"/>
      <c r="C132" s="28"/>
      <c r="D132" s="29"/>
      <c r="E132" s="30"/>
      <c r="F132" s="3"/>
    </row>
    <row r="133" spans="1:6" x14ac:dyDescent="0.25">
      <c r="A133" s="2"/>
      <c r="B133" s="3"/>
      <c r="C133" s="28"/>
      <c r="D133" s="29"/>
      <c r="E133" s="30"/>
      <c r="F133" s="3"/>
    </row>
    <row r="134" spans="1:6" x14ac:dyDescent="0.25">
      <c r="A134" s="2"/>
      <c r="B134" s="3"/>
      <c r="C134" s="28"/>
      <c r="D134" s="29"/>
      <c r="E134" s="30"/>
      <c r="F134" s="3"/>
    </row>
    <row r="135" spans="1:6" x14ac:dyDescent="0.25">
      <c r="A135" s="2"/>
      <c r="B135" s="3"/>
      <c r="C135" s="28"/>
      <c r="D135" s="29"/>
      <c r="E135" s="30"/>
      <c r="F135" s="3"/>
    </row>
    <row r="136" spans="1:6" x14ac:dyDescent="0.25">
      <c r="A136" s="2"/>
      <c r="B136" s="3"/>
      <c r="C136" s="28"/>
      <c r="D136" s="29"/>
      <c r="E136" s="30"/>
      <c r="F136" s="3"/>
    </row>
    <row r="137" spans="1:6" x14ac:dyDescent="0.25">
      <c r="A137" s="2"/>
      <c r="B137" s="3"/>
      <c r="C137" s="28"/>
      <c r="D137" s="29"/>
      <c r="E137" s="30"/>
      <c r="F137" s="3"/>
    </row>
    <row r="138" spans="1:6" x14ac:dyDescent="0.25">
      <c r="A138" s="2"/>
      <c r="B138" s="3"/>
      <c r="C138" s="28"/>
      <c r="D138" s="29"/>
      <c r="E138" s="30"/>
      <c r="F138" s="3"/>
    </row>
    <row r="139" spans="1:6" x14ac:dyDescent="0.25">
      <c r="A139" s="2"/>
      <c r="B139" s="3"/>
      <c r="C139" s="28"/>
      <c r="D139" s="29"/>
      <c r="E139" s="30"/>
      <c r="F139" s="3"/>
    </row>
    <row r="140" spans="1:6" x14ac:dyDescent="0.25">
      <c r="A140" s="2"/>
      <c r="B140" s="3"/>
      <c r="C140" s="28"/>
      <c r="D140" s="29"/>
      <c r="E140" s="30"/>
      <c r="F140" s="3"/>
    </row>
    <row r="141" spans="1:6" x14ac:dyDescent="0.25">
      <c r="A141" s="2"/>
      <c r="B141" s="3"/>
      <c r="C141" s="28"/>
      <c r="D141" s="29"/>
      <c r="E141" s="30"/>
      <c r="F141" s="3"/>
    </row>
    <row r="142" spans="1:6" x14ac:dyDescent="0.25">
      <c r="A142" s="2"/>
      <c r="B142" s="3"/>
      <c r="C142" s="28"/>
      <c r="D142" s="29"/>
      <c r="E142" s="30"/>
      <c r="F142" s="3"/>
    </row>
    <row r="143" spans="1:6" x14ac:dyDescent="0.25">
      <c r="A143" s="2"/>
      <c r="B143" s="3"/>
      <c r="C143" s="28"/>
      <c r="D143" s="29"/>
      <c r="E143" s="30"/>
      <c r="F143" s="3"/>
    </row>
    <row r="144" spans="1:6" x14ac:dyDescent="0.25">
      <c r="A144" s="2"/>
      <c r="B144" s="3"/>
      <c r="C144" s="28"/>
      <c r="D144" s="29"/>
      <c r="E144" s="30"/>
      <c r="F144" s="3"/>
    </row>
    <row r="145" spans="1:6" x14ac:dyDescent="0.25">
      <c r="A145" s="2"/>
      <c r="B145" s="3"/>
      <c r="C145" s="28"/>
      <c r="D145" s="29"/>
      <c r="E145" s="30"/>
      <c r="F145" s="3"/>
    </row>
    <row r="146" spans="1:6" x14ac:dyDescent="0.25">
      <c r="A146" s="2"/>
      <c r="B146" s="3"/>
      <c r="C146" s="28"/>
      <c r="D146" s="29"/>
      <c r="E146" s="30"/>
      <c r="F146" s="3"/>
    </row>
    <row r="147" spans="1:6" x14ac:dyDescent="0.25">
      <c r="A147" s="2"/>
      <c r="B147" s="3"/>
      <c r="C147" s="28"/>
      <c r="D147" s="29"/>
      <c r="E147" s="30"/>
      <c r="F147" s="3"/>
    </row>
    <row r="148" spans="1:6" x14ac:dyDescent="0.25">
      <c r="A148" s="2"/>
      <c r="B148" s="3"/>
      <c r="C148" s="28"/>
      <c r="D148" s="29"/>
      <c r="E148" s="30"/>
      <c r="F148" s="3"/>
    </row>
    <row r="149" spans="1:6" x14ac:dyDescent="0.25">
      <c r="A149" s="2"/>
      <c r="B149" s="3"/>
      <c r="C149" s="28"/>
      <c r="D149" s="29"/>
      <c r="E149" s="30"/>
      <c r="F149" s="3"/>
    </row>
    <row r="150" spans="1:6" x14ac:dyDescent="0.25">
      <c r="A150" s="2"/>
      <c r="B150" s="3"/>
      <c r="C150" s="28"/>
      <c r="D150" s="29"/>
      <c r="E150" s="30"/>
      <c r="F150" s="3"/>
    </row>
    <row r="151" spans="1:6" x14ac:dyDescent="0.25">
      <c r="A151" s="2"/>
      <c r="B151" s="3"/>
      <c r="C151" s="28"/>
      <c r="D151" s="29"/>
      <c r="E151" s="30"/>
      <c r="F151" s="3"/>
    </row>
    <row r="152" spans="1:6" x14ac:dyDescent="0.25">
      <c r="A152" s="2"/>
      <c r="B152" s="3"/>
      <c r="C152" s="28"/>
      <c r="D152" s="29"/>
      <c r="E152" s="30"/>
      <c r="F152" s="3"/>
    </row>
    <row r="153" spans="1:6" x14ac:dyDescent="0.25">
      <c r="A153" s="2"/>
      <c r="B153" s="3"/>
      <c r="C153" s="28"/>
      <c r="D153" s="29"/>
      <c r="E153" s="30"/>
      <c r="F153" s="3"/>
    </row>
    <row r="154" spans="1:6" x14ac:dyDescent="0.25">
      <c r="A154" s="2"/>
      <c r="B154" s="3"/>
      <c r="C154" s="28"/>
      <c r="D154" s="29"/>
      <c r="E154" s="30"/>
      <c r="F154" s="3"/>
    </row>
    <row r="155" spans="1:6" x14ac:dyDescent="0.25">
      <c r="A155" s="2"/>
      <c r="B155" s="3"/>
      <c r="C155" s="28"/>
      <c r="D155" s="29"/>
      <c r="E155" s="30"/>
      <c r="F155" s="3"/>
    </row>
    <row r="156" spans="1:6" x14ac:dyDescent="0.25">
      <c r="A156" s="2"/>
      <c r="B156" s="3"/>
      <c r="C156" s="28"/>
      <c r="D156" s="29"/>
      <c r="E156" s="30"/>
      <c r="F156" s="3"/>
    </row>
    <row r="157" spans="1:6" x14ac:dyDescent="0.25">
      <c r="A157" s="2"/>
      <c r="B157" s="3"/>
      <c r="C157" s="28"/>
      <c r="D157" s="29"/>
      <c r="E157" s="30"/>
      <c r="F157" s="3"/>
    </row>
    <row r="158" spans="1:6" x14ac:dyDescent="0.25">
      <c r="A158" s="2"/>
      <c r="B158" s="3"/>
      <c r="C158" s="28"/>
      <c r="D158" s="29"/>
      <c r="E158" s="30"/>
      <c r="F158" s="3"/>
    </row>
    <row r="159" spans="1:6" x14ac:dyDescent="0.25">
      <c r="A159" s="2"/>
      <c r="B159" s="3"/>
      <c r="C159" s="28"/>
      <c r="D159" s="29"/>
      <c r="E159" s="30"/>
      <c r="F159" s="3"/>
    </row>
    <row r="160" spans="1:6" x14ac:dyDescent="0.25">
      <c r="A160" s="2"/>
      <c r="B160" s="3"/>
      <c r="C160" s="28"/>
      <c r="D160" s="29"/>
      <c r="E160" s="30"/>
      <c r="F160" s="3"/>
    </row>
    <row r="161" spans="1:6" x14ac:dyDescent="0.25">
      <c r="A161" s="2"/>
      <c r="B161" s="3"/>
      <c r="C161" s="28"/>
      <c r="D161" s="29"/>
      <c r="E161" s="30"/>
      <c r="F161" s="3"/>
    </row>
    <row r="162" spans="1:6" x14ac:dyDescent="0.25">
      <c r="A162" s="2"/>
      <c r="B162" s="3"/>
      <c r="C162" s="28"/>
      <c r="D162" s="29"/>
      <c r="E162" s="30"/>
      <c r="F162" s="3"/>
    </row>
    <row r="163" spans="1:6" x14ac:dyDescent="0.25">
      <c r="A163" s="2"/>
      <c r="B163" s="3"/>
      <c r="C163" s="28"/>
      <c r="D163" s="29"/>
      <c r="E163" s="30"/>
      <c r="F163" s="3"/>
    </row>
    <row r="164" spans="1:6" x14ac:dyDescent="0.25">
      <c r="A164" s="2"/>
      <c r="B164" s="3"/>
      <c r="C164" s="28"/>
      <c r="D164" s="29"/>
      <c r="E164" s="30"/>
      <c r="F164" s="3"/>
    </row>
    <row r="165" spans="1:6" x14ac:dyDescent="0.25">
      <c r="A165" s="2"/>
      <c r="B165" s="3"/>
      <c r="C165" s="28"/>
      <c r="D165" s="29"/>
      <c r="E165" s="30"/>
      <c r="F165" s="3"/>
    </row>
    <row r="166" spans="1:6" x14ac:dyDescent="0.25">
      <c r="A166" s="2"/>
      <c r="B166" s="3"/>
      <c r="C166" s="28"/>
      <c r="D166" s="29"/>
      <c r="E166" s="30"/>
      <c r="F166" s="3"/>
    </row>
    <row r="167" spans="1:6" x14ac:dyDescent="0.25">
      <c r="A167" s="2"/>
      <c r="B167" s="3"/>
      <c r="C167" s="28"/>
      <c r="D167" s="29"/>
      <c r="E167" s="30"/>
      <c r="F167" s="3"/>
    </row>
    <row r="168" spans="1:6" x14ac:dyDescent="0.25">
      <c r="A168" s="2"/>
      <c r="B168" s="3"/>
      <c r="C168" s="28"/>
      <c r="D168" s="29"/>
      <c r="E168" s="30"/>
      <c r="F168" s="3"/>
    </row>
    <row r="169" spans="1:6" x14ac:dyDescent="0.25">
      <c r="A169" s="2"/>
      <c r="B169" s="3"/>
      <c r="C169" s="28"/>
      <c r="D169" s="29"/>
      <c r="E169" s="30"/>
      <c r="F169" s="3"/>
    </row>
    <row r="170" spans="1:6" x14ac:dyDescent="0.25">
      <c r="A170" s="2"/>
      <c r="B170" s="3"/>
      <c r="C170" s="28"/>
      <c r="D170" s="29"/>
      <c r="E170" s="30"/>
      <c r="F170" s="3"/>
    </row>
    <row r="171" spans="1:6" x14ac:dyDescent="0.25">
      <c r="A171" s="2"/>
      <c r="B171" s="3"/>
      <c r="C171" s="28"/>
      <c r="D171" s="29"/>
      <c r="E171" s="30"/>
      <c r="F171" s="3"/>
    </row>
    <row r="172" spans="1:6" x14ac:dyDescent="0.25">
      <c r="A172" s="2"/>
      <c r="B172" s="3"/>
      <c r="C172" s="28"/>
      <c r="D172" s="29"/>
      <c r="E172" s="30"/>
      <c r="F172" s="3"/>
    </row>
    <row r="173" spans="1:6" x14ac:dyDescent="0.25">
      <c r="A173" s="2"/>
      <c r="B173" s="3"/>
      <c r="C173" s="28"/>
      <c r="D173" s="29"/>
      <c r="E173" s="30"/>
      <c r="F173" s="3"/>
    </row>
    <row r="174" spans="1:6" x14ac:dyDescent="0.25">
      <c r="A174" s="2"/>
      <c r="B174" s="3"/>
      <c r="C174" s="28"/>
      <c r="D174" s="29"/>
      <c r="E174" s="30"/>
      <c r="F174" s="3"/>
    </row>
    <row r="175" spans="1:6" x14ac:dyDescent="0.25">
      <c r="A175" s="2"/>
      <c r="B175" s="3"/>
      <c r="C175" s="28"/>
      <c r="D175" s="29"/>
      <c r="E175" s="30"/>
      <c r="F175" s="3"/>
    </row>
    <row r="176" spans="1:6" x14ac:dyDescent="0.25">
      <c r="A176" s="2"/>
      <c r="B176" s="3"/>
      <c r="C176" s="28"/>
      <c r="D176" s="29"/>
      <c r="E176" s="30"/>
      <c r="F176" s="3"/>
    </row>
    <row r="177" spans="1:6" x14ac:dyDescent="0.25">
      <c r="A177" s="2"/>
      <c r="B177" s="3"/>
      <c r="C177" s="28"/>
      <c r="D177" s="29"/>
      <c r="E177" s="30"/>
      <c r="F177" s="3"/>
    </row>
    <row r="178" spans="1:6" x14ac:dyDescent="0.25">
      <c r="A178" s="2"/>
      <c r="B178" s="3"/>
      <c r="C178" s="28"/>
      <c r="D178" s="29"/>
      <c r="E178" s="30"/>
      <c r="F178" s="3"/>
    </row>
    <row r="179" spans="1:6" x14ac:dyDescent="0.25">
      <c r="A179" s="2"/>
      <c r="B179" s="3"/>
      <c r="C179" s="28"/>
      <c r="D179" s="29"/>
      <c r="E179" s="30"/>
      <c r="F179" s="3"/>
    </row>
    <row r="180" spans="1:6" x14ac:dyDescent="0.25">
      <c r="A180" s="2"/>
      <c r="B180" s="3"/>
      <c r="C180" s="28"/>
      <c r="D180" s="29"/>
      <c r="E180" s="30"/>
      <c r="F180" s="3"/>
    </row>
    <row r="181" spans="1:6" x14ac:dyDescent="0.25">
      <c r="A181" s="2"/>
      <c r="B181" s="3"/>
      <c r="C181" s="28"/>
      <c r="D181" s="29"/>
      <c r="E181" s="30"/>
      <c r="F181" s="3"/>
    </row>
    <row r="182" spans="1:6" x14ac:dyDescent="0.25">
      <c r="A182" s="2"/>
      <c r="B182" s="3"/>
      <c r="C182" s="28"/>
      <c r="D182" s="29"/>
      <c r="E182" s="30"/>
      <c r="F182" s="3"/>
    </row>
    <row r="183" spans="1:6" x14ac:dyDescent="0.25">
      <c r="A183" s="2"/>
      <c r="B183" s="3"/>
      <c r="C183" s="28"/>
      <c r="D183" s="29"/>
      <c r="E183" s="30"/>
      <c r="F183" s="3"/>
    </row>
    <row r="184" spans="1:6" x14ac:dyDescent="0.25">
      <c r="A184" s="2"/>
      <c r="B184" s="3"/>
      <c r="C184" s="28"/>
      <c r="D184" s="29"/>
      <c r="E184" s="30"/>
      <c r="F184" s="3"/>
    </row>
    <row r="185" spans="1:6" x14ac:dyDescent="0.25">
      <c r="A185" s="2"/>
      <c r="B185" s="3"/>
      <c r="C185" s="28"/>
      <c r="D185" s="29"/>
      <c r="E185" s="30"/>
      <c r="F185" s="3"/>
    </row>
    <row r="186" spans="1:6" x14ac:dyDescent="0.25">
      <c r="A186" s="2"/>
      <c r="B186" s="3"/>
      <c r="C186" s="28"/>
      <c r="D186" s="29"/>
      <c r="E186" s="30"/>
      <c r="F186" s="3"/>
    </row>
    <row r="187" spans="1:6" x14ac:dyDescent="0.25">
      <c r="A187" s="2"/>
      <c r="B187" s="3"/>
      <c r="C187" s="28"/>
      <c r="D187" s="29"/>
      <c r="E187" s="30"/>
      <c r="F187" s="3"/>
    </row>
    <row r="188" spans="1:6" x14ac:dyDescent="0.25">
      <c r="A188" s="2"/>
      <c r="B188" s="3"/>
      <c r="C188" s="28"/>
      <c r="D188" s="29"/>
      <c r="E188" s="30"/>
      <c r="F188" s="3"/>
    </row>
    <row r="189" spans="1:6" x14ac:dyDescent="0.25">
      <c r="A189" s="2"/>
      <c r="B189" s="3"/>
      <c r="C189" s="28"/>
      <c r="D189" s="29"/>
      <c r="E189" s="30"/>
      <c r="F189" s="3"/>
    </row>
    <row r="190" spans="1:6" x14ac:dyDescent="0.25">
      <c r="A190" s="2"/>
      <c r="B190" s="3"/>
      <c r="C190" s="28"/>
      <c r="D190" s="29"/>
      <c r="E190" s="30"/>
      <c r="F190" s="3"/>
    </row>
    <row r="191" spans="1:6" x14ac:dyDescent="0.25">
      <c r="A191" s="2"/>
      <c r="B191" s="3"/>
      <c r="C191" s="28"/>
      <c r="D191" s="29"/>
      <c r="E191" s="30"/>
      <c r="F191" s="3"/>
    </row>
    <row r="192" spans="1:6" x14ac:dyDescent="0.25">
      <c r="A192" s="2"/>
      <c r="B192" s="3"/>
      <c r="C192" s="28"/>
      <c r="D192" s="29"/>
      <c r="E192" s="30"/>
      <c r="F192" s="3"/>
    </row>
    <row r="193" spans="1:6" x14ac:dyDescent="0.25">
      <c r="A193" s="2"/>
      <c r="B193" s="3"/>
      <c r="C193" s="28"/>
      <c r="D193" s="29"/>
      <c r="E193" s="30"/>
      <c r="F193" s="3"/>
    </row>
    <row r="194" spans="1:6" x14ac:dyDescent="0.25">
      <c r="A194" s="2"/>
      <c r="B194" s="3"/>
      <c r="C194" s="28"/>
      <c r="D194" s="29"/>
      <c r="E194" s="30"/>
      <c r="F194" s="3"/>
    </row>
    <row r="195" spans="1:6" x14ac:dyDescent="0.25">
      <c r="A195" s="2"/>
      <c r="B195" s="3"/>
      <c r="C195" s="28"/>
      <c r="D195" s="29"/>
      <c r="E195" s="30"/>
      <c r="F195" s="3"/>
    </row>
    <row r="196" spans="1:6" x14ac:dyDescent="0.25">
      <c r="A196" s="2"/>
      <c r="B196" s="3"/>
      <c r="C196" s="28"/>
      <c r="D196" s="29"/>
      <c r="E196" s="30"/>
      <c r="F196" s="3"/>
    </row>
    <row r="197" spans="1:6" x14ac:dyDescent="0.25">
      <c r="A197" s="2"/>
      <c r="B197" s="3"/>
      <c r="C197" s="28"/>
      <c r="D197" s="29"/>
      <c r="E197" s="30"/>
      <c r="F197" s="3"/>
    </row>
    <row r="198" spans="1:6" x14ac:dyDescent="0.25">
      <c r="A198" s="2"/>
      <c r="B198" s="3"/>
      <c r="C198" s="28"/>
      <c r="D198" s="29"/>
      <c r="E198" s="30"/>
      <c r="F198" s="3"/>
    </row>
    <row r="199" spans="1:6" x14ac:dyDescent="0.25">
      <c r="A199" s="2"/>
      <c r="B199" s="3"/>
      <c r="C199" s="28"/>
      <c r="D199" s="29"/>
      <c r="E199" s="30"/>
      <c r="F199" s="3"/>
    </row>
    <row r="200" spans="1:6" x14ac:dyDescent="0.25">
      <c r="A200" s="2"/>
      <c r="B200" s="3"/>
      <c r="C200" s="28"/>
      <c r="D200" s="29"/>
      <c r="E200" s="30"/>
      <c r="F200" s="3"/>
    </row>
    <row r="201" spans="1:6" x14ac:dyDescent="0.25">
      <c r="A201" s="2"/>
      <c r="B201" s="3"/>
      <c r="C201" s="28"/>
      <c r="D201" s="29"/>
      <c r="E201" s="30"/>
      <c r="F201" s="3"/>
    </row>
    <row r="202" spans="1:6" x14ac:dyDescent="0.25">
      <c r="A202" s="2"/>
      <c r="B202" s="3"/>
      <c r="C202" s="28"/>
      <c r="D202" s="29"/>
      <c r="E202" s="30"/>
      <c r="F202" s="3"/>
    </row>
    <row r="203" spans="1:6" x14ac:dyDescent="0.25">
      <c r="A203" s="2"/>
      <c r="B203" s="3"/>
      <c r="C203" s="28"/>
      <c r="D203" s="29"/>
      <c r="E203" s="30"/>
      <c r="F203" s="3"/>
    </row>
    <row r="204" spans="1:6" x14ac:dyDescent="0.25">
      <c r="A204" s="2"/>
      <c r="B204" s="3"/>
      <c r="C204" s="28"/>
      <c r="D204" s="29"/>
      <c r="E204" s="30"/>
      <c r="F204" s="3"/>
    </row>
    <row r="205" spans="1:6" x14ac:dyDescent="0.25">
      <c r="A205" s="2"/>
      <c r="B205" s="3"/>
      <c r="C205" s="28"/>
      <c r="D205" s="29"/>
      <c r="E205" s="30"/>
      <c r="F205" s="3"/>
    </row>
    <row r="206" spans="1:6" x14ac:dyDescent="0.25">
      <c r="A206" s="2"/>
      <c r="B206" s="3"/>
      <c r="C206" s="28"/>
      <c r="D206" s="29"/>
      <c r="E206" s="30"/>
      <c r="F206" s="3"/>
    </row>
    <row r="207" spans="1:6" x14ac:dyDescent="0.25">
      <c r="A207" s="2"/>
      <c r="B207" s="3"/>
      <c r="C207" s="28"/>
      <c r="D207" s="29"/>
      <c r="E207" s="30"/>
      <c r="F207" s="3"/>
    </row>
    <row r="208" spans="1:6" x14ac:dyDescent="0.25">
      <c r="A208" s="2"/>
      <c r="B208" s="3"/>
      <c r="C208" s="28"/>
      <c r="D208" s="29"/>
      <c r="E208" s="30"/>
      <c r="F208" s="3"/>
    </row>
    <row r="209" spans="1:6" x14ac:dyDescent="0.25">
      <c r="A209" s="2"/>
      <c r="B209" s="3"/>
      <c r="C209" s="28"/>
      <c r="D209" s="29"/>
      <c r="E209" s="30"/>
      <c r="F209" s="3"/>
    </row>
    <row r="210" spans="1:6" x14ac:dyDescent="0.25">
      <c r="A210" s="2"/>
      <c r="B210" s="3"/>
      <c r="C210" s="28"/>
      <c r="D210" s="29"/>
      <c r="E210" s="30"/>
      <c r="F210" s="3"/>
    </row>
    <row r="211" spans="1:6" x14ac:dyDescent="0.25">
      <c r="A211" s="2"/>
      <c r="B211" s="3"/>
      <c r="C211" s="28"/>
      <c r="D211" s="29"/>
      <c r="E211" s="30"/>
      <c r="F211" s="3"/>
    </row>
    <row r="212" spans="1:6" x14ac:dyDescent="0.25">
      <c r="A212" s="2"/>
      <c r="B212" s="3"/>
      <c r="C212" s="28"/>
      <c r="D212" s="29"/>
      <c r="E212" s="30"/>
      <c r="F212" s="3"/>
    </row>
    <row r="213" spans="1:6" x14ac:dyDescent="0.25">
      <c r="A213" s="2"/>
      <c r="B213" s="3"/>
      <c r="C213" s="28"/>
      <c r="D213" s="29"/>
      <c r="E213" s="30"/>
      <c r="F213" s="3"/>
    </row>
    <row r="214" spans="1:6" x14ac:dyDescent="0.25">
      <c r="A214" s="2"/>
      <c r="B214" s="3"/>
      <c r="C214" s="28"/>
      <c r="D214" s="29"/>
      <c r="E214" s="30"/>
      <c r="F214" s="3"/>
    </row>
    <row r="215" spans="1:6" x14ac:dyDescent="0.25">
      <c r="A215" s="2"/>
      <c r="B215" s="3"/>
      <c r="C215" s="28"/>
      <c r="D215" s="29"/>
      <c r="E215" s="30"/>
      <c r="F215" s="3"/>
    </row>
    <row r="216" spans="1:6" x14ac:dyDescent="0.25">
      <c r="A216" s="2"/>
      <c r="B216" s="3"/>
      <c r="C216" s="28"/>
      <c r="D216" s="29"/>
      <c r="E216" s="30"/>
      <c r="F216" s="3"/>
    </row>
    <row r="217" spans="1:6" x14ac:dyDescent="0.25">
      <c r="A217" s="2"/>
      <c r="B217" s="3"/>
      <c r="C217" s="28"/>
      <c r="D217" s="29"/>
      <c r="E217" s="30"/>
      <c r="F217" s="3"/>
    </row>
    <row r="218" spans="1:6" x14ac:dyDescent="0.25">
      <c r="A218" s="2"/>
      <c r="B218" s="3"/>
      <c r="C218" s="28"/>
      <c r="D218" s="29"/>
      <c r="E218" s="30"/>
      <c r="F218" s="3"/>
    </row>
    <row r="219" spans="1:6" x14ac:dyDescent="0.25">
      <c r="A219" s="2"/>
      <c r="B219" s="3"/>
      <c r="C219" s="28"/>
      <c r="D219" s="29"/>
      <c r="E219" s="30"/>
      <c r="F219" s="3"/>
    </row>
    <row r="220" spans="1:6" x14ac:dyDescent="0.25">
      <c r="A220" s="2"/>
      <c r="B220" s="3"/>
      <c r="C220" s="28"/>
      <c r="D220" s="29"/>
      <c r="E220" s="30"/>
      <c r="F220" s="3"/>
    </row>
    <row r="221" spans="1:6" x14ac:dyDescent="0.25">
      <c r="A221" s="2"/>
      <c r="B221" s="3"/>
      <c r="C221" s="28"/>
      <c r="D221" s="29"/>
      <c r="E221" s="30"/>
      <c r="F221" s="3"/>
    </row>
    <row r="222" spans="1:6" x14ac:dyDescent="0.25">
      <c r="A222" s="2"/>
      <c r="B222" s="3"/>
      <c r="C222" s="28"/>
      <c r="D222" s="29"/>
      <c r="E222" s="30"/>
      <c r="F222" s="3"/>
    </row>
    <row r="223" spans="1:6" x14ac:dyDescent="0.25">
      <c r="A223" s="2"/>
      <c r="B223" s="3"/>
      <c r="C223" s="28"/>
      <c r="D223" s="29"/>
      <c r="E223" s="30"/>
      <c r="F223" s="3"/>
    </row>
    <row r="224" spans="1:6" x14ac:dyDescent="0.25">
      <c r="A224" s="2"/>
      <c r="B224" s="3"/>
      <c r="C224" s="28"/>
      <c r="D224" s="29"/>
      <c r="E224" s="30"/>
      <c r="F224" s="3"/>
    </row>
    <row r="225" spans="1:6" x14ac:dyDescent="0.25">
      <c r="A225" s="2"/>
      <c r="B225" s="3"/>
      <c r="C225" s="28"/>
      <c r="D225" s="29"/>
      <c r="E225" s="30"/>
      <c r="F225" s="3"/>
    </row>
    <row r="226" spans="1:6" x14ac:dyDescent="0.25">
      <c r="A226" s="2"/>
      <c r="B226" s="3"/>
      <c r="C226" s="28"/>
      <c r="D226" s="29"/>
      <c r="E226" s="30"/>
      <c r="F226" s="3"/>
    </row>
    <row r="227" spans="1:6" x14ac:dyDescent="0.25">
      <c r="A227" s="2"/>
      <c r="B227" s="3"/>
      <c r="C227" s="28"/>
      <c r="D227" s="29"/>
      <c r="E227" s="30"/>
      <c r="F227" s="3"/>
    </row>
    <row r="228" spans="1:6" x14ac:dyDescent="0.25">
      <c r="A228" s="2"/>
      <c r="B228" s="3"/>
      <c r="C228" s="28"/>
      <c r="D228" s="29"/>
      <c r="E228" s="30"/>
      <c r="F228" s="3"/>
    </row>
    <row r="229" spans="1:6" x14ac:dyDescent="0.25">
      <c r="A229" s="2"/>
      <c r="B229" s="3"/>
      <c r="C229" s="28"/>
      <c r="D229" s="29"/>
      <c r="E229" s="30"/>
      <c r="F229" s="3"/>
    </row>
    <row r="230" spans="1:6" x14ac:dyDescent="0.25">
      <c r="A230" s="2"/>
      <c r="B230" s="3"/>
      <c r="C230" s="28"/>
      <c r="D230" s="29"/>
      <c r="E230" s="30"/>
      <c r="F230" s="3"/>
    </row>
    <row r="231" spans="1:6" x14ac:dyDescent="0.25">
      <c r="A231" s="2"/>
      <c r="B231" s="3"/>
      <c r="C231" s="28"/>
      <c r="D231" s="29"/>
      <c r="E231" s="30"/>
      <c r="F231" s="3"/>
    </row>
    <row r="232" spans="1:6" x14ac:dyDescent="0.25">
      <c r="A232" s="2"/>
      <c r="B232" s="3"/>
      <c r="C232" s="28"/>
      <c r="D232" s="29"/>
      <c r="E232" s="30"/>
      <c r="F232" s="3"/>
    </row>
    <row r="233" spans="1:6" x14ac:dyDescent="0.25">
      <c r="A233" s="2"/>
      <c r="B233" s="3"/>
      <c r="C233" s="28"/>
      <c r="D233" s="29"/>
      <c r="E233" s="30"/>
      <c r="F233" s="3"/>
    </row>
    <row r="234" spans="1:6" x14ac:dyDescent="0.25">
      <c r="A234" s="2"/>
      <c r="B234" s="3"/>
      <c r="C234" s="28"/>
      <c r="D234" s="29"/>
      <c r="E234" s="30"/>
      <c r="F234" s="3"/>
    </row>
    <row r="235" spans="1:6" x14ac:dyDescent="0.25">
      <c r="A235" s="2"/>
      <c r="B235" s="3"/>
      <c r="C235" s="28"/>
      <c r="D235" s="29"/>
      <c r="E235" s="30"/>
      <c r="F235" s="3"/>
    </row>
    <row r="236" spans="1:6" x14ac:dyDescent="0.25">
      <c r="A236" s="2"/>
      <c r="B236" s="3"/>
      <c r="C236" s="28"/>
      <c r="D236" s="29"/>
      <c r="E236" s="30"/>
      <c r="F236" s="3"/>
    </row>
    <row r="237" spans="1:6" x14ac:dyDescent="0.25">
      <c r="A237" s="2"/>
      <c r="B237" s="3"/>
      <c r="C237" s="28"/>
      <c r="D237" s="29"/>
      <c r="E237" s="30"/>
      <c r="F237" s="3"/>
    </row>
    <row r="238" spans="1:6" x14ac:dyDescent="0.25">
      <c r="A238" s="2"/>
      <c r="B238" s="3"/>
      <c r="C238" s="28"/>
      <c r="D238" s="29"/>
      <c r="E238" s="30"/>
      <c r="F238" s="3"/>
    </row>
    <row r="239" spans="1:6" x14ac:dyDescent="0.25">
      <c r="A239" s="2"/>
      <c r="B239" s="3"/>
      <c r="C239" s="28"/>
      <c r="D239" s="29"/>
      <c r="E239" s="30"/>
      <c r="F239" s="3"/>
    </row>
    <row r="240" spans="1:6" x14ac:dyDescent="0.25">
      <c r="A240" s="2"/>
      <c r="B240" s="3"/>
      <c r="C240" s="28"/>
      <c r="D240" s="29"/>
      <c r="E240" s="30"/>
      <c r="F240" s="3"/>
    </row>
    <row r="241" spans="1:6" x14ac:dyDescent="0.25">
      <c r="A241" s="2"/>
      <c r="B241" s="3"/>
      <c r="C241" s="28"/>
      <c r="D241" s="29"/>
      <c r="E241" s="30"/>
      <c r="F241" s="3"/>
    </row>
    <row r="242" spans="1:6" x14ac:dyDescent="0.25">
      <c r="A242" s="2"/>
      <c r="B242" s="3"/>
      <c r="C242" s="28"/>
      <c r="D242" s="29"/>
      <c r="E242" s="30"/>
      <c r="F242" s="3"/>
    </row>
  </sheetData>
  <sortState ref="A8:G93">
    <sortCondition descending="1" ref="D8:D93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9"/>
  <sheetViews>
    <sheetView topLeftCell="A67" workbookViewId="0">
      <selection activeCell="B71" sqref="B7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1118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43127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421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115</v>
      </c>
      <c r="C5" s="22"/>
      <c r="D5" s="22"/>
      <c r="E5" s="22" t="s">
        <v>55</v>
      </c>
      <c r="F5" s="38">
        <f>AVERAGE(C8:C12)*(AVERAGE(D8:D12)/100)</f>
        <v>1.7127654985142335E-2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</v>
      </c>
      <c r="B8" s="3" t="s">
        <v>765</v>
      </c>
      <c r="C8" s="28">
        <f>TIME(0,26,8)</f>
        <v>1.8148148148148146E-2</v>
      </c>
      <c r="D8" s="29">
        <f>INDEX('Points Summary'!$E$4:$E$1143,G8)</f>
        <v>87.331891379066732</v>
      </c>
      <c r="E8" s="30">
        <f t="shared" ref="E8:E39" si="0">(AVERAGE($D$8:$D$12)/100*AVERAGE($C$8:$C$12))/C8</f>
        <v>0.94376874407927158</v>
      </c>
      <c r="F8" s="3"/>
      <c r="G8" s="2">
        <f>MATCH(B8,'Points Summary'!$B$4:$B$1144,0)</f>
        <v>97</v>
      </c>
    </row>
    <row r="9" spans="1:7" x14ac:dyDescent="0.25">
      <c r="A9" s="2">
        <v>1</v>
      </c>
      <c r="B9" s="3" t="s">
        <v>772</v>
      </c>
      <c r="C9" s="28">
        <f>TIME(0,31,58)</f>
        <v>2.2199074074074076E-2</v>
      </c>
      <c r="D9" s="29">
        <f>INDEX('Points Summary'!$E$4:$E$1143,G9)</f>
        <v>83.596812974510229</v>
      </c>
      <c r="E9" s="30">
        <f t="shared" si="0"/>
        <v>0.77154817034217815</v>
      </c>
      <c r="F9" s="3"/>
      <c r="G9" s="2">
        <f>MATCH(B9,'Points Summary'!$B$4:$B$1144,0)</f>
        <v>90</v>
      </c>
    </row>
    <row r="10" spans="1:7" x14ac:dyDescent="0.25">
      <c r="A10" s="2">
        <v>2</v>
      </c>
      <c r="B10" s="3" t="s">
        <v>808</v>
      </c>
      <c r="C10" s="28">
        <f>TIME(0,32,3)</f>
        <v>2.225694444444444E-2</v>
      </c>
      <c r="D10" s="29">
        <f>INDEX('Points Summary'!$E$4:$E$1143,G10)</f>
        <v>80.85754637552489</v>
      </c>
      <c r="E10" s="30">
        <f t="shared" si="0"/>
        <v>0.76954206485506915</v>
      </c>
      <c r="F10" s="3"/>
      <c r="G10" s="2">
        <f>MATCH(B10,'Points Summary'!$B$4:$B$1144,0)</f>
        <v>441</v>
      </c>
    </row>
    <row r="11" spans="1:7" x14ac:dyDescent="0.25">
      <c r="A11" s="2">
        <v>2</v>
      </c>
      <c r="B11" s="3" t="s">
        <v>718</v>
      </c>
      <c r="C11" s="28">
        <f>TIME(0,30,51)</f>
        <v>2.1423611111111112E-2</v>
      </c>
      <c r="D11" s="29">
        <f>INDEX('Points Summary'!$E$4:$E$1143,G11)</f>
        <v>79.950714004385887</v>
      </c>
      <c r="E11" s="30">
        <f t="shared" si="0"/>
        <v>0.79947562977649789</v>
      </c>
      <c r="F11" s="3"/>
      <c r="G11" s="2">
        <f>MATCH(B11,'Points Summary'!$B$4:$B$1144,0)</f>
        <v>305</v>
      </c>
    </row>
    <row r="12" spans="1:7" x14ac:dyDescent="0.25">
      <c r="A12" s="2">
        <v>1</v>
      </c>
      <c r="B12" s="3" t="s">
        <v>9</v>
      </c>
      <c r="C12" s="28">
        <f>TIME(0,29,24)</f>
        <v>2.0416666666666666E-2</v>
      </c>
      <c r="D12" s="29">
        <f>INDEX('Points Summary'!$E$4:$E$1143,G12)</f>
        <v>78.23350033640854</v>
      </c>
      <c r="E12" s="30">
        <f t="shared" si="0"/>
        <v>0.83890555029268576</v>
      </c>
      <c r="F12" s="3"/>
      <c r="G12" s="2">
        <f>MATCH(B12,'Points Summary'!$B$4:$B$1144,0)</f>
        <v>124</v>
      </c>
    </row>
    <row r="13" spans="1:7" x14ac:dyDescent="0.25">
      <c r="A13" s="2">
        <v>2</v>
      </c>
      <c r="B13" s="3" t="s">
        <v>394</v>
      </c>
      <c r="C13" s="28">
        <f>TIME(0,31,28)</f>
        <v>2.1851851851851848E-2</v>
      </c>
      <c r="D13" s="29">
        <f>INDEX('Points Summary'!$E$4:$E$1143,G13)</f>
        <v>75.70114602398391</v>
      </c>
      <c r="E13" s="30">
        <f t="shared" si="0"/>
        <v>0.78380793999803922</v>
      </c>
      <c r="F13" s="3"/>
      <c r="G13" s="2">
        <f>MATCH(B13,'Points Summary'!$B$4:$B$1144,0)</f>
        <v>106</v>
      </c>
    </row>
    <row r="14" spans="1:7" x14ac:dyDescent="0.25">
      <c r="A14" s="2">
        <v>3</v>
      </c>
      <c r="B14" s="3" t="s">
        <v>730</v>
      </c>
      <c r="C14" s="28">
        <f>TIME(0,31,34)</f>
        <v>2.1921296296296296E-2</v>
      </c>
      <c r="D14" s="29">
        <f>INDEX('Points Summary'!$E$4:$E$1143,G14)</f>
        <v>74.709362098004064</v>
      </c>
      <c r="E14" s="30">
        <f t="shared" si="0"/>
        <v>0.78132491590089637</v>
      </c>
      <c r="F14" s="3"/>
      <c r="G14" s="2">
        <f>MATCH(B14,'Points Summary'!$B$4:$B$1144,0)</f>
        <v>355</v>
      </c>
    </row>
    <row r="15" spans="1:7" x14ac:dyDescent="0.25">
      <c r="A15" s="2">
        <v>4</v>
      </c>
      <c r="B15" s="3" t="s">
        <v>729</v>
      </c>
      <c r="C15" s="28">
        <f>TIME(0,31,46)</f>
        <v>2.2060185185185183E-2</v>
      </c>
      <c r="D15" s="29">
        <f>INDEX('Points Summary'!$E$4:$E$1143,G15)</f>
        <v>72.442202338406162</v>
      </c>
      <c r="E15" s="30">
        <f t="shared" si="0"/>
        <v>0.77640576637791081</v>
      </c>
      <c r="F15" s="3"/>
      <c r="G15" s="2">
        <f>MATCH(B15,'Points Summary'!$B$4:$B$1144,0)</f>
        <v>252</v>
      </c>
    </row>
    <row r="16" spans="1:7" x14ac:dyDescent="0.25">
      <c r="A16" s="2">
        <v>2</v>
      </c>
      <c r="B16" s="3" t="s">
        <v>250</v>
      </c>
      <c r="C16" s="28">
        <f>TIME(0,32,28)</f>
        <v>2.2546296296296297E-2</v>
      </c>
      <c r="D16" s="29">
        <f>INDEX('Points Summary'!$E$4:$E$1143,G16)</f>
        <v>70.74923745396147</v>
      </c>
      <c r="E16" s="30">
        <f t="shared" si="0"/>
        <v>0.75966601166134373</v>
      </c>
      <c r="F16" s="3"/>
      <c r="G16" s="2">
        <f>MATCH(B16,'Points Summary'!$B$4:$B$1144,0)</f>
        <v>442</v>
      </c>
    </row>
    <row r="17" spans="1:7" x14ac:dyDescent="0.25">
      <c r="A17" s="2">
        <v>1</v>
      </c>
      <c r="B17" s="3" t="s">
        <v>149</v>
      </c>
      <c r="C17" s="28">
        <f>TIME(0,30,35)</f>
        <v>2.1238425925925924E-2</v>
      </c>
      <c r="D17" s="29">
        <f>INDEX('Points Summary'!$E$4:$E$1143,G17)</f>
        <v>70.603296790545315</v>
      </c>
      <c r="E17" s="30">
        <f t="shared" si="0"/>
        <v>0.80644653445029857</v>
      </c>
      <c r="F17" s="3"/>
      <c r="G17" s="2">
        <f>MATCH(B17,'Points Summary'!$B$4:$B$1144,0)</f>
        <v>195</v>
      </c>
    </row>
    <row r="18" spans="1:7" x14ac:dyDescent="0.25">
      <c r="A18" s="2">
        <v>1</v>
      </c>
      <c r="B18" s="3" t="s">
        <v>150</v>
      </c>
      <c r="C18" s="28">
        <f>TIME(0,34,12)</f>
        <v>2.3750000000000004E-2</v>
      </c>
      <c r="D18" s="29">
        <f>INDEX('Points Summary'!$E$4:$E$1143,G18)</f>
        <v>63.580104613969013</v>
      </c>
      <c r="E18" s="30">
        <f t="shared" si="0"/>
        <v>0.72116442042704554</v>
      </c>
      <c r="F18" s="3"/>
      <c r="G18" s="2">
        <f>MATCH(B18,'Points Summary'!$B$4:$B$1144,0)</f>
        <v>323</v>
      </c>
    </row>
    <row r="19" spans="1:7" x14ac:dyDescent="0.25">
      <c r="A19" s="2">
        <v>3</v>
      </c>
      <c r="B19" s="3" t="s">
        <v>116</v>
      </c>
      <c r="C19" s="28">
        <f>TIME(0,35,9)</f>
        <v>2.4409722222222222E-2</v>
      </c>
      <c r="D19" s="29">
        <f>INDEX('Points Summary'!$E$4:$E$1143,G19)</f>
        <v>63.412418623415896</v>
      </c>
      <c r="E19" s="30">
        <f t="shared" si="0"/>
        <v>0.70167349014523361</v>
      </c>
      <c r="F19" s="3"/>
      <c r="G19" s="2">
        <f>MATCH(B19,'Points Summary'!$B$4:$B$1144,0)</f>
        <v>155</v>
      </c>
    </row>
    <row r="20" spans="1:7" x14ac:dyDescent="0.25">
      <c r="A20" s="2">
        <v>1</v>
      </c>
      <c r="B20" s="3" t="s">
        <v>224</v>
      </c>
      <c r="C20" s="28">
        <f>TIME(0,38,23)</f>
        <v>2.6655092592592591E-2</v>
      </c>
      <c r="D20" s="29">
        <f>INDEX('Points Summary'!$E$4:$E$1143,G20)</f>
        <v>62.293008941503402</v>
      </c>
      <c r="E20" s="30">
        <f t="shared" si="0"/>
        <v>0.64256595341567424</v>
      </c>
      <c r="F20" s="3"/>
      <c r="G20" s="2">
        <f>MATCH(B20,'Points Summary'!$B$4:$B$1144,0)</f>
        <v>102</v>
      </c>
    </row>
    <row r="21" spans="1:7" x14ac:dyDescent="0.25">
      <c r="A21" s="2">
        <v>5</v>
      </c>
      <c r="B21" s="3" t="s">
        <v>757</v>
      </c>
      <c r="C21" s="28">
        <f>TIME(0,43,35)</f>
        <v>3.0266203703703708E-2</v>
      </c>
      <c r="D21" s="29">
        <f>INDEX('Points Summary'!$E$4:$E$1143,G21)</f>
        <v>60.328448077557226</v>
      </c>
      <c r="E21" s="30">
        <f t="shared" si="0"/>
        <v>0.56590034061808703</v>
      </c>
      <c r="F21" s="3"/>
      <c r="G21" s="2">
        <f>MATCH(B21,'Points Summary'!$B$4:$B$1144,0)</f>
        <v>240</v>
      </c>
    </row>
    <row r="22" spans="1:7" x14ac:dyDescent="0.25">
      <c r="A22" s="2">
        <v>3</v>
      </c>
      <c r="B22" s="3" t="s">
        <v>720</v>
      </c>
      <c r="C22" s="28">
        <f>TIME(0,40,3)</f>
        <v>2.78125E-2</v>
      </c>
      <c r="D22" s="29">
        <f>INDEX('Points Summary'!$E$4:$E$1143,G22)</f>
        <v>57.326166620501759</v>
      </c>
      <c r="E22" s="30">
        <f t="shared" si="0"/>
        <v>0.61582579721860076</v>
      </c>
      <c r="F22" s="3"/>
      <c r="G22" s="2">
        <f>MATCH(B22,'Points Summary'!$B$4:$B$1144,0)</f>
        <v>242</v>
      </c>
    </row>
    <row r="23" spans="1:7" x14ac:dyDescent="0.25">
      <c r="A23" s="2">
        <v>2</v>
      </c>
      <c r="B23" s="3" t="s">
        <v>98</v>
      </c>
      <c r="C23" s="28">
        <f>TIME(0,40,2)</f>
        <v>2.7800925925925923E-2</v>
      </c>
      <c r="D23" s="29">
        <f>INDEX('Points Summary'!$E$4:$E$1143,G23)</f>
        <v>57.073595074319748</v>
      </c>
      <c r="E23" s="30">
        <f t="shared" si="0"/>
        <v>0.6160821776504154</v>
      </c>
      <c r="F23" s="3"/>
      <c r="G23" s="2">
        <f>MATCH(B23,'Points Summary'!$B$4:$B$1144,0)</f>
        <v>38</v>
      </c>
    </row>
    <row r="24" spans="1:7" x14ac:dyDescent="0.25">
      <c r="A24" s="2">
        <v>6</v>
      </c>
      <c r="B24" s="3" t="s">
        <v>710</v>
      </c>
      <c r="C24" s="28">
        <f>TIME(0,44,37)</f>
        <v>3.0983796296296297E-2</v>
      </c>
      <c r="D24" s="29">
        <f>INDEX('Points Summary'!$E$4:$E$1143,G24)</f>
        <v>55.346530216192669</v>
      </c>
      <c r="E24" s="30">
        <f t="shared" si="0"/>
        <v>0.55279394498180712</v>
      </c>
      <c r="F24" s="3"/>
      <c r="G24" s="2">
        <f>MATCH(B24,'Points Summary'!$B$4:$B$1144,0)</f>
        <v>351</v>
      </c>
    </row>
    <row r="25" spans="1:7" x14ac:dyDescent="0.25">
      <c r="A25" s="2">
        <v>3</v>
      </c>
      <c r="B25" s="3" t="s">
        <v>902</v>
      </c>
      <c r="C25" s="28">
        <f>TIME(0,39,23)</f>
        <v>2.7349537037037037E-2</v>
      </c>
      <c r="D25" s="29">
        <f>INDEX('Points Summary'!$E$4:$E$1143,G25)</f>
        <v>55.267797279066791</v>
      </c>
      <c r="E25" s="30">
        <f t="shared" si="0"/>
        <v>0.62625027114528042</v>
      </c>
      <c r="F25" s="3"/>
      <c r="G25" s="2">
        <f>MATCH(B25,'Points Summary'!$B$4:$B$1144,0)</f>
        <v>266</v>
      </c>
    </row>
    <row r="26" spans="1:7" x14ac:dyDescent="0.25">
      <c r="A26" s="2">
        <v>12</v>
      </c>
      <c r="B26" s="3" t="s">
        <v>97</v>
      </c>
      <c r="C26" s="28">
        <f>TIME(0,43,16)</f>
        <v>3.0046296296296297E-2</v>
      </c>
      <c r="D26" s="29">
        <f>INDEX('Points Summary'!$E$4:$E$1143,G26)</f>
        <v>54.035970497750959</v>
      </c>
      <c r="E26" s="30">
        <f t="shared" si="0"/>
        <v>0.57004213818039207</v>
      </c>
      <c r="F26" s="3"/>
      <c r="G26" s="2">
        <f>MATCH(B26,'Points Summary'!$B$4:$B$1144,0)</f>
        <v>187</v>
      </c>
    </row>
    <row r="27" spans="1:7" x14ac:dyDescent="0.25">
      <c r="A27" s="2">
        <v>6</v>
      </c>
      <c r="B27" s="3" t="s">
        <v>721</v>
      </c>
      <c r="C27" s="28">
        <f>TIME(0,41,41)</f>
        <v>2.8946759259259255E-2</v>
      </c>
      <c r="D27" s="29">
        <f>INDEX('Points Summary'!$E$4:$E$1143,G27)</f>
        <v>53.722167631725</v>
      </c>
      <c r="E27" s="30">
        <f t="shared" si="0"/>
        <v>0.59169507825521706</v>
      </c>
      <c r="F27" s="3"/>
      <c r="G27" s="2">
        <f>MATCH(B27,'Points Summary'!$B$4:$B$1144,0)</f>
        <v>352</v>
      </c>
    </row>
    <row r="28" spans="1:7" x14ac:dyDescent="0.25">
      <c r="A28" s="2">
        <v>3</v>
      </c>
      <c r="B28" s="3" t="s">
        <v>1159</v>
      </c>
      <c r="C28" s="28">
        <f>TIME(0,42,0)</f>
        <v>2.9166666666666664E-2</v>
      </c>
      <c r="D28" s="29">
        <f>INDEX('Points Summary'!$E$4:$E$1143,G28)</f>
        <v>52.977265574777022</v>
      </c>
      <c r="E28" s="30">
        <f t="shared" si="0"/>
        <v>0.58723388520488007</v>
      </c>
      <c r="F28" s="3"/>
      <c r="G28" s="2">
        <f>MATCH(B28,'Points Summary'!$B$4:$B$1144,0)</f>
        <v>281</v>
      </c>
    </row>
    <row r="29" spans="1:7" x14ac:dyDescent="0.25">
      <c r="A29" s="2">
        <v>2</v>
      </c>
      <c r="B29" s="3" t="s">
        <v>493</v>
      </c>
      <c r="C29" s="28">
        <f>TIME(0,38,7)</f>
        <v>2.6469907407407411E-2</v>
      </c>
      <c r="D29" s="29">
        <f>INDEX('Points Summary'!$E$4:$E$1143,G29)</f>
        <v>52.725599570492811</v>
      </c>
      <c r="E29" s="30">
        <f t="shared" si="0"/>
        <v>0.6470613864085254</v>
      </c>
      <c r="F29" s="3"/>
      <c r="G29" s="2">
        <f>MATCH(B29,'Points Summary'!$B$4:$B$1144,0)</f>
        <v>81</v>
      </c>
    </row>
    <row r="30" spans="1:7" x14ac:dyDescent="0.25">
      <c r="A30" s="2">
        <v>4</v>
      </c>
      <c r="B30" s="3" t="s">
        <v>411</v>
      </c>
      <c r="C30" s="28">
        <f>TIME(0,42,39)</f>
        <v>2.9618055555555554E-2</v>
      </c>
      <c r="D30" s="29">
        <f>INDEX('Points Summary'!$E$4:$E$1143,G30)</f>
        <v>52.571291503624565</v>
      </c>
      <c r="E30" s="30">
        <f t="shared" si="0"/>
        <v>0.57828424803294165</v>
      </c>
      <c r="F30" s="3"/>
      <c r="G30" s="2">
        <f>MATCH(B30,'Points Summary'!$B$4:$B$1144,0)</f>
        <v>395</v>
      </c>
    </row>
    <row r="31" spans="1:7" x14ac:dyDescent="0.25">
      <c r="A31" s="2">
        <v>9</v>
      </c>
      <c r="B31" s="3" t="s">
        <v>1131</v>
      </c>
      <c r="C31" s="28">
        <f>TIME(0,41,33)</f>
        <v>2.8854166666666667E-2</v>
      </c>
      <c r="D31" s="29">
        <f>INDEX('Points Summary'!$E$4:$E$1143,G31)</f>
        <v>52.484524221802282</v>
      </c>
      <c r="E31" s="30">
        <f t="shared" si="0"/>
        <v>0.59359381897966212</v>
      </c>
      <c r="F31" s="3"/>
      <c r="G31" s="2">
        <f>MATCH(B31,'Points Summary'!$B$4:$B$1144,0)</f>
        <v>429</v>
      </c>
    </row>
    <row r="32" spans="1:7" x14ac:dyDescent="0.25">
      <c r="A32" s="2">
        <v>10</v>
      </c>
      <c r="B32" s="3" t="s">
        <v>119</v>
      </c>
      <c r="C32" s="28">
        <f>TIME(0,42,26)</f>
        <v>2.946759259259259E-2</v>
      </c>
      <c r="D32" s="29">
        <f>INDEX('Points Summary'!$E$4:$E$1143,G32)</f>
        <v>52.034414050964813</v>
      </c>
      <c r="E32" s="30">
        <f t="shared" si="0"/>
        <v>0.58123699556806674</v>
      </c>
      <c r="F32" s="3"/>
      <c r="G32" s="2">
        <f>MATCH(B32,'Points Summary'!$B$4:$B$1144,0)</f>
        <v>332</v>
      </c>
    </row>
    <row r="33" spans="1:7" x14ac:dyDescent="0.25">
      <c r="A33" s="2">
        <v>8</v>
      </c>
      <c r="B33" s="3" t="s">
        <v>797</v>
      </c>
      <c r="C33" s="28">
        <f>TIME(0,42,36)</f>
        <v>2.9583333333333336E-2</v>
      </c>
      <c r="D33" s="29">
        <f>INDEX('Points Summary'!$E$4:$E$1143,G33)</f>
        <v>51.877823989586943</v>
      </c>
      <c r="E33" s="30">
        <f t="shared" si="0"/>
        <v>0.57896298541326197</v>
      </c>
      <c r="F33" s="3"/>
      <c r="G33" s="2">
        <f>MATCH(B33,'Points Summary'!$B$4:$B$1144,0)</f>
        <v>181</v>
      </c>
    </row>
    <row r="34" spans="1:7" x14ac:dyDescent="0.25">
      <c r="A34" s="2">
        <v>5</v>
      </c>
      <c r="B34" s="3" t="s">
        <v>914</v>
      </c>
      <c r="C34" s="28">
        <f>TIME(0,43,15)</f>
        <v>3.0034722222222223E-2</v>
      </c>
      <c r="D34" s="29">
        <f>INDEX('Points Summary'!$E$4:$E$1143,G34)</f>
        <v>51.513881346722151</v>
      </c>
      <c r="E34" s="30">
        <f t="shared" si="0"/>
        <v>0.57026180759780254</v>
      </c>
      <c r="F34" s="3"/>
      <c r="G34" s="2">
        <f>MATCH(B34,'Points Summary'!$B$4:$B$1144,0)</f>
        <v>8</v>
      </c>
    </row>
    <row r="35" spans="1:7" x14ac:dyDescent="0.25">
      <c r="A35" s="2">
        <v>4</v>
      </c>
      <c r="B35" s="3" t="s">
        <v>913</v>
      </c>
      <c r="C35" s="28">
        <f>TIME(0,39,34)</f>
        <v>2.7476851851851853E-2</v>
      </c>
      <c r="D35" s="29">
        <f>INDEX('Points Summary'!$E$4:$E$1143,G35)</f>
        <v>51.500741645093136</v>
      </c>
      <c r="E35" s="30">
        <f t="shared" si="0"/>
        <v>0.62334852178445566</v>
      </c>
      <c r="F35" s="3"/>
      <c r="G35" s="2">
        <f>MATCH(B35,'Points Summary'!$B$4:$B$1144,0)</f>
        <v>113</v>
      </c>
    </row>
    <row r="36" spans="1:7" x14ac:dyDescent="0.25">
      <c r="A36" s="2">
        <v>7</v>
      </c>
      <c r="B36" s="3" t="s">
        <v>118</v>
      </c>
      <c r="C36" s="28">
        <f>TIME(0,42,7)</f>
        <v>2.9247685185185186E-2</v>
      </c>
      <c r="D36" s="29">
        <f>INDEX('Points Summary'!$E$4:$E$1143,G36)</f>
        <v>50.672970719908648</v>
      </c>
      <c r="E36" s="30">
        <f t="shared" si="0"/>
        <v>0.58560719854226262</v>
      </c>
      <c r="F36" s="3"/>
      <c r="G36" s="2">
        <f>MATCH(B36,'Points Summary'!$B$4:$B$1144,0)</f>
        <v>37</v>
      </c>
    </row>
    <row r="37" spans="1:7" x14ac:dyDescent="0.25">
      <c r="A37" s="2">
        <v>9</v>
      </c>
      <c r="B37" s="3" t="s">
        <v>401</v>
      </c>
      <c r="C37" s="28">
        <f>TIME(0,44,11)</f>
        <v>3.0682870370370371E-2</v>
      </c>
      <c r="D37" s="29">
        <f>INDEX('Points Summary'!$E$4:$E$1143,G37)</f>
        <v>49.43360583444634</v>
      </c>
      <c r="E37" s="30">
        <f t="shared" si="0"/>
        <v>0.55821553780320543</v>
      </c>
      <c r="F37" s="3"/>
      <c r="G37" s="2">
        <f>MATCH(B37,'Points Summary'!$B$4:$B$1144,0)</f>
        <v>457</v>
      </c>
    </row>
    <row r="38" spans="1:7" x14ac:dyDescent="0.25">
      <c r="A38" s="2">
        <v>14</v>
      </c>
      <c r="B38" s="3" t="s">
        <v>301</v>
      </c>
      <c r="C38" s="28">
        <f>TIME(0,43,54)</f>
        <v>3.0486111111111113E-2</v>
      </c>
      <c r="D38" s="29">
        <f>INDEX('Points Summary'!$E$4:$E$1143,G38)</f>
        <v>49.337749083784765</v>
      </c>
      <c r="E38" s="30">
        <f t="shared" si="0"/>
        <v>0.56181829564020414</v>
      </c>
      <c r="F38" s="3"/>
      <c r="G38" s="2">
        <f>MATCH(B38,'Points Summary'!$B$4:$B$1144,0)</f>
        <v>148</v>
      </c>
    </row>
    <row r="39" spans="1:7" x14ac:dyDescent="0.25">
      <c r="A39" s="2">
        <v>13</v>
      </c>
      <c r="B39" s="3" t="s">
        <v>299</v>
      </c>
      <c r="C39" s="28">
        <f>TIME(0,43,35)</f>
        <v>3.0266203703703708E-2</v>
      </c>
      <c r="D39" s="29">
        <f>INDEX('Points Summary'!$E$4:$E$1143,G39)</f>
        <v>48.774033778538787</v>
      </c>
      <c r="E39" s="30">
        <f t="shared" si="0"/>
        <v>0.56590034061808703</v>
      </c>
      <c r="F39" s="3"/>
      <c r="G39" s="2">
        <f>MATCH(B39,'Points Summary'!$B$4:$B$1144,0)</f>
        <v>280</v>
      </c>
    </row>
    <row r="40" spans="1:7" x14ac:dyDescent="0.25">
      <c r="A40" s="2">
        <v>5</v>
      </c>
      <c r="B40" s="3" t="s">
        <v>300</v>
      </c>
      <c r="C40" s="28">
        <f>TIME(0,41,41)</f>
        <v>2.8946759259259255E-2</v>
      </c>
      <c r="D40" s="29">
        <f>INDEX('Points Summary'!$E$4:$E$1143,G40)</f>
        <v>47.053782402994266</v>
      </c>
      <c r="E40" s="30">
        <f t="shared" ref="E40:E71" si="1">(AVERAGE($D$8:$D$12)/100*AVERAGE($C$8:$C$12))/C40</f>
        <v>0.59169507825521706</v>
      </c>
      <c r="F40" s="3"/>
      <c r="G40" s="2">
        <f>MATCH(B40,'Points Summary'!$B$4:$B$1144,0)</f>
        <v>303</v>
      </c>
    </row>
    <row r="41" spans="1:7" x14ac:dyDescent="0.25">
      <c r="A41" s="2">
        <v>8</v>
      </c>
      <c r="B41" s="3" t="s">
        <v>915</v>
      </c>
      <c r="C41" s="28">
        <f>TIME(0,40,50)</f>
        <v>2.8356481481481483E-2</v>
      </c>
      <c r="D41" s="29">
        <f>INDEX('Points Summary'!$E$4:$E$1143,G41)</f>
        <v>46.805698483503036</v>
      </c>
      <c r="E41" s="30">
        <f t="shared" si="1"/>
        <v>0.60401199621073376</v>
      </c>
      <c r="F41" s="3"/>
      <c r="G41" s="2">
        <f>MATCH(B41,'Points Summary'!$B$4:$B$1144,0)</f>
        <v>68</v>
      </c>
    </row>
    <row r="42" spans="1:7" x14ac:dyDescent="0.25">
      <c r="A42" s="2">
        <v>2</v>
      </c>
      <c r="B42" s="3" t="s">
        <v>918</v>
      </c>
      <c r="C42" s="28">
        <f>TIME(0,32,25)</f>
        <v>2.2511574074074073E-2</v>
      </c>
      <c r="D42" s="29">
        <f>INDEX('Points Summary'!$E$4:$E$1143,G42)</f>
        <v>46.08889444969649</v>
      </c>
      <c r="E42" s="30">
        <f t="shared" si="1"/>
        <v>0.76083773301609148</v>
      </c>
      <c r="F42" s="3"/>
      <c r="G42" s="2">
        <f>MATCH(B42,'Points Summary'!$B$4:$B$1144,0)</f>
        <v>212</v>
      </c>
    </row>
    <row r="43" spans="1:7" x14ac:dyDescent="0.25">
      <c r="A43" s="2">
        <v>15</v>
      </c>
      <c r="B43" s="3" t="s">
        <v>917</v>
      </c>
      <c r="C43" s="28">
        <f>TIME(0,44,10)</f>
        <v>3.0671296296296294E-2</v>
      </c>
      <c r="D43" s="29">
        <f>INDEX('Points Summary'!$E$4:$E$1143,G43)</f>
        <v>45.986216168141205</v>
      </c>
      <c r="E43" s="30">
        <f t="shared" si="1"/>
        <v>0.55842618517596143</v>
      </c>
      <c r="F43" s="3"/>
      <c r="G43" s="2">
        <f>MATCH(B43,'Points Summary'!$B$4:$B$1144,0)</f>
        <v>165</v>
      </c>
    </row>
    <row r="44" spans="1:7" x14ac:dyDescent="0.25">
      <c r="A44" s="2">
        <v>7</v>
      </c>
      <c r="B44" s="3" t="s">
        <v>532</v>
      </c>
      <c r="C44" s="28">
        <f>TIME(0,45,27)</f>
        <v>3.15625E-2</v>
      </c>
      <c r="D44" s="29">
        <f>INDEX('Points Summary'!$E$4:$E$1143,G44)</f>
        <v>45.842153082400259</v>
      </c>
      <c r="E44" s="30">
        <f t="shared" si="1"/>
        <v>0.5426583757668858</v>
      </c>
      <c r="F44" s="3"/>
      <c r="G44" s="2">
        <f>MATCH(B44,'Points Summary'!$B$4:$B$1144,0)</f>
        <v>348</v>
      </c>
    </row>
    <row r="45" spans="1:7" x14ac:dyDescent="0.25">
      <c r="A45" s="2">
        <v>12</v>
      </c>
      <c r="B45" s="3" t="s">
        <v>132</v>
      </c>
      <c r="C45" s="28">
        <f>TIME(0,52,27)</f>
        <v>3.6423611111111115E-2</v>
      </c>
      <c r="D45" s="29">
        <f>INDEX('Points Summary'!$E$4:$E$1143,G45)</f>
        <v>45.438067890189281</v>
      </c>
      <c r="E45" s="30">
        <f t="shared" si="1"/>
        <v>0.47023495097435575</v>
      </c>
      <c r="F45" s="3"/>
      <c r="G45" s="2">
        <f>MATCH(B45,'Points Summary'!$B$4:$B$1144,0)</f>
        <v>398</v>
      </c>
    </row>
    <row r="46" spans="1:7" x14ac:dyDescent="0.25">
      <c r="A46" s="2">
        <v>11</v>
      </c>
      <c r="B46" s="3" t="s">
        <v>1294</v>
      </c>
      <c r="C46" s="28">
        <f>TIME(0,47,46)</f>
        <v>3.3171296296296296E-2</v>
      </c>
      <c r="D46" s="29">
        <f>INDEX('Points Summary'!$E$4:$E$1143,G46)</f>
        <v>45.234917421915668</v>
      </c>
      <c r="E46" s="30">
        <f t="shared" si="1"/>
        <v>0.51633963388565862</v>
      </c>
      <c r="F46" s="3"/>
      <c r="G46" s="2">
        <f>MATCH(B46,'Points Summary'!$B$4:$B$1144,0)</f>
        <v>284</v>
      </c>
    </row>
    <row r="47" spans="1:7" x14ac:dyDescent="0.25">
      <c r="A47" s="2">
        <v>10</v>
      </c>
      <c r="B47" s="3" t="s">
        <v>1142</v>
      </c>
      <c r="C47" s="28">
        <f>TIME(0,47,11)</f>
        <v>3.27662037037037E-2</v>
      </c>
      <c r="D47" s="29">
        <f>INDEX('Points Summary'!$E$4:$E$1143,G47)</f>
        <v>44.502163815680298</v>
      </c>
      <c r="E47" s="30">
        <f t="shared" si="1"/>
        <v>0.52272320406792583</v>
      </c>
      <c r="F47" s="3"/>
      <c r="G47" s="2">
        <f>MATCH(B47,'Points Summary'!$B$4:$B$1144,0)</f>
        <v>1</v>
      </c>
    </row>
    <row r="48" spans="1:7" x14ac:dyDescent="0.25">
      <c r="A48" s="2">
        <v>4</v>
      </c>
      <c r="B48" s="3" t="s">
        <v>773</v>
      </c>
      <c r="C48" s="28">
        <f>TIME(0,49,11)</f>
        <v>3.4155092592592591E-2</v>
      </c>
      <c r="D48" s="29">
        <f>INDEX('Points Summary'!$E$4:$E$1143,G48)</f>
        <v>44.290458705948929</v>
      </c>
      <c r="E48" s="30">
        <f t="shared" si="1"/>
        <v>0.50146709275374379</v>
      </c>
      <c r="F48" s="3"/>
      <c r="G48" s="2">
        <f>MATCH(B48,'Points Summary'!$B$4:$B$1144,0)</f>
        <v>123</v>
      </c>
    </row>
    <row r="49" spans="1:7" x14ac:dyDescent="0.25">
      <c r="A49" s="2">
        <v>9</v>
      </c>
      <c r="B49" s="3" t="s">
        <v>724</v>
      </c>
      <c r="C49" s="28">
        <f>TIME(0,47,7)</f>
        <v>3.2719907407407406E-2</v>
      </c>
      <c r="D49" s="29">
        <f>INDEX('Points Summary'!$E$4:$E$1143,G49)</f>
        <v>43.49732725275247</v>
      </c>
      <c r="E49" s="30">
        <f t="shared" si="1"/>
        <v>0.52346281949639117</v>
      </c>
      <c r="F49" s="3"/>
      <c r="G49" s="2">
        <f>MATCH(B49,'Points Summary'!$B$4:$B$1144,0)</f>
        <v>302</v>
      </c>
    </row>
    <row r="50" spans="1:7" x14ac:dyDescent="0.25">
      <c r="A50" s="2">
        <v>10</v>
      </c>
      <c r="B50" s="3" t="s">
        <v>887</v>
      </c>
      <c r="C50" s="28">
        <f>TIME(0,54,3)</f>
        <v>3.7534722222222219E-2</v>
      </c>
      <c r="D50" s="29">
        <f>INDEX('Points Summary'!$E$4:$E$1143,G50)</f>
        <v>43.084608238540156</v>
      </c>
      <c r="E50" s="30">
        <f t="shared" si="1"/>
        <v>0.45631495242562375</v>
      </c>
      <c r="F50" s="3"/>
      <c r="G50" s="2">
        <f>MATCH(B50,'Points Summary'!$B$4:$B$1144,0)</f>
        <v>65</v>
      </c>
    </row>
    <row r="51" spans="1:7" x14ac:dyDescent="0.25">
      <c r="A51" s="2">
        <v>11</v>
      </c>
      <c r="B51" s="3" t="s">
        <v>452</v>
      </c>
      <c r="C51" s="28">
        <f>TIME(0,51,29)</f>
        <v>3.5752314814814813E-2</v>
      </c>
      <c r="D51" s="29">
        <f>INDEX('Points Summary'!$E$4:$E$1143,G51)</f>
        <v>41.478551768004372</v>
      </c>
      <c r="E51" s="30">
        <f t="shared" si="1"/>
        <v>0.47906422490006401</v>
      </c>
      <c r="F51" s="3"/>
      <c r="G51" s="2">
        <f>MATCH(B51,'Points Summary'!$B$4:$B$1144,0)</f>
        <v>225</v>
      </c>
    </row>
    <row r="52" spans="1:7" x14ac:dyDescent="0.25">
      <c r="A52" s="2">
        <v>4</v>
      </c>
      <c r="B52" s="3" t="s">
        <v>922</v>
      </c>
      <c r="C52" s="28">
        <f>TIME(0,37,0)</f>
        <v>2.5694444444444447E-2</v>
      </c>
      <c r="D52" s="29">
        <f>INDEX('Points Summary'!$E$4:$E$1143,G52)</f>
        <v>40.492629924536757</v>
      </c>
      <c r="E52" s="30">
        <f t="shared" si="1"/>
        <v>0.66658981563797193</v>
      </c>
      <c r="F52" s="3"/>
      <c r="G52" s="2">
        <f>MATCH(B52,'Points Summary'!$B$4:$B$1144,0)</f>
        <v>372</v>
      </c>
    </row>
    <row r="53" spans="1:7" x14ac:dyDescent="0.25">
      <c r="A53" s="2">
        <v>11</v>
      </c>
      <c r="B53" s="3" t="s">
        <v>1147</v>
      </c>
      <c r="C53" s="28">
        <f>TIME(0,46,44)</f>
        <v>3.24537037037037E-2</v>
      </c>
      <c r="D53" s="29">
        <f>INDEX('Points Summary'!$E$4:$E$1143,G53)</f>
        <v>38.388153047362962</v>
      </c>
      <c r="E53" s="30">
        <f t="shared" si="1"/>
        <v>0.52775655874333016</v>
      </c>
      <c r="F53" s="3"/>
      <c r="G53" s="2">
        <f>MATCH(B53,'Points Summary'!$B$4:$B$1144,0)</f>
        <v>362</v>
      </c>
    </row>
    <row r="54" spans="1:7" x14ac:dyDescent="0.25">
      <c r="A54" s="2">
        <v>8</v>
      </c>
      <c r="B54" s="3" t="s">
        <v>1145</v>
      </c>
      <c r="C54" s="28">
        <f>TIME(0,42,12)</f>
        <v>2.9305555555555557E-2</v>
      </c>
      <c r="D54" s="29">
        <f>INDEX('Points Summary'!$E$4:$E$1143,G54)</f>
        <v>35.829740635167489</v>
      </c>
      <c r="E54" s="30">
        <f t="shared" si="1"/>
        <v>0.58445078622286639</v>
      </c>
      <c r="F54" s="3"/>
      <c r="G54" s="2">
        <f>MATCH(B54,'Points Summary'!$B$4:$B$1144,0)</f>
        <v>7</v>
      </c>
    </row>
    <row r="55" spans="1:7" x14ac:dyDescent="0.25">
      <c r="A55" s="2">
        <v>3</v>
      </c>
      <c r="B55" s="3" t="s">
        <v>924</v>
      </c>
      <c r="C55" s="28">
        <f>TIME(0,54,46)</f>
        <v>3.8032407407407411E-2</v>
      </c>
      <c r="D55" s="29">
        <f>INDEX('Points Summary'!$E$4:$E$1143,G55)</f>
        <v>33.693573573651193</v>
      </c>
      <c r="E55" s="30">
        <f t="shared" si="1"/>
        <v>0.45034369772254951</v>
      </c>
      <c r="F55" s="3"/>
      <c r="G55" s="2">
        <f>MATCH(B55,'Points Summary'!$B$4:$B$1144,0)</f>
        <v>46</v>
      </c>
    </row>
    <row r="56" spans="1:7" x14ac:dyDescent="0.25">
      <c r="A56" s="2">
        <v>2</v>
      </c>
      <c r="B56" s="3" t="s">
        <v>925</v>
      </c>
      <c r="C56" s="28">
        <f>TIME(0,48,44)</f>
        <v>3.3842592592592598E-2</v>
      </c>
      <c r="D56" s="29">
        <f>INDEX('Points Summary'!$E$4:$E$1143,G56)</f>
        <v>32.752601332873503</v>
      </c>
      <c r="E56" s="30">
        <f t="shared" si="1"/>
        <v>0.50609760284415095</v>
      </c>
      <c r="F56" s="3"/>
      <c r="G56" s="2">
        <f>MATCH(B56,'Points Summary'!$B$4:$B$1144,0)</f>
        <v>301</v>
      </c>
    </row>
    <row r="57" spans="1:7" x14ac:dyDescent="0.25">
      <c r="A57" s="2">
        <v>13</v>
      </c>
      <c r="B57" s="3" t="s">
        <v>928</v>
      </c>
      <c r="C57" s="28">
        <f>TIME(1,0,1)</f>
        <v>4.1678240740740745E-2</v>
      </c>
      <c r="D57" s="29">
        <f>INDEX('Points Summary'!$E$4:$E$1143,G57)</f>
        <v>28.828514546275404</v>
      </c>
      <c r="E57" s="30">
        <f t="shared" si="1"/>
        <v>0.41094956698591989</v>
      </c>
      <c r="F57" s="3"/>
      <c r="G57" s="2">
        <f>MATCH(B57,'Points Summary'!$B$4:$B$1144,0)</f>
        <v>285</v>
      </c>
    </row>
    <row r="58" spans="1:7" x14ac:dyDescent="0.25">
      <c r="A58" s="2">
        <v>1</v>
      </c>
      <c r="B58" s="3" t="s">
        <v>1055</v>
      </c>
      <c r="C58" s="28">
        <f>TIME(0,31,37)</f>
        <v>2.1956018518518517E-2</v>
      </c>
      <c r="D58" s="29">
        <f>INDEX('Points Summary'!$E$4:$E$1143,G58)</f>
        <v>0</v>
      </c>
      <c r="E58" s="30">
        <f t="shared" si="1"/>
        <v>0.78008929399910265</v>
      </c>
      <c r="F58" s="3"/>
      <c r="G58" s="2">
        <f>MATCH(B58,'Points Summary'!$B$4:$B$1144,0)</f>
        <v>60</v>
      </c>
    </row>
    <row r="59" spans="1:7" x14ac:dyDescent="0.25">
      <c r="A59" s="2">
        <v>1</v>
      </c>
      <c r="B59" s="3" t="s">
        <v>1119</v>
      </c>
      <c r="C59" s="28">
        <f>TIME(0,27,38)</f>
        <v>1.9189814814814816E-2</v>
      </c>
      <c r="D59" s="29">
        <f>INDEX('Points Summary'!$E$4:$E$1143,G59)</f>
        <v>0</v>
      </c>
      <c r="E59" s="30">
        <f t="shared" si="1"/>
        <v>0.89253883637894915</v>
      </c>
      <c r="F59" s="3"/>
      <c r="G59" s="2">
        <f>MATCH(B59,'Points Summary'!$B$4:$B$1144,0)</f>
        <v>349</v>
      </c>
    </row>
    <row r="60" spans="1:7" x14ac:dyDescent="0.25">
      <c r="A60" s="2">
        <v>5</v>
      </c>
      <c r="B60" s="3" t="s">
        <v>1128</v>
      </c>
      <c r="C60" s="28">
        <f>TIME(0,31,55)</f>
        <v>2.2164351851851852E-2</v>
      </c>
      <c r="D60" s="29">
        <f>INDEX('Points Summary'!$E$4:$E$1143,G60)</f>
        <v>0</v>
      </c>
      <c r="E60" s="30">
        <f t="shared" si="1"/>
        <v>0.77275686199284477</v>
      </c>
      <c r="F60" s="3"/>
      <c r="G60" s="2">
        <f>MATCH(B60,'Points Summary'!$B$4:$B$1144,0)</f>
        <v>462</v>
      </c>
    </row>
    <row r="61" spans="1:7" x14ac:dyDescent="0.25">
      <c r="A61" s="2">
        <v>2</v>
      </c>
      <c r="B61" s="3" t="s">
        <v>1127</v>
      </c>
      <c r="C61" s="28">
        <f>TIME(0,35,1)</f>
        <v>2.431712962962963E-2</v>
      </c>
      <c r="D61" s="29">
        <f>INDEX('Points Summary'!$E$4:$E$1143,G61)</f>
        <v>0</v>
      </c>
      <c r="E61" s="30">
        <f t="shared" si="1"/>
        <v>0.70434525974121742</v>
      </c>
      <c r="F61" s="3"/>
      <c r="G61" s="2">
        <f>MATCH(B61,'Points Summary'!$B$4:$B$1144,0)</f>
        <v>254</v>
      </c>
    </row>
    <row r="62" spans="1:7" x14ac:dyDescent="0.25">
      <c r="A62" s="2">
        <v>6</v>
      </c>
      <c r="B62" s="3" t="s">
        <v>1129</v>
      </c>
      <c r="C62" s="28">
        <f>TIME(0,35,36)</f>
        <v>2.4722222222222225E-2</v>
      </c>
      <c r="D62" s="29">
        <f>INDEX('Points Summary'!$E$4:$E$1143,G62)</f>
        <v>0</v>
      </c>
      <c r="E62" s="30">
        <f t="shared" si="1"/>
        <v>0.69280402187092582</v>
      </c>
      <c r="F62" s="3"/>
      <c r="G62" s="2">
        <f>MATCH(B62,'Points Summary'!$B$4:$B$1144,0)</f>
        <v>246</v>
      </c>
    </row>
    <row r="63" spans="1:7" x14ac:dyDescent="0.25">
      <c r="A63" s="2">
        <v>1</v>
      </c>
      <c r="B63" s="3" t="s">
        <v>1124</v>
      </c>
      <c r="C63" s="28">
        <f>TIME(0,32,2)</f>
        <v>2.224537037037037E-2</v>
      </c>
      <c r="D63" s="29">
        <f>INDEX('Points Summary'!$E$4:$E$1143,G63)</f>
        <v>0</v>
      </c>
      <c r="E63" s="30">
        <f t="shared" si="1"/>
        <v>0.76994245094500402</v>
      </c>
      <c r="F63" s="3"/>
      <c r="G63" s="2">
        <f>MATCH(B63,'Points Summary'!$B$4:$B$1144,0)</f>
        <v>22</v>
      </c>
    </row>
    <row r="64" spans="1:7" x14ac:dyDescent="0.25">
      <c r="A64" s="2">
        <v>5</v>
      </c>
      <c r="B64" s="3" t="s">
        <v>1143</v>
      </c>
      <c r="C64" s="28">
        <f>TIME(0,37,55)</f>
        <v>2.6331018518518517E-2</v>
      </c>
      <c r="D64" s="29">
        <f>INDEX('Points Summary'!$E$4:$E$1143,G64)</f>
        <v>0</v>
      </c>
      <c r="E64" s="30">
        <f t="shared" si="1"/>
        <v>0.65047445745771326</v>
      </c>
      <c r="F64" s="3"/>
      <c r="G64" s="2">
        <f>MATCH(B64,'Points Summary'!$B$4:$B$1144,0)</f>
        <v>369</v>
      </c>
    </row>
    <row r="65" spans="1:7" x14ac:dyDescent="0.25">
      <c r="A65" s="2">
        <v>4</v>
      </c>
      <c r="B65" s="3" t="s">
        <v>1122</v>
      </c>
      <c r="C65" s="28">
        <f>TIME(0,41,6)</f>
        <v>2.854166666666667E-2</v>
      </c>
      <c r="D65" s="29">
        <f>INDEX('Points Summary'!$E$4:$E$1143,G65)</f>
        <v>0</v>
      </c>
      <c r="E65" s="30">
        <f t="shared" si="1"/>
        <v>0.60009302137724962</v>
      </c>
      <c r="F65" s="3"/>
      <c r="G65" s="2">
        <f>MATCH(B65,'Points Summary'!$B$4:$B$1144,0)</f>
        <v>381</v>
      </c>
    </row>
    <row r="66" spans="1:7" x14ac:dyDescent="0.25">
      <c r="A66" s="2">
        <v>7</v>
      </c>
      <c r="B66" s="3" t="s">
        <v>1130</v>
      </c>
      <c r="C66" s="28">
        <f>TIME(0,39,36)</f>
        <v>2.75E-2</v>
      </c>
      <c r="D66" s="29">
        <f>INDEX('Points Summary'!$E$4:$E$1143,G66)</f>
        <v>0</v>
      </c>
      <c r="E66" s="30">
        <f t="shared" si="1"/>
        <v>0.62282381764153949</v>
      </c>
      <c r="F66" s="3"/>
      <c r="G66" s="2">
        <f>MATCH(B66,'Points Summary'!$B$4:$B$1144,0)</f>
        <v>306</v>
      </c>
    </row>
    <row r="67" spans="1:7" x14ac:dyDescent="0.25">
      <c r="A67" s="2">
        <v>6</v>
      </c>
      <c r="B67" s="3" t="s">
        <v>1144</v>
      </c>
      <c r="C67" s="28">
        <f>TIME(0,39,21)</f>
        <v>2.732638888888889E-2</v>
      </c>
      <c r="D67" s="29">
        <f>INDEX('Points Summary'!$E$4:$E$1143,G67)</f>
        <v>0</v>
      </c>
      <c r="E67" s="30">
        <f t="shared" si="1"/>
        <v>0.62678076692769913</v>
      </c>
      <c r="F67" s="3"/>
      <c r="G67" s="2">
        <f>MATCH(B67,'Points Summary'!$B$4:$B$1144,0)</f>
        <v>145</v>
      </c>
    </row>
    <row r="68" spans="1:7" x14ac:dyDescent="0.25">
      <c r="A68" s="2">
        <v>11</v>
      </c>
      <c r="B68" s="3" t="s">
        <v>1132</v>
      </c>
      <c r="C68" s="28">
        <f>TIME(0,42,39)</f>
        <v>2.9618055555555554E-2</v>
      </c>
      <c r="D68" s="29">
        <f>INDEX('Points Summary'!$E$4:$E$1143,G68)</f>
        <v>0</v>
      </c>
      <c r="E68" s="30">
        <f t="shared" si="1"/>
        <v>0.57828424803294165</v>
      </c>
      <c r="F68" s="3"/>
      <c r="G68" s="2">
        <f>MATCH(B68,'Points Summary'!$B$4:$B$1144,0)</f>
        <v>327</v>
      </c>
    </row>
    <row r="69" spans="1:7" x14ac:dyDescent="0.25">
      <c r="A69" s="2">
        <v>17</v>
      </c>
      <c r="B69" s="3" t="s">
        <v>1133</v>
      </c>
      <c r="C69" s="28">
        <f>TIME(0,45,29)</f>
        <v>3.1585648148148147E-2</v>
      </c>
      <c r="D69" s="29">
        <f>INDEX('Points Summary'!$E$4:$E$1143,G69)</f>
        <v>0</v>
      </c>
      <c r="E69" s="30">
        <f t="shared" si="1"/>
        <v>0.54226067816647039</v>
      </c>
      <c r="F69" s="3"/>
      <c r="G69" s="2">
        <f>MATCH(B69,'Points Summary'!$B$4:$B$1144,0)</f>
        <v>193</v>
      </c>
    </row>
    <row r="70" spans="1:7" x14ac:dyDescent="0.25">
      <c r="A70" s="2">
        <v>16</v>
      </c>
      <c r="B70" s="3" t="s">
        <v>1134</v>
      </c>
      <c r="C70" s="28">
        <f>TIME(0,45,17)</f>
        <v>3.1446759259259258E-2</v>
      </c>
      <c r="D70" s="29">
        <f>INDEX('Points Summary'!$E$4:$E$1143,G70)</f>
        <v>0</v>
      </c>
      <c r="E70" s="30">
        <f t="shared" si="1"/>
        <v>0.54465564619664986</v>
      </c>
      <c r="F70" s="3"/>
      <c r="G70" s="2">
        <f>MATCH(B70,'Points Summary'!$B$4:$B$1144,0)</f>
        <v>231</v>
      </c>
    </row>
    <row r="71" spans="1:7" x14ac:dyDescent="0.25">
      <c r="A71" s="2">
        <v>7</v>
      </c>
      <c r="B71" s="3" t="s">
        <v>1299</v>
      </c>
      <c r="C71" s="28">
        <f>TIME(0,40,23)</f>
        <v>2.8043981481481479E-2</v>
      </c>
      <c r="D71" s="29">
        <f>INDEX('Points Summary'!$E$4:$E$1143,G71)</f>
        <v>0</v>
      </c>
      <c r="E71" s="30">
        <f t="shared" si="1"/>
        <v>0.61074262926797274</v>
      </c>
      <c r="F71" s="3"/>
      <c r="G71" s="2">
        <f>MATCH(B71,'Points Summary'!$B$4:$B$1144,0)</f>
        <v>216</v>
      </c>
    </row>
    <row r="72" spans="1:7" x14ac:dyDescent="0.25">
      <c r="A72" s="2">
        <v>4</v>
      </c>
      <c r="B72" s="3" t="s">
        <v>1141</v>
      </c>
      <c r="C72" s="28">
        <f>TIME(0,43,35)</f>
        <v>3.0266203703703708E-2</v>
      </c>
      <c r="D72" s="29">
        <f>INDEX('Points Summary'!$E$4:$E$1143,G72)</f>
        <v>0</v>
      </c>
      <c r="E72" s="30">
        <f t="shared" ref="E72:E98" si="2">(AVERAGE($D$8:$D$12)/100*AVERAGE($C$8:$C$12))/C72</f>
        <v>0.56590034061808703</v>
      </c>
      <c r="F72" s="3"/>
      <c r="G72" s="2">
        <f>MATCH(B72,'Points Summary'!$B$4:$B$1144,0)</f>
        <v>450</v>
      </c>
    </row>
    <row r="73" spans="1:7" x14ac:dyDescent="0.25">
      <c r="A73" s="2">
        <v>6</v>
      </c>
      <c r="B73" s="3" t="s">
        <v>727</v>
      </c>
      <c r="C73" s="28">
        <f>TIME(0,48,26)</f>
        <v>3.363425925925926E-2</v>
      </c>
      <c r="D73" s="29">
        <f>INDEX('Points Summary'!$E$4:$E$1143,G73)</f>
        <v>0</v>
      </c>
      <c r="E73" s="30">
        <f t="shared" si="2"/>
        <v>0.50923241249700546</v>
      </c>
      <c r="F73" s="3"/>
      <c r="G73" s="2">
        <f>MATCH(B73,'Points Summary'!$B$4:$B$1144,0)</f>
        <v>197</v>
      </c>
    </row>
    <row r="74" spans="1:7" x14ac:dyDescent="0.25">
      <c r="A74" s="2">
        <v>3</v>
      </c>
      <c r="B74" s="3" t="s">
        <v>1146</v>
      </c>
      <c r="C74" s="28">
        <f>TIME(0,36,50)</f>
        <v>2.5578703703703704E-2</v>
      </c>
      <c r="D74" s="29">
        <f>INDEX('Points Summary'!$E$4:$E$1143,G74)</f>
        <v>0</v>
      </c>
      <c r="E74" s="30">
        <f t="shared" si="2"/>
        <v>0.66960605914764604</v>
      </c>
      <c r="F74" s="3"/>
      <c r="G74" s="2">
        <f>MATCH(B74,'Points Summary'!$B$4:$B$1144,0)</f>
        <v>24</v>
      </c>
    </row>
    <row r="75" spans="1:7" x14ac:dyDescent="0.25">
      <c r="A75" s="2">
        <v>1</v>
      </c>
      <c r="B75" s="3" t="s">
        <v>1157</v>
      </c>
      <c r="C75" s="28">
        <f>TIME(0,42,44)</f>
        <v>2.9675925925925925E-2</v>
      </c>
      <c r="D75" s="29">
        <f>INDEX('Points Summary'!$E$4:$E$1143,G75)</f>
        <v>0</v>
      </c>
      <c r="E75" s="30">
        <f t="shared" si="2"/>
        <v>0.57715654864130184</v>
      </c>
      <c r="F75" s="3"/>
      <c r="G75" s="2">
        <f>MATCH(B75,'Points Summary'!$B$4:$B$1144,0)</f>
        <v>412</v>
      </c>
    </row>
    <row r="76" spans="1:7" x14ac:dyDescent="0.25">
      <c r="A76" s="2">
        <v>12</v>
      </c>
      <c r="B76" s="3" t="s">
        <v>1155</v>
      </c>
      <c r="C76" s="28">
        <f>TIME(0,49,51)</f>
        <v>3.4618055555555555E-2</v>
      </c>
      <c r="D76" s="29">
        <f>INDEX('Points Summary'!$E$4:$E$1143,G76)</f>
        <v>0</v>
      </c>
      <c r="E76" s="30">
        <f t="shared" si="2"/>
        <v>0.49476074580952784</v>
      </c>
      <c r="F76" s="3"/>
      <c r="G76" s="2">
        <f>MATCH(B76,'Points Summary'!$B$4:$B$1144,0)</f>
        <v>62</v>
      </c>
    </row>
    <row r="77" spans="1:7" x14ac:dyDescent="0.25">
      <c r="A77" s="2">
        <v>9</v>
      </c>
      <c r="B77" s="3" t="s">
        <v>1148</v>
      </c>
      <c r="C77" s="28">
        <f>TIME(0,44,3)</f>
        <v>3.0590277777777775E-2</v>
      </c>
      <c r="D77" s="29">
        <f>INDEX('Points Summary'!$E$4:$E$1143,G77)</f>
        <v>0</v>
      </c>
      <c r="E77" s="30">
        <f t="shared" si="2"/>
        <v>0.55990517999103206</v>
      </c>
      <c r="F77" s="3"/>
      <c r="G77" s="2">
        <f>MATCH(B77,'Points Summary'!$B$4:$B$1144,0)</f>
        <v>275</v>
      </c>
    </row>
    <row r="78" spans="1:7" x14ac:dyDescent="0.25">
      <c r="A78" s="2">
        <v>10</v>
      </c>
      <c r="B78" s="3" t="s">
        <v>859</v>
      </c>
      <c r="C78" s="28">
        <f>TIME(0,47,14)</f>
        <v>3.2800925925925928E-2</v>
      </c>
      <c r="D78" s="29">
        <f>INDEX('Points Summary'!$E$4:$E$1143,G78)</f>
        <v>42.726926272293511</v>
      </c>
      <c r="E78" s="30">
        <f t="shared" si="2"/>
        <v>0.52216986263807252</v>
      </c>
      <c r="F78" s="3"/>
      <c r="G78" s="2">
        <f>MATCH(B78,'Points Summary'!$B$4:$B$1144,0)</f>
        <v>100</v>
      </c>
    </row>
    <row r="79" spans="1:7" x14ac:dyDescent="0.25">
      <c r="A79" s="2">
        <v>7</v>
      </c>
      <c r="B79" s="3" t="s">
        <v>1136</v>
      </c>
      <c r="C79" s="28">
        <f>TIME(0,50,24)</f>
        <v>3.4999999999999996E-2</v>
      </c>
      <c r="D79" s="29">
        <f>INDEX('Points Summary'!$E$4:$E$1143,G79)</f>
        <v>0</v>
      </c>
      <c r="E79" s="30">
        <f t="shared" si="2"/>
        <v>0.48936157100406674</v>
      </c>
      <c r="F79" s="3"/>
      <c r="G79" s="2">
        <f>MATCH(B79,'Points Summary'!$B$4:$B$1144,0)</f>
        <v>274</v>
      </c>
    </row>
    <row r="80" spans="1:7" x14ac:dyDescent="0.25">
      <c r="A80" s="2">
        <v>13</v>
      </c>
      <c r="B80" s="3" t="s">
        <v>1156</v>
      </c>
      <c r="C80" s="28">
        <f>TIME(0,54,15)</f>
        <v>3.7673611111111109E-2</v>
      </c>
      <c r="D80" s="29">
        <f>INDEX('Points Summary'!$E$4:$E$1143,G80)</f>
        <v>0</v>
      </c>
      <c r="E80" s="30">
        <f t="shared" si="2"/>
        <v>0.45463268531990714</v>
      </c>
      <c r="F80" s="3"/>
      <c r="G80" s="2">
        <f>MATCH(B80,'Points Summary'!$B$4:$B$1144,0)</f>
        <v>427</v>
      </c>
    </row>
    <row r="81" spans="1:7" x14ac:dyDescent="0.25">
      <c r="A81" s="2">
        <v>10</v>
      </c>
      <c r="B81" s="3" t="s">
        <v>1149</v>
      </c>
      <c r="C81" s="28">
        <f>TIME(0,46,8)</f>
        <v>3.2037037037037037E-2</v>
      </c>
      <c r="D81" s="29">
        <f>INDEX('Points Summary'!$E$4:$E$1143,G81)</f>
        <v>0</v>
      </c>
      <c r="E81" s="30">
        <f t="shared" si="2"/>
        <v>0.53462044462293989</v>
      </c>
      <c r="F81" s="3"/>
      <c r="G81" s="2">
        <f>MATCH(B81,'Points Summary'!$B$4:$B$1144,0)</f>
        <v>116</v>
      </c>
    </row>
    <row r="82" spans="1:7" x14ac:dyDescent="0.25">
      <c r="A82" s="2">
        <v>8</v>
      </c>
      <c r="B82" s="3" t="s">
        <v>129</v>
      </c>
      <c r="C82" s="28">
        <f>TIME(0,46,59)</f>
        <v>3.2627314814814817E-2</v>
      </c>
      <c r="D82" s="29">
        <f>INDEX('Points Summary'!$E$4:$E$1143,G82)</f>
        <v>0</v>
      </c>
      <c r="E82" s="30">
        <f t="shared" si="2"/>
        <v>0.52494834718563232</v>
      </c>
      <c r="F82" s="3"/>
      <c r="G82" s="2">
        <f>MATCH(B82,'Points Summary'!$B$4:$B$1144,0)</f>
        <v>243</v>
      </c>
    </row>
    <row r="83" spans="1:7" x14ac:dyDescent="0.25">
      <c r="A83" s="2">
        <v>11</v>
      </c>
      <c r="B83" s="3" t="s">
        <v>1150</v>
      </c>
      <c r="C83" s="28">
        <f>TIME(0,46,44)</f>
        <v>3.24537037037037E-2</v>
      </c>
      <c r="D83" s="29">
        <f>INDEX('Points Summary'!$E$4:$E$1143,G83)</f>
        <v>0</v>
      </c>
      <c r="E83" s="30">
        <f t="shared" si="2"/>
        <v>0.52775655874333016</v>
      </c>
      <c r="F83" s="3"/>
      <c r="G83" s="2">
        <f>MATCH(B83,'Points Summary'!$B$4:$B$1144,0)</f>
        <v>341</v>
      </c>
    </row>
    <row r="84" spans="1:7" x14ac:dyDescent="0.25">
      <c r="A84" s="2">
        <v>2</v>
      </c>
      <c r="B84" s="3" t="s">
        <v>1125</v>
      </c>
      <c r="C84" s="28">
        <f>TIME(0,44,29)</f>
        <v>3.0891203703703702E-2</v>
      </c>
      <c r="D84" s="29">
        <f>INDEX('Points Summary'!$E$4:$E$1143,G84)</f>
        <v>0</v>
      </c>
      <c r="E84" s="30">
        <f t="shared" si="2"/>
        <v>0.55445087700123563</v>
      </c>
      <c r="F84" s="3"/>
      <c r="G84" s="2">
        <f>MATCH(B84,'Points Summary'!$B$4:$B$1144,0)</f>
        <v>399</v>
      </c>
    </row>
    <row r="85" spans="1:7" x14ac:dyDescent="0.25">
      <c r="A85" s="2">
        <v>5</v>
      </c>
      <c r="B85" s="3" t="s">
        <v>1123</v>
      </c>
      <c r="C85" s="28">
        <f>TIME(0,54,56)</f>
        <v>3.8148148148148146E-2</v>
      </c>
      <c r="D85" s="29">
        <f>INDEX('Points Summary'!$E$4:$E$1143,G85)</f>
        <v>0</v>
      </c>
      <c r="E85" s="30">
        <f t="shared" si="2"/>
        <v>0.44897736368819713</v>
      </c>
      <c r="F85" s="3"/>
      <c r="G85" s="2">
        <f>MATCH(B85,'Points Summary'!$B$4:$B$1144,0)</f>
        <v>178</v>
      </c>
    </row>
    <row r="86" spans="1:7" x14ac:dyDescent="0.25">
      <c r="A86" s="2">
        <v>15</v>
      </c>
      <c r="B86" s="3" t="s">
        <v>1151</v>
      </c>
      <c r="C86" s="28">
        <f>TIME(0,55,17)</f>
        <v>3.8391203703703698E-2</v>
      </c>
      <c r="D86" s="29">
        <f>INDEX('Points Summary'!$E$4:$E$1143,G86)</f>
        <v>0</v>
      </c>
      <c r="E86" s="30">
        <f t="shared" si="2"/>
        <v>0.44613487811766595</v>
      </c>
      <c r="F86" s="3"/>
      <c r="G86" s="2">
        <f>MATCH(B86,'Points Summary'!$B$4:$B$1144,0)</f>
        <v>75</v>
      </c>
    </row>
    <row r="87" spans="1:7" x14ac:dyDescent="0.25">
      <c r="A87" s="2">
        <v>13</v>
      </c>
      <c r="B87" s="3" t="s">
        <v>1152</v>
      </c>
      <c r="C87" s="28">
        <f>TIME(0,50,23)</f>
        <v>3.498842592592593E-2</v>
      </c>
      <c r="D87" s="29">
        <f>INDEX('Points Summary'!$E$4:$E$1143,G87)</f>
        <v>0</v>
      </c>
      <c r="E87" s="30">
        <f t="shared" si="2"/>
        <v>0.48952345045196743</v>
      </c>
      <c r="F87" s="3"/>
      <c r="G87" s="2">
        <f>MATCH(B87,'Points Summary'!$B$4:$B$1144,0)</f>
        <v>387</v>
      </c>
    </row>
    <row r="88" spans="1:7" x14ac:dyDescent="0.25">
      <c r="A88" s="2">
        <v>8</v>
      </c>
      <c r="B88" s="3" t="s">
        <v>1137</v>
      </c>
      <c r="C88" s="28">
        <f>TIME(0,51,21)</f>
        <v>3.5659722222222225E-2</v>
      </c>
      <c r="D88" s="29">
        <f>INDEX('Points Summary'!$E$4:$E$1143,G88)</f>
        <v>0</v>
      </c>
      <c r="E88" s="30">
        <f t="shared" si="2"/>
        <v>0.48030814369240432</v>
      </c>
      <c r="F88" s="3"/>
      <c r="G88" s="2">
        <f>MATCH(B88,'Points Summary'!$B$4:$B$1144,0)</f>
        <v>112</v>
      </c>
    </row>
    <row r="89" spans="1:7" x14ac:dyDescent="0.25">
      <c r="A89" s="2">
        <v>4</v>
      </c>
      <c r="B89" s="3" t="s">
        <v>1135</v>
      </c>
      <c r="C89" s="28">
        <f>TIME(0,55,55)</f>
        <v>3.8831018518518515E-2</v>
      </c>
      <c r="D89" s="29">
        <f>INDEX('Points Summary'!$E$4:$E$1143,G89)</f>
        <v>0</v>
      </c>
      <c r="E89" s="30">
        <f t="shared" si="2"/>
        <v>0.44108178560843453</v>
      </c>
      <c r="F89" s="3"/>
      <c r="G89" s="2">
        <f>MATCH(B89,'Points Summary'!$B$4:$B$1144,0)</f>
        <v>153</v>
      </c>
    </row>
    <row r="90" spans="1:7" x14ac:dyDescent="0.25">
      <c r="A90" s="2">
        <v>14</v>
      </c>
      <c r="B90" s="3" t="s">
        <v>1138</v>
      </c>
      <c r="C90" s="28">
        <f>TIME(1,1,0)</f>
        <v>4.2361111111111106E-2</v>
      </c>
      <c r="D90" s="29">
        <f>INDEX('Points Summary'!$E$4:$E$1143,G90)</f>
        <v>0</v>
      </c>
      <c r="E90" s="30">
        <f t="shared" si="2"/>
        <v>0.404324970141065</v>
      </c>
      <c r="F90" s="3"/>
      <c r="G90" s="2">
        <f>MATCH(B90,'Points Summary'!$B$4:$B$1144,0)</f>
        <v>121</v>
      </c>
    </row>
    <row r="91" spans="1:7" x14ac:dyDescent="0.25">
      <c r="A91" s="2">
        <v>11</v>
      </c>
      <c r="B91" s="3" t="s">
        <v>1139</v>
      </c>
      <c r="C91" s="28">
        <f>TIME(0,58,54)</f>
        <v>4.0902777777777781E-2</v>
      </c>
      <c r="D91" s="29">
        <f>INDEX('Points Summary'!$E$4:$E$1143,G91)</f>
        <v>0</v>
      </c>
      <c r="E91" s="30">
        <f t="shared" si="2"/>
        <v>0.41874063121570393</v>
      </c>
      <c r="F91" s="3"/>
      <c r="G91" s="2">
        <f>MATCH(B91,'Points Summary'!$B$4:$B$1144,0)</f>
        <v>283</v>
      </c>
    </row>
    <row r="92" spans="1:7" x14ac:dyDescent="0.25">
      <c r="A92" s="2">
        <v>14</v>
      </c>
      <c r="B92" s="3" t="s">
        <v>1153</v>
      </c>
      <c r="C92" s="28">
        <f>TIME(0,54,9)</f>
        <v>3.7604166666666668E-2</v>
      </c>
      <c r="D92" s="29">
        <f>INDEX('Points Summary'!$E$4:$E$1143,G92)</f>
        <v>0</v>
      </c>
      <c r="E92" s="30">
        <f t="shared" si="2"/>
        <v>0.45547226553287096</v>
      </c>
      <c r="F92" s="3"/>
      <c r="G92" s="2">
        <f>MATCH(B92,'Points Summary'!$B$4:$B$1144,0)</f>
        <v>414</v>
      </c>
    </row>
    <row r="93" spans="1:7" x14ac:dyDescent="0.25">
      <c r="A93" s="2">
        <v>3</v>
      </c>
      <c r="B93" s="3" t="s">
        <v>1126</v>
      </c>
      <c r="C93" s="28">
        <f>TIME(0,59,56)</f>
        <v>4.162037037037037E-2</v>
      </c>
      <c r="D93" s="29">
        <f>INDEX('Points Summary'!$E$4:$E$1143,G93)</f>
        <v>0</v>
      </c>
      <c r="E93" s="30">
        <f t="shared" si="2"/>
        <v>0.41152096516026077</v>
      </c>
      <c r="F93" s="3"/>
      <c r="G93" s="2">
        <f>MATCH(B93,'Points Summary'!$B$4:$B$1144,0)</f>
        <v>434</v>
      </c>
    </row>
    <row r="94" spans="1:7" x14ac:dyDescent="0.25">
      <c r="A94" s="2">
        <v>12</v>
      </c>
      <c r="B94" s="3" t="s">
        <v>1140</v>
      </c>
      <c r="C94" s="28">
        <f>TIME(0,58,58)</f>
        <v>4.0949074074074075E-2</v>
      </c>
      <c r="D94" s="29">
        <f>INDEX('Points Summary'!$E$4:$E$1143,G94)</f>
        <v>0</v>
      </c>
      <c r="E94" s="30">
        <f t="shared" si="2"/>
        <v>0.41826721049075682</v>
      </c>
      <c r="F94" s="3"/>
      <c r="G94" s="2">
        <f>MATCH(B94,'Points Summary'!$B$4:$B$1144,0)</f>
        <v>375</v>
      </c>
    </row>
    <row r="95" spans="1:7" x14ac:dyDescent="0.25">
      <c r="A95" s="2">
        <v>16</v>
      </c>
      <c r="B95" s="3" t="s">
        <v>1154</v>
      </c>
      <c r="C95" s="28">
        <f>TIME(1,10,9)</f>
        <v>4.8715277777777781E-2</v>
      </c>
      <c r="D95" s="29">
        <f>INDEX('Points Summary'!$E$4:$E$1143,G95)</f>
        <v>0</v>
      </c>
      <c r="E95" s="30">
        <f t="shared" si="2"/>
        <v>0.35158693055744777</v>
      </c>
      <c r="F95" s="3"/>
      <c r="G95" s="2">
        <f>MATCH(B95,'Points Summary'!$B$4:$B$1144,0)</f>
        <v>157</v>
      </c>
    </row>
    <row r="96" spans="1:7" x14ac:dyDescent="0.25">
      <c r="A96" s="2">
        <v>10</v>
      </c>
      <c r="B96" s="3" t="s">
        <v>929</v>
      </c>
      <c r="C96" s="28">
        <f>TIME(0,55,29)</f>
        <v>3.8530092592592595E-2</v>
      </c>
      <c r="D96" s="29">
        <f>INDEX('Points Summary'!$E$4:$E$1143,G96)</f>
        <v>29.450581986879591</v>
      </c>
      <c r="E96" s="30">
        <f t="shared" si="2"/>
        <v>0.44452670192739491</v>
      </c>
      <c r="F96" s="3"/>
      <c r="G96" s="2">
        <f>MATCH(B96,'Points Summary'!$B$4:$B$1144,0)</f>
        <v>108</v>
      </c>
    </row>
    <row r="97" spans="1:7" x14ac:dyDescent="0.25">
      <c r="A97" s="2">
        <v>5</v>
      </c>
      <c r="B97" s="3" t="s">
        <v>1112</v>
      </c>
      <c r="C97" s="28">
        <f>TIME(0,53,38)</f>
        <v>3.7245370370370366E-2</v>
      </c>
      <c r="D97" s="29">
        <f>INDEX('Points Summary'!$E$4:$E$1143,G97)</f>
        <v>0</v>
      </c>
      <c r="E97" s="30">
        <f t="shared" si="2"/>
        <v>0.45985997225490921</v>
      </c>
      <c r="F97" s="3"/>
      <c r="G97" s="2">
        <f>MATCH(B97,'Points Summary'!$B$4:$B$1144,0)</f>
        <v>194</v>
      </c>
    </row>
    <row r="98" spans="1:7" x14ac:dyDescent="0.25">
      <c r="A98" s="2">
        <v>17</v>
      </c>
      <c r="B98" s="3" t="s">
        <v>1158</v>
      </c>
      <c r="C98" s="28">
        <f>TIME(1,26,32)</f>
        <v>6.0092592592592593E-2</v>
      </c>
      <c r="D98" s="29">
        <f>INDEX('Points Summary'!$E$4:$E$1143,G98)</f>
        <v>0</v>
      </c>
      <c r="E98" s="30">
        <f t="shared" si="2"/>
        <v>0.28502106909019603</v>
      </c>
      <c r="F98" s="3"/>
      <c r="G98" s="2">
        <f>MATCH(B98,'Points Summary'!$B$4:$B$1144,0)</f>
        <v>224</v>
      </c>
    </row>
    <row r="99" spans="1:7" x14ac:dyDescent="0.25">
      <c r="A99" s="2"/>
      <c r="B99" s="3"/>
      <c r="C99" s="28"/>
      <c r="D99" s="29"/>
      <c r="E99" s="30"/>
      <c r="F99" s="3"/>
      <c r="G99" s="2"/>
    </row>
    <row r="100" spans="1:7" x14ac:dyDescent="0.25">
      <c r="A100" s="2"/>
      <c r="B100" s="3"/>
      <c r="C100" s="28"/>
      <c r="D100" s="29"/>
      <c r="E100" s="30"/>
      <c r="F100" s="3"/>
      <c r="G100" s="2"/>
    </row>
    <row r="101" spans="1:7" x14ac:dyDescent="0.25">
      <c r="A101" s="2"/>
      <c r="B101" s="3"/>
      <c r="C101" s="28"/>
      <c r="D101" s="29"/>
      <c r="E101" s="30"/>
      <c r="F101" s="3"/>
      <c r="G101" s="2"/>
    </row>
    <row r="102" spans="1:7" x14ac:dyDescent="0.25">
      <c r="A102" s="2"/>
      <c r="B102" s="3"/>
      <c r="C102" s="28"/>
      <c r="D102" s="29"/>
      <c r="E102" s="30"/>
      <c r="F102" s="3"/>
      <c r="G102" s="2"/>
    </row>
    <row r="103" spans="1:7" x14ac:dyDescent="0.25">
      <c r="A103" s="2"/>
      <c r="B103" s="3"/>
      <c r="C103" s="28"/>
      <c r="D103" s="29"/>
      <c r="E103" s="30"/>
      <c r="F103" s="3"/>
      <c r="G103" s="2"/>
    </row>
    <row r="104" spans="1:7" x14ac:dyDescent="0.25">
      <c r="A104" s="2"/>
      <c r="B104" s="3"/>
      <c r="C104" s="28"/>
      <c r="D104" s="29"/>
      <c r="E104" s="30"/>
      <c r="F104" s="3"/>
      <c r="G104" s="2"/>
    </row>
    <row r="105" spans="1:7" x14ac:dyDescent="0.25">
      <c r="A105" s="2"/>
      <c r="B105" s="3"/>
      <c r="C105" s="28"/>
      <c r="D105" s="29"/>
      <c r="E105" s="30"/>
      <c r="F105" s="3"/>
      <c r="G105" s="2"/>
    </row>
    <row r="106" spans="1:7" x14ac:dyDescent="0.25">
      <c r="A106" s="2"/>
      <c r="B106" s="3"/>
      <c r="C106" s="28"/>
      <c r="D106" s="29"/>
      <c r="E106" s="30"/>
      <c r="F106" s="3"/>
      <c r="G106" s="2"/>
    </row>
    <row r="107" spans="1:7" x14ac:dyDescent="0.25">
      <c r="A107" s="2"/>
      <c r="B107" s="3"/>
      <c r="C107" s="28"/>
      <c r="D107" s="29"/>
      <c r="E107" s="30"/>
      <c r="F107" s="3"/>
      <c r="G107" s="2"/>
    </row>
    <row r="108" spans="1:7" x14ac:dyDescent="0.25">
      <c r="A108" s="2"/>
      <c r="B108" s="3"/>
      <c r="C108" s="28"/>
      <c r="D108" s="29"/>
      <c r="E108" s="30"/>
      <c r="F108" s="3"/>
      <c r="G108" s="2"/>
    </row>
    <row r="109" spans="1:7" x14ac:dyDescent="0.25">
      <c r="A109" s="2"/>
      <c r="B109" s="3"/>
      <c r="C109" s="28"/>
      <c r="D109" s="29"/>
      <c r="E109" s="30"/>
      <c r="F109" s="3"/>
      <c r="G109" s="2"/>
    </row>
  </sheetData>
  <sortState ref="A8:G98">
    <sortCondition descending="1" ref="D8:D98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2018 Race Points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topLeftCell="A4" workbookViewId="0">
      <selection activeCell="B18" sqref="B18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11" x14ac:dyDescent="0.25">
      <c r="A1" s="16" t="s">
        <v>22</v>
      </c>
      <c r="B1" s="17" t="s">
        <v>1160</v>
      </c>
      <c r="C1" s="18"/>
      <c r="D1" s="18"/>
      <c r="E1" s="18"/>
      <c r="F1" s="18"/>
      <c r="G1" s="19"/>
    </row>
    <row r="2" spans="1:11" x14ac:dyDescent="0.25">
      <c r="A2" s="20" t="s">
        <v>23</v>
      </c>
      <c r="B2" s="21">
        <v>43134</v>
      </c>
      <c r="C2" s="22"/>
      <c r="D2" s="22"/>
      <c r="E2" s="22"/>
      <c r="F2" s="22"/>
      <c r="G2" s="23"/>
    </row>
    <row r="3" spans="1:11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11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11" x14ac:dyDescent="0.25">
      <c r="A5" s="20" t="s">
        <v>27</v>
      </c>
      <c r="B5" s="24" t="s">
        <v>531</v>
      </c>
      <c r="C5" s="22"/>
      <c r="D5" s="22"/>
      <c r="E5" s="22" t="s">
        <v>55</v>
      </c>
      <c r="F5" s="38">
        <f>AVERAGE(C8:C12)*(AVERAGE(D8:D12)/100)</f>
        <v>1.2681976061815575E-2</v>
      </c>
      <c r="G5" s="23"/>
    </row>
    <row r="6" spans="1:11" x14ac:dyDescent="0.25">
      <c r="A6" s="25" t="s">
        <v>29</v>
      </c>
      <c r="B6" s="26"/>
      <c r="C6" s="26"/>
      <c r="D6" s="26"/>
      <c r="E6" s="26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11" x14ac:dyDescent="0.25">
      <c r="A8" s="2">
        <v>1</v>
      </c>
      <c r="B8" s="3" t="s">
        <v>292</v>
      </c>
      <c r="C8" s="28">
        <f>TIME(0,20,39)</f>
        <v>1.4340277777777776E-2</v>
      </c>
      <c r="D8" s="29">
        <f>INDEX('Points Summary'!$F$4:$F$1143,G8)</f>
        <v>87.317796744326898</v>
      </c>
      <c r="E8" s="124">
        <f t="shared" ref="E8:E29" si="0">(AVERAGE($D$8:$D$12)/100*AVERAGE($C$8:$C$12))/C8</f>
        <v>0.88436055830578353</v>
      </c>
      <c r="F8" s="3"/>
      <c r="G8" s="2">
        <f>MATCH(B8,'Points Summary'!$B$4:$B$1144,0)</f>
        <v>182</v>
      </c>
      <c r="I8" s="118"/>
      <c r="K8" s="44"/>
    </row>
    <row r="9" spans="1:11" x14ac:dyDescent="0.25">
      <c r="A9" s="2">
        <v>1</v>
      </c>
      <c r="B9" s="3" t="s">
        <v>9</v>
      </c>
      <c r="C9" s="28">
        <f>TIME(0,21,25)</f>
        <v>1.4872685185185185E-2</v>
      </c>
      <c r="D9" s="29">
        <f>INDEX('Points Summary'!$F$4:$F$1143,G9)</f>
        <v>81.414794603727941</v>
      </c>
      <c r="E9" s="124">
        <f t="shared" si="0"/>
        <v>0.8527025149734363</v>
      </c>
      <c r="F9" s="3"/>
      <c r="G9" s="2">
        <f>MATCH(B9,'Points Summary'!$B$4:$B$1144,0)</f>
        <v>124</v>
      </c>
      <c r="I9" s="118"/>
      <c r="K9" s="44"/>
    </row>
    <row r="10" spans="1:11" x14ac:dyDescent="0.25">
      <c r="A10" s="2">
        <v>3</v>
      </c>
      <c r="B10" s="3" t="s">
        <v>733</v>
      </c>
      <c r="C10" s="28">
        <f>TIME(0,27,39)</f>
        <v>1.9201388888888889E-2</v>
      </c>
      <c r="D10" s="29">
        <f>INDEX('Points Summary'!$F$4:$F$1143,G10)</f>
        <v>66.595123596656933</v>
      </c>
      <c r="E10" s="124">
        <f t="shared" si="0"/>
        <v>0.66047180936761041</v>
      </c>
      <c r="F10" s="3"/>
      <c r="G10" s="2">
        <f>MATCH(B10,'Points Summary'!$B$4:$B$1144,0)</f>
        <v>33</v>
      </c>
      <c r="I10" s="118"/>
      <c r="K10" s="44"/>
    </row>
    <row r="11" spans="1:11" x14ac:dyDescent="0.25">
      <c r="A11" s="2">
        <v>1</v>
      </c>
      <c r="B11" s="3" t="s">
        <v>11</v>
      </c>
      <c r="C11" s="28">
        <f>TIME(0,26,33)</f>
        <v>1.8437499999999999E-2</v>
      </c>
      <c r="D11" s="29">
        <f>INDEX('Points Summary'!$F$4:$F$1143,G11)</f>
        <v>67.873704983306368</v>
      </c>
      <c r="E11" s="124">
        <f t="shared" si="0"/>
        <v>0.68783598979338711</v>
      </c>
      <c r="F11" s="3"/>
      <c r="G11" s="2">
        <f>MATCH(B11,'Points Summary'!$B$4:$B$1144,0)</f>
        <v>426</v>
      </c>
      <c r="I11" s="118"/>
      <c r="K11" s="44"/>
    </row>
    <row r="12" spans="1:11" x14ac:dyDescent="0.25">
      <c r="A12" s="2">
        <v>3</v>
      </c>
      <c r="B12" s="3" t="s">
        <v>13</v>
      </c>
      <c r="C12" s="28">
        <f>TIME(0,27,41)</f>
        <v>1.9224537037037037E-2</v>
      </c>
      <c r="D12" s="29">
        <f>INDEX('Points Summary'!$F$4:$F$1143,G12)</f>
        <v>65.133504013378101</v>
      </c>
      <c r="E12" s="124">
        <f t="shared" si="0"/>
        <v>0.6596765392780648</v>
      </c>
      <c r="F12" s="3"/>
      <c r="G12" s="2">
        <f>MATCH(B12,'Points Summary'!$B$4:$B$1144,0)</f>
        <v>184</v>
      </c>
    </row>
    <row r="13" spans="1:11" x14ac:dyDescent="0.25">
      <c r="A13" s="2">
        <v>4</v>
      </c>
      <c r="B13" s="3" t="s">
        <v>398</v>
      </c>
      <c r="C13" s="28">
        <f>TIME(0,29,2)</f>
        <v>2.0162037037037037E-2</v>
      </c>
      <c r="D13" s="29">
        <f>INDEX('Points Summary'!$F$4:$F$1143,G13)</f>
        <v>62.171754655505893</v>
      </c>
      <c r="E13" s="124">
        <f t="shared" si="0"/>
        <v>0.62900271626915361</v>
      </c>
      <c r="F13" s="3"/>
      <c r="G13" s="2">
        <f>MATCH(B13,'Points Summary'!$B$4:$B$1144,0)</f>
        <v>119</v>
      </c>
    </row>
    <row r="14" spans="1:11" x14ac:dyDescent="0.25">
      <c r="A14" s="2">
        <v>4</v>
      </c>
      <c r="B14" s="3" t="s">
        <v>81</v>
      </c>
      <c r="C14" s="28">
        <f>TIME(0,28,0)</f>
        <v>1.9444444444444445E-2</v>
      </c>
      <c r="D14" s="29">
        <f>INDEX('Points Summary'!$F$4:$F$1143,G14)</f>
        <v>62.768852945054114</v>
      </c>
      <c r="E14" s="124">
        <f t="shared" si="0"/>
        <v>0.6522159117505153</v>
      </c>
      <c r="F14" s="3"/>
      <c r="G14" s="2">
        <f>MATCH(B14,'Points Summary'!$B$4:$B$1144,0)</f>
        <v>373</v>
      </c>
    </row>
    <row r="15" spans="1:11" x14ac:dyDescent="0.25">
      <c r="A15" s="2">
        <v>2</v>
      </c>
      <c r="B15" s="3" t="s">
        <v>108</v>
      </c>
      <c r="C15" s="28">
        <f>TIME(0,25,59)</f>
        <v>1.8043981481481484E-2</v>
      </c>
      <c r="D15" s="29">
        <f>INDEX('Points Summary'!$F$4:$F$1143,G15)</f>
        <v>61.392615547752236</v>
      </c>
      <c r="E15" s="124">
        <f t="shared" si="0"/>
        <v>0.702836902976822</v>
      </c>
      <c r="F15" s="3"/>
      <c r="G15" s="2">
        <f>MATCH(B15,'Points Summary'!$B$4:$B$1144,0)</f>
        <v>48</v>
      </c>
    </row>
    <row r="16" spans="1:11" x14ac:dyDescent="0.25">
      <c r="A16" s="2">
        <v>5</v>
      </c>
      <c r="B16" s="3" t="s">
        <v>145</v>
      </c>
      <c r="C16" s="28">
        <f>TIME(0,29,49)</f>
        <v>2.0706018518518519E-2</v>
      </c>
      <c r="D16" s="29">
        <f>INDEX('Points Summary'!$F$4:$F$1143,G16)</f>
        <v>58.80339108596209</v>
      </c>
      <c r="E16" s="124">
        <f t="shared" si="0"/>
        <v>0.61247777067683939</v>
      </c>
      <c r="F16" s="3"/>
      <c r="G16" s="2">
        <f>MATCH(B16,'Points Summary'!$B$4:$B$1144,0)</f>
        <v>447</v>
      </c>
    </row>
    <row r="17" spans="1:7" x14ac:dyDescent="0.25">
      <c r="A17" s="2">
        <v>2</v>
      </c>
      <c r="B17" s="3" t="s">
        <v>430</v>
      </c>
      <c r="C17" s="28">
        <f>TIME(0,30,39)</f>
        <v>2.1284722222222222E-2</v>
      </c>
      <c r="D17" s="29">
        <f>INDEX('Points Summary'!$F$4:$F$1143,G17)</f>
        <v>56.644741897495145</v>
      </c>
      <c r="E17" s="124">
        <f t="shared" si="0"/>
        <v>0.59582530274109058</v>
      </c>
      <c r="F17" s="3"/>
      <c r="G17" s="2">
        <f>MATCH(B17,'Points Summary'!$B$4:$B$1144,0)</f>
        <v>67</v>
      </c>
    </row>
    <row r="18" spans="1:7" x14ac:dyDescent="0.25">
      <c r="A18" s="2">
        <v>10</v>
      </c>
      <c r="B18" s="3" t="s">
        <v>1071</v>
      </c>
      <c r="C18" s="28">
        <f>TIME(0,29,55)</f>
        <v>2.0775462962962964E-2</v>
      </c>
      <c r="D18" s="29">
        <f>INDEX('Points Summary'!$F$4:$F$1143,G18)</f>
        <v>56.907906436999781</v>
      </c>
      <c r="E18" s="124">
        <f t="shared" si="0"/>
        <v>0.61043049122053794</v>
      </c>
      <c r="F18" s="3"/>
      <c r="G18" s="2">
        <f>MATCH(B18,'Points Summary'!$B$4:$B$1144,0)</f>
        <v>215</v>
      </c>
    </row>
    <row r="19" spans="1:7" x14ac:dyDescent="0.25">
      <c r="A19" s="2">
        <v>11</v>
      </c>
      <c r="B19" s="3" t="s">
        <v>362</v>
      </c>
      <c r="C19" s="28">
        <f>TIME(0,32,19)</f>
        <v>2.2442129629629631E-2</v>
      </c>
      <c r="D19" s="29">
        <f>INDEX('Points Summary'!$F$4:$F$1143,G19)</f>
        <v>51.583230225978319</v>
      </c>
      <c r="E19" s="124">
        <f t="shared" si="0"/>
        <v>0.56509681884521179</v>
      </c>
      <c r="F19" s="3"/>
      <c r="G19" s="2">
        <f>MATCH(B19,'Points Summary'!$B$4:$B$1144,0)</f>
        <v>452</v>
      </c>
    </row>
    <row r="20" spans="1:7" x14ac:dyDescent="0.25">
      <c r="A20" s="2">
        <v>1</v>
      </c>
      <c r="B20" s="3" t="s">
        <v>14</v>
      </c>
      <c r="C20" s="28">
        <f>TIME(0,36,4)</f>
        <v>2.5046296296296299E-2</v>
      </c>
      <c r="D20" s="29">
        <f>INDEX('Points Summary'!$F$4:$F$1143,G20)</f>
        <v>48.837383281475624</v>
      </c>
      <c r="E20" s="124">
        <f t="shared" si="0"/>
        <v>0.50634137326287687</v>
      </c>
      <c r="F20" s="3"/>
      <c r="G20" s="2">
        <f>MATCH(B20,'Points Summary'!$B$4:$B$1144,0)</f>
        <v>354</v>
      </c>
    </row>
    <row r="21" spans="1:7" x14ac:dyDescent="0.25">
      <c r="A21" s="2">
        <v>12</v>
      </c>
      <c r="B21" s="3" t="s">
        <v>662</v>
      </c>
      <c r="C21" s="28">
        <f>TIME(0,34,2)</f>
        <v>2.3634259259259258E-2</v>
      </c>
      <c r="D21" s="29">
        <f>INDEX('Points Summary'!$F$4:$F$1143,G21)</f>
        <v>49.241069579723636</v>
      </c>
      <c r="E21" s="124">
        <f t="shared" si="0"/>
        <v>0.5365929146625199</v>
      </c>
      <c r="F21" s="3"/>
      <c r="G21" s="2">
        <f>MATCH(B21,'Points Summary'!$B$4:$B$1144,0)</f>
        <v>105</v>
      </c>
    </row>
    <row r="22" spans="1:7" x14ac:dyDescent="0.25">
      <c r="A22" s="2">
        <v>2</v>
      </c>
      <c r="B22" s="3" t="s">
        <v>731</v>
      </c>
      <c r="C22" s="28">
        <f>TIME(0,39,16)</f>
        <v>2.7268518518518515E-2</v>
      </c>
      <c r="D22" s="29">
        <f>INDEX('Points Summary'!$F$4:$F$1143,G22)</f>
        <v>46.883048266286252</v>
      </c>
      <c r="E22" s="124">
        <f t="shared" si="0"/>
        <v>0.4650775601616578</v>
      </c>
      <c r="F22" s="3"/>
      <c r="G22" s="2">
        <f>MATCH(B22,'Points Summary'!$B$4:$B$1144,0)</f>
        <v>273</v>
      </c>
    </row>
    <row r="23" spans="1:7" x14ac:dyDescent="0.25">
      <c r="A23" s="2">
        <v>13</v>
      </c>
      <c r="B23" s="3" t="s">
        <v>110</v>
      </c>
      <c r="C23" s="28">
        <f>TIME(0,36,7)</f>
        <v>2.508101851851852E-2</v>
      </c>
      <c r="D23" s="29">
        <f>INDEX('Points Summary'!$F$4:$F$1143,G23)</f>
        <v>46.935970923567815</v>
      </c>
      <c r="E23" s="124">
        <f t="shared" si="0"/>
        <v>0.50564039305069941</v>
      </c>
      <c r="F23" s="3"/>
      <c r="G23" s="2">
        <f>MATCH(B23,'Points Summary'!$B$4:$B$1144,0)</f>
        <v>385</v>
      </c>
    </row>
    <row r="24" spans="1:7" x14ac:dyDescent="0.25">
      <c r="A24" s="2">
        <v>1</v>
      </c>
      <c r="B24" s="3" t="s">
        <v>140</v>
      </c>
      <c r="C24" s="28">
        <f>TIME(0,41,22)</f>
        <v>2.8726851851851851E-2</v>
      </c>
      <c r="D24" s="29">
        <f>INDEX('Points Summary'!$F$4:$F$1143,G24)</f>
        <v>43.796149464140271</v>
      </c>
      <c r="E24" s="124">
        <f t="shared" si="0"/>
        <v>0.44146765984724645</v>
      </c>
      <c r="F24" s="3"/>
      <c r="G24" s="2">
        <f>MATCH(B24,'Points Summary'!$B$4:$B$1144,0)</f>
        <v>393</v>
      </c>
    </row>
    <row r="25" spans="1:7" x14ac:dyDescent="0.25">
      <c r="A25" s="2">
        <v>3</v>
      </c>
      <c r="B25" s="3" t="s">
        <v>1121</v>
      </c>
      <c r="C25" s="28">
        <f>TIME(0,41,48)</f>
        <v>2.9027777777777777E-2</v>
      </c>
      <c r="D25" s="29">
        <f>INDEX('Points Summary'!$F$4:$F$1143,G25)</f>
        <v>43.136662745702168</v>
      </c>
      <c r="E25" s="124">
        <f t="shared" si="0"/>
        <v>0.43689104136398155</v>
      </c>
      <c r="F25" s="3"/>
      <c r="G25" s="2">
        <f>MATCH(B25,'Points Summary'!$B$4:$B$1144,0)</f>
        <v>84</v>
      </c>
    </row>
    <row r="26" spans="1:7" x14ac:dyDescent="0.25">
      <c r="A26" s="2">
        <v>2</v>
      </c>
      <c r="B26" s="3" t="s">
        <v>56</v>
      </c>
      <c r="C26" s="28">
        <f>TIME(0,50,3)</f>
        <v>3.4756944444444444E-2</v>
      </c>
      <c r="D26" s="29">
        <f>INDEX('Points Summary'!$F$4:$F$1143,G26)</f>
        <v>34.5609862378993</v>
      </c>
      <c r="E26" s="124">
        <f t="shared" si="0"/>
        <v>0.3648760345457428</v>
      </c>
      <c r="F26" s="3"/>
      <c r="G26" s="2">
        <f>MATCH(B26,'Points Summary'!$B$4:$B$1144,0)</f>
        <v>185</v>
      </c>
    </row>
    <row r="27" spans="1:7" x14ac:dyDescent="0.25">
      <c r="A27" s="2">
        <v>2</v>
      </c>
      <c r="B27" s="3" t="s">
        <v>1119</v>
      </c>
      <c r="C27" s="28">
        <f>TIME(0,21,1)</f>
        <v>1.4594907407407405E-2</v>
      </c>
      <c r="D27" s="29">
        <f>INDEX('Points Summary'!$F$4:$F$1143,G27)</f>
        <v>86.746926051346932</v>
      </c>
      <c r="E27" s="124">
        <f t="shared" si="0"/>
        <v>0.86893158742336696</v>
      </c>
      <c r="F27" s="3"/>
      <c r="G27" s="2">
        <f>MATCH(B27,'Points Summary'!$B$4:$B$1144,0)</f>
        <v>349</v>
      </c>
    </row>
    <row r="28" spans="1:7" x14ac:dyDescent="0.25">
      <c r="A28" s="2">
        <v>3</v>
      </c>
      <c r="B28" s="3" t="s">
        <v>422</v>
      </c>
      <c r="C28" s="28">
        <f>TIME(0,33,51)</f>
        <v>2.3506944444444445E-2</v>
      </c>
      <c r="D28" s="29">
        <f>INDEX('Points Summary'!$F$4:$F$1143,G28)</f>
        <v>53.267725340335318</v>
      </c>
      <c r="E28" s="124">
        <f t="shared" si="0"/>
        <v>0.53949912936527111</v>
      </c>
      <c r="F28" s="3"/>
      <c r="G28" s="2">
        <f>MATCH(B28,'Points Summary'!$B$4:$B$1144,0)</f>
        <v>249</v>
      </c>
    </row>
    <row r="29" spans="1:7" x14ac:dyDescent="0.25">
      <c r="A29" s="2">
        <v>14</v>
      </c>
      <c r="B29" s="3" t="s">
        <v>1120</v>
      </c>
      <c r="C29" s="28">
        <f>TIME(0,39,11)</f>
        <v>2.7210648148148147E-2</v>
      </c>
      <c r="D29" s="29">
        <f>INDEX('Points Summary'!$F$4:$F$1143,G29)</f>
        <v>46.017333120468322</v>
      </c>
      <c r="E29" s="124">
        <f t="shared" si="0"/>
        <v>0.46606666598930907</v>
      </c>
      <c r="F29" s="3"/>
      <c r="G29" s="2">
        <f>MATCH(B29,'Points Summary'!$B$4:$B$1144,0)</f>
        <v>91</v>
      </c>
    </row>
    <row r="30" spans="1:7" x14ac:dyDescent="0.25">
      <c r="B30" s="3"/>
      <c r="C30" s="28"/>
      <c r="D30" s="29"/>
      <c r="E30" s="30"/>
      <c r="F30" s="3"/>
      <c r="G30" s="2"/>
    </row>
  </sheetData>
  <sortState ref="A8:E29">
    <sortCondition descending="1" ref="D8:D29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2018 Race Points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workbookViewId="0">
      <selection activeCell="B21" sqref="B2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12" x14ac:dyDescent="0.25">
      <c r="A1" s="16" t="s">
        <v>22</v>
      </c>
      <c r="B1" s="17" t="s">
        <v>1161</v>
      </c>
      <c r="C1" s="18"/>
      <c r="D1" s="18"/>
      <c r="E1" s="18"/>
      <c r="F1" s="18"/>
      <c r="G1" s="19"/>
    </row>
    <row r="2" spans="1:12" x14ac:dyDescent="0.25">
      <c r="A2" s="20" t="s">
        <v>23</v>
      </c>
      <c r="B2" s="21">
        <v>43132</v>
      </c>
      <c r="C2" s="22"/>
      <c r="D2" s="22"/>
      <c r="E2" s="22"/>
      <c r="F2" s="22"/>
      <c r="G2" s="23"/>
    </row>
    <row r="3" spans="1:12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12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12" x14ac:dyDescent="0.25">
      <c r="A5" s="20" t="s">
        <v>27</v>
      </c>
      <c r="B5" s="24" t="s">
        <v>115</v>
      </c>
      <c r="C5" s="22"/>
      <c r="D5" s="22"/>
      <c r="E5" s="22" t="s">
        <v>55</v>
      </c>
      <c r="F5" s="38">
        <f>AVERAGE(C8:C12)*(AVERAGE(D8:D12)/100)</f>
        <v>1.1021207930230545E-2</v>
      </c>
      <c r="G5" s="23"/>
    </row>
    <row r="6" spans="1:12" x14ac:dyDescent="0.25">
      <c r="A6" s="25" t="s">
        <v>29</v>
      </c>
      <c r="B6" s="26"/>
      <c r="C6" s="26"/>
      <c r="D6" s="26"/>
      <c r="E6" s="26"/>
      <c r="F6" s="26"/>
      <c r="G6" s="27"/>
      <c r="K6" s="42"/>
    </row>
    <row r="7" spans="1:12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  <c r="I7" s="2"/>
      <c r="J7" s="2"/>
      <c r="K7" s="28"/>
      <c r="L7" s="2"/>
    </row>
    <row r="8" spans="1:12" x14ac:dyDescent="0.25">
      <c r="A8" s="2">
        <v>1</v>
      </c>
      <c r="B8" s="3" t="s">
        <v>1119</v>
      </c>
      <c r="C8" s="28">
        <f>TIME(0,17,37)</f>
        <v>1.2233796296296296E-2</v>
      </c>
      <c r="D8" s="29">
        <f>INDEX('Points Summary'!$F$4:$F$1143,G8)</f>
        <v>86.746926051346932</v>
      </c>
      <c r="E8" s="124">
        <f t="shared" ref="E8:E27" si="0">(AVERAGE($D$8:$D$12)/100*AVERAGE($C$8:$C$12))/C8</f>
        <v>0.90088208625536337</v>
      </c>
      <c r="F8" s="3"/>
      <c r="G8" s="2">
        <f>MATCH(B8,'Points Summary'!$B$4:$B$1144,0)</f>
        <v>349</v>
      </c>
      <c r="I8" s="42"/>
      <c r="J8" s="28"/>
      <c r="K8" s="72"/>
      <c r="L8" s="28"/>
    </row>
    <row r="9" spans="1:12" x14ac:dyDescent="0.25">
      <c r="A9" s="2">
        <v>2</v>
      </c>
      <c r="B9" s="3" t="s">
        <v>772</v>
      </c>
      <c r="C9" s="28">
        <f>TIME(0,21,30)</f>
        <v>1.4930555555555556E-2</v>
      </c>
      <c r="D9" s="29">
        <f>INDEX('Points Summary'!$F$4:$F$1143,G9)</f>
        <v>81.785334346671192</v>
      </c>
      <c r="E9" s="124">
        <f t="shared" si="0"/>
        <v>0.7381646241642783</v>
      </c>
      <c r="F9" s="3"/>
      <c r="G9" s="2">
        <f>MATCH(B9,'Points Summary'!$B$4:$B$1144,0)</f>
        <v>90</v>
      </c>
      <c r="I9" s="42"/>
      <c r="J9" s="28"/>
      <c r="K9" s="72"/>
      <c r="L9" s="28"/>
    </row>
    <row r="10" spans="1:12" x14ac:dyDescent="0.25">
      <c r="A10" s="2">
        <v>1</v>
      </c>
      <c r="B10" s="3" t="s">
        <v>718</v>
      </c>
      <c r="C10" s="28">
        <f>TIME(0,18,26)</f>
        <v>1.2800925925925926E-2</v>
      </c>
      <c r="D10" s="29">
        <f>INDEX('Points Summary'!$F$4:$F$1143,G10)</f>
        <v>81.013290109009503</v>
      </c>
      <c r="E10" s="124">
        <f t="shared" si="0"/>
        <v>0.8609695887630372</v>
      </c>
      <c r="F10" s="3"/>
      <c r="G10" s="2">
        <f>MATCH(B10,'Points Summary'!$B$4:$B$1144,0)</f>
        <v>305</v>
      </c>
      <c r="I10" s="42"/>
      <c r="J10" s="28"/>
      <c r="K10" s="72"/>
      <c r="L10" s="28"/>
    </row>
    <row r="11" spans="1:12" x14ac:dyDescent="0.25">
      <c r="A11" s="2">
        <v>1</v>
      </c>
      <c r="B11" s="3" t="s">
        <v>808</v>
      </c>
      <c r="C11" s="28">
        <f>TIME(0,20,7)</f>
        <v>1.3969907407407408E-2</v>
      </c>
      <c r="D11" s="29">
        <f>INDEX('Points Summary'!$F$4:$F$1143,G11)</f>
        <v>80.557714578078887</v>
      </c>
      <c r="E11" s="124">
        <f t="shared" si="0"/>
        <v>0.78892490900738943</v>
      </c>
      <c r="F11" s="3"/>
      <c r="G11" s="2">
        <f>MATCH(B11,'Points Summary'!$B$4:$B$1144,0)</f>
        <v>441</v>
      </c>
      <c r="I11" s="42"/>
    </row>
    <row r="12" spans="1:12" x14ac:dyDescent="0.25">
      <c r="A12" s="2">
        <v>1</v>
      </c>
      <c r="B12" s="3" t="s">
        <v>107</v>
      </c>
      <c r="C12" s="28">
        <f>TIME(0,20,5)</f>
        <v>1.3946759259259258E-2</v>
      </c>
      <c r="D12" s="29">
        <f>INDEX('Points Summary'!$F$4:$F$1143,G12)</f>
        <v>75.792883752028487</v>
      </c>
      <c r="E12" s="124">
        <f t="shared" si="0"/>
        <v>0.79023432794350146</v>
      </c>
      <c r="F12" s="3"/>
      <c r="G12" s="2">
        <f>MATCH(B12,'Points Summary'!$B$4:$B$1144,0)</f>
        <v>125</v>
      </c>
      <c r="I12" s="42"/>
    </row>
    <row r="13" spans="1:12" x14ac:dyDescent="0.25">
      <c r="A13" s="2">
        <v>2</v>
      </c>
      <c r="B13" s="3" t="s">
        <v>429</v>
      </c>
      <c r="C13" s="28">
        <f>TIME(0,27,2)</f>
        <v>1.877314814814815E-2</v>
      </c>
      <c r="D13" s="29">
        <f>INDEX('Points Summary'!$F$4:$F$1143,G13)</f>
        <v>60.167059647047935</v>
      </c>
      <c r="E13" s="124">
        <f t="shared" si="0"/>
        <v>0.58707297482855669</v>
      </c>
      <c r="F13" s="3"/>
      <c r="G13" s="2">
        <f>MATCH(B13,'Points Summary'!$B$4:$B$1144,0)</f>
        <v>40</v>
      </c>
      <c r="I13" s="51"/>
    </row>
    <row r="14" spans="1:12" x14ac:dyDescent="0.25">
      <c r="A14" s="2">
        <v>4</v>
      </c>
      <c r="B14" s="3" t="s">
        <v>726</v>
      </c>
      <c r="C14" s="28">
        <f>TIME(0,27,11)</f>
        <v>1.8877314814814816E-2</v>
      </c>
      <c r="D14" s="29">
        <f>INDEX('Points Summary'!$F$4:$F$1143,G14)</f>
        <v>60.110931808965049</v>
      </c>
      <c r="E14" s="124">
        <f t="shared" si="0"/>
        <v>0.58383345504102946</v>
      </c>
      <c r="F14" s="3"/>
      <c r="G14" s="2">
        <f>MATCH(B14,'Points Summary'!$B$4:$B$1144,0)</f>
        <v>51</v>
      </c>
      <c r="I14" s="51"/>
    </row>
    <row r="15" spans="1:12" x14ac:dyDescent="0.25">
      <c r="A15" s="2">
        <v>2</v>
      </c>
      <c r="B15" s="3" t="s">
        <v>361</v>
      </c>
      <c r="C15" s="28">
        <f>TIME(0,24,18)</f>
        <v>1.6875000000000001E-2</v>
      </c>
      <c r="D15" s="29">
        <f>INDEX('Points Summary'!$F$4:$F$1143,G15)</f>
        <v>58.583301661311417</v>
      </c>
      <c r="E15" s="124">
        <f t="shared" si="0"/>
        <v>0.65310861808773601</v>
      </c>
      <c r="F15" s="3"/>
      <c r="G15" s="2">
        <f>MATCH(B15,'Points Summary'!$B$4:$B$1144,0)</f>
        <v>82</v>
      </c>
      <c r="I15" s="51"/>
    </row>
    <row r="16" spans="1:12" x14ac:dyDescent="0.25">
      <c r="A16" s="2">
        <v>2</v>
      </c>
      <c r="B16" s="3" t="s">
        <v>888</v>
      </c>
      <c r="C16" s="28">
        <f>TIME(0,23,1)</f>
        <v>1.5983796296296295E-2</v>
      </c>
      <c r="D16" s="29">
        <f>INDEX('Points Summary'!$F$4:$F$1143,G16)</f>
        <v>57.730080619711707</v>
      </c>
      <c r="E16" s="124">
        <f t="shared" si="0"/>
        <v>0.68952379809697262</v>
      </c>
      <c r="F16" s="3"/>
      <c r="G16" s="2">
        <f>MATCH(B16,'Points Summary'!$B$4:$B$1144,0)</f>
        <v>422</v>
      </c>
      <c r="I16" s="42"/>
    </row>
    <row r="17" spans="1:9" x14ac:dyDescent="0.25">
      <c r="A17" s="2">
        <v>3</v>
      </c>
      <c r="B17" s="3" t="s">
        <v>717</v>
      </c>
      <c r="C17" s="28">
        <f>TIME(0,24,24)</f>
        <v>1.6944444444444443E-2</v>
      </c>
      <c r="D17" s="29">
        <f>INDEX('Points Summary'!$F$4:$F$1143,G17)</f>
        <v>56.657336543010217</v>
      </c>
      <c r="E17" s="124">
        <f t="shared" si="0"/>
        <v>0.65043194342344213</v>
      </c>
      <c r="F17" s="3"/>
      <c r="G17" s="2">
        <f>MATCH(B17,'Points Summary'!$B$4:$B$1144,0)</f>
        <v>237</v>
      </c>
      <c r="I17" s="42"/>
    </row>
    <row r="18" spans="1:9" x14ac:dyDescent="0.25">
      <c r="A18" s="2">
        <v>1</v>
      </c>
      <c r="B18" s="3" t="s">
        <v>773</v>
      </c>
      <c r="C18" s="28">
        <f>TIME(0,28,10)</f>
        <v>1.9560185185185184E-2</v>
      </c>
      <c r="D18" s="29">
        <f>INDEX('Points Summary'!$F$4:$F$1143,G18)</f>
        <v>52.599685351480908</v>
      </c>
      <c r="E18" s="124">
        <f t="shared" si="0"/>
        <v>0.56345110365202322</v>
      </c>
      <c r="F18" s="3"/>
      <c r="G18" s="2">
        <f>MATCH(B18,'Points Summary'!$B$4:$B$1144,0)</f>
        <v>123</v>
      </c>
      <c r="I18" s="42"/>
    </row>
    <row r="19" spans="1:9" x14ac:dyDescent="0.25">
      <c r="A19" s="2">
        <v>2</v>
      </c>
      <c r="B19" s="3" t="s">
        <v>362</v>
      </c>
      <c r="C19" s="28">
        <f>TIME(0,29,2)</f>
        <v>2.0162037037037037E-2</v>
      </c>
      <c r="D19" s="29">
        <f>INDEX('Points Summary'!$F$4:$F$1143,G19)</f>
        <v>51.583230225978319</v>
      </c>
      <c r="E19" s="124">
        <f t="shared" si="0"/>
        <v>0.54663166772211202</v>
      </c>
      <c r="F19" s="3"/>
      <c r="G19" s="2">
        <f>MATCH(B19,'Points Summary'!$B$4:$B$1144,0)</f>
        <v>452</v>
      </c>
    </row>
    <row r="20" spans="1:9" x14ac:dyDescent="0.25">
      <c r="A20" s="2">
        <v>1</v>
      </c>
      <c r="B20" s="3" t="s">
        <v>939</v>
      </c>
      <c r="C20" s="28">
        <f>TIME(0,26,5)</f>
        <v>1.8113425925925925E-2</v>
      </c>
      <c r="D20" s="29">
        <f>INDEX('Points Summary'!$F$4:$F$1143,G20)</f>
        <v>50.943424350252634</v>
      </c>
      <c r="E20" s="124">
        <f t="shared" si="0"/>
        <v>0.60845518541336685</v>
      </c>
      <c r="F20" s="3"/>
      <c r="G20" s="2">
        <f>MATCH(B20,'Points Summary'!$B$4:$B$1144,0)</f>
        <v>147</v>
      </c>
    </row>
    <row r="21" spans="1:9" x14ac:dyDescent="0.25">
      <c r="A21" s="2">
        <v>5</v>
      </c>
      <c r="B21" s="3" t="s">
        <v>1109</v>
      </c>
      <c r="C21" s="28">
        <f>TIME(0,30,1)</f>
        <v>2.0844907407407406E-2</v>
      </c>
      <c r="D21" s="29">
        <f>INDEX('Points Summary'!$F$4:$F$1143,G21)</f>
        <v>48.948958192586247</v>
      </c>
      <c r="E21" s="124">
        <f t="shared" si="0"/>
        <v>0.52872424495942205</v>
      </c>
      <c r="F21" s="3"/>
      <c r="G21" s="2">
        <f>MATCH(B21,'Points Summary'!$B$4:$B$1144,0)</f>
        <v>227</v>
      </c>
    </row>
    <row r="22" spans="1:9" x14ac:dyDescent="0.25">
      <c r="A22" s="2">
        <v>2</v>
      </c>
      <c r="B22" s="3" t="s">
        <v>1113</v>
      </c>
      <c r="C22" s="28">
        <f>TIME(0,31,59)</f>
        <v>2.2210648148148149E-2</v>
      </c>
      <c r="D22" s="29">
        <f>INDEX('Points Summary'!$F$4:$F$1143,G22)</f>
        <v>48.482965981855443</v>
      </c>
      <c r="E22" s="124">
        <f t="shared" si="0"/>
        <v>0.49621280102757637</v>
      </c>
      <c r="F22" s="3"/>
      <c r="G22" s="2">
        <f>MATCH(B22,'Points Summary'!$B$4:$B$1144,0)</f>
        <v>72</v>
      </c>
    </row>
    <row r="23" spans="1:9" x14ac:dyDescent="0.25">
      <c r="A23" s="2">
        <v>1</v>
      </c>
      <c r="B23" s="3" t="s">
        <v>734</v>
      </c>
      <c r="C23" s="28">
        <f>TIME(0,34,19)</f>
        <v>2.3831018518518519E-2</v>
      </c>
      <c r="D23" s="29">
        <f>INDEX('Points Summary'!$F$4:$F$1143,G23)</f>
        <v>48.468714646250653</v>
      </c>
      <c r="E23" s="124">
        <f t="shared" si="0"/>
        <v>0.46247322252157314</v>
      </c>
      <c r="F23" s="3"/>
      <c r="G23" s="2">
        <f>MATCH(B23,'Points Summary'!$B$4:$B$1144,0)</f>
        <v>418</v>
      </c>
    </row>
    <row r="24" spans="1:9" x14ac:dyDescent="0.25">
      <c r="A24" s="2">
        <v>6</v>
      </c>
      <c r="B24" s="3" t="s">
        <v>1112</v>
      </c>
      <c r="C24" s="28">
        <f>TIME(0,32,13)</f>
        <v>2.2372685185185186E-2</v>
      </c>
      <c r="D24" s="29">
        <f>INDEX('Points Summary'!$F$4:$F$1143,G24)</f>
        <v>47.147598821615667</v>
      </c>
      <c r="E24" s="124">
        <f t="shared" si="0"/>
        <v>0.49261891628138593</v>
      </c>
      <c r="F24" s="3"/>
      <c r="G24" s="2">
        <f>MATCH(B24,'Points Summary'!$B$4:$B$1144,0)</f>
        <v>194</v>
      </c>
    </row>
    <row r="25" spans="1:9" x14ac:dyDescent="0.25">
      <c r="A25" s="2">
        <v>4</v>
      </c>
      <c r="B25" s="3" t="s">
        <v>329</v>
      </c>
      <c r="C25" s="28">
        <f>TIME(0,35,23)</f>
        <v>2.4571759259259262E-2</v>
      </c>
      <c r="D25" s="29">
        <f>INDEX('Points Summary'!$F$4:$F$1143,G25)</f>
        <v>43.417973722279548</v>
      </c>
      <c r="E25" s="124">
        <f t="shared" si="0"/>
        <v>0.44853149560617944</v>
      </c>
      <c r="F25" s="3"/>
      <c r="G25" s="2">
        <f>MATCH(B25,'Points Summary'!$B$4:$B$1144,0)</f>
        <v>245</v>
      </c>
    </row>
    <row r="26" spans="1:9" x14ac:dyDescent="0.25">
      <c r="A26" s="2">
        <v>3</v>
      </c>
      <c r="B26" s="3" t="s">
        <v>1162</v>
      </c>
      <c r="C26" s="28">
        <f>TIME(0,33,29)</f>
        <v>2.3252314814814812E-2</v>
      </c>
      <c r="D26" s="29">
        <f>INDEX('Points Summary'!$F$4:$F$1143,G26)</f>
        <v>0</v>
      </c>
      <c r="E26" s="124">
        <f t="shared" si="0"/>
        <v>0.47398325792529578</v>
      </c>
      <c r="F26" s="3"/>
      <c r="G26" s="2">
        <f>MATCH(B26,'Points Summary'!$B$4:$B$1144,0)</f>
        <v>357</v>
      </c>
    </row>
    <row r="27" spans="1:9" x14ac:dyDescent="0.25">
      <c r="A27" s="2">
        <v>5</v>
      </c>
      <c r="B27" s="3" t="s">
        <v>1163</v>
      </c>
      <c r="C27" s="28">
        <f>TIME(0,45,42)</f>
        <v>3.1736111111111111E-2</v>
      </c>
      <c r="D27" s="29">
        <f>INDEX('Points Summary'!$F$4:$F$1143,G27)</f>
        <v>0</v>
      </c>
      <c r="E27" s="124">
        <f t="shared" si="0"/>
        <v>0.3472765737315533</v>
      </c>
      <c r="F27" s="3"/>
      <c r="G27" s="2">
        <f>MATCH(B27,'Points Summary'!$B$4:$B$1144,0)</f>
        <v>389</v>
      </c>
    </row>
    <row r="28" spans="1:9" x14ac:dyDescent="0.25">
      <c r="A28" s="2"/>
      <c r="B28" s="3"/>
      <c r="C28" s="28"/>
      <c r="D28" s="29"/>
      <c r="E28" s="124"/>
      <c r="F28" s="3"/>
      <c r="G28" s="2"/>
    </row>
    <row r="29" spans="1:9" x14ac:dyDescent="0.25">
      <c r="A29" s="2"/>
      <c r="B29" s="3"/>
      <c r="C29" s="28"/>
      <c r="D29" s="29"/>
      <c r="E29" s="124"/>
      <c r="F29" s="3"/>
      <c r="G29" s="2"/>
    </row>
    <row r="30" spans="1:9" x14ac:dyDescent="0.25">
      <c r="A30" s="2"/>
      <c r="B30" s="3"/>
      <c r="C30" s="28"/>
      <c r="D30" s="29"/>
      <c r="E30" s="124"/>
      <c r="F30" s="3"/>
      <c r="G30" s="2"/>
    </row>
    <row r="31" spans="1:9" x14ac:dyDescent="0.25">
      <c r="A31" s="2"/>
      <c r="B31" s="3"/>
      <c r="C31" s="28"/>
      <c r="D31" s="29"/>
      <c r="E31" s="124"/>
      <c r="F31" s="3"/>
      <c r="G31" s="2"/>
    </row>
    <row r="32" spans="1:9" x14ac:dyDescent="0.25">
      <c r="A32" s="2"/>
      <c r="B32" s="3"/>
      <c r="C32" s="28"/>
      <c r="D32" s="29"/>
      <c r="E32" s="124"/>
      <c r="F32" s="3"/>
      <c r="G32" s="2"/>
    </row>
    <row r="33" spans="1:7" x14ac:dyDescent="0.25">
      <c r="A33" s="2"/>
      <c r="B33" s="3"/>
      <c r="C33" s="28"/>
      <c r="D33" s="29"/>
      <c r="E33" s="124"/>
      <c r="F33" s="3"/>
      <c r="G33" s="2"/>
    </row>
    <row r="34" spans="1:7" x14ac:dyDescent="0.25">
      <c r="A34" s="2"/>
      <c r="B34" s="3"/>
      <c r="C34" s="28"/>
      <c r="D34" s="29"/>
      <c r="E34" s="124"/>
      <c r="F34" s="3"/>
      <c r="G34" s="2"/>
    </row>
  </sheetData>
  <sortState ref="A8:G27">
    <sortCondition descending="1" ref="D8:D25"/>
  </sortState>
  <phoneticPr fontId="9" type="noConversion"/>
  <printOptions horizontalCentered="1"/>
  <pageMargins left="0.75" right="0.75" top="1" bottom="1" header="0.5" footer="0.5"/>
  <pageSetup orientation="portrait" horizontalDpi="200" verticalDpi="200" r:id="rId1"/>
  <headerFooter alignWithMargins="0">
    <oddHeader>&amp;L&amp;"Tahoma,Bold"&amp;11U.S. Biathlon Association&amp;R&amp;"Tahoma,Bold"&amp;11 2018 Race Points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workbookViewId="0">
      <selection activeCell="B6" sqref="B6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9" x14ac:dyDescent="0.25">
      <c r="A1" s="16" t="s">
        <v>22</v>
      </c>
      <c r="B1" s="17" t="s">
        <v>1166</v>
      </c>
      <c r="C1" s="18"/>
      <c r="D1" s="18"/>
      <c r="E1" s="18"/>
      <c r="F1" s="18"/>
      <c r="G1" s="19"/>
    </row>
    <row r="2" spans="1:9" x14ac:dyDescent="0.25">
      <c r="A2" s="20" t="s">
        <v>23</v>
      </c>
      <c r="B2" s="21">
        <v>43141</v>
      </c>
      <c r="C2" s="22"/>
      <c r="D2" s="22"/>
      <c r="E2" s="22"/>
      <c r="F2" s="22"/>
      <c r="G2" s="23"/>
    </row>
    <row r="3" spans="1:9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9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9" x14ac:dyDescent="0.25">
      <c r="A5" s="20" t="s">
        <v>27</v>
      </c>
      <c r="B5" s="24" t="s">
        <v>115</v>
      </c>
      <c r="C5" s="22"/>
      <c r="D5" s="22"/>
      <c r="E5" s="22" t="s">
        <v>55</v>
      </c>
      <c r="F5" s="38">
        <f>AVERAGE(C8:C12)*(AVERAGE(D8:D12)/100)</f>
        <v>1.766884442560035E-2</v>
      </c>
      <c r="G5" s="23"/>
    </row>
    <row r="6" spans="1:9" x14ac:dyDescent="0.25">
      <c r="A6" s="25" t="s">
        <v>29</v>
      </c>
      <c r="B6" s="26"/>
      <c r="C6" s="26"/>
      <c r="D6" s="26"/>
      <c r="E6" s="26"/>
      <c r="F6" s="26"/>
      <c r="G6" s="27"/>
    </row>
    <row r="7" spans="1:9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9" x14ac:dyDescent="0.25">
      <c r="A8" s="2">
        <v>1</v>
      </c>
      <c r="B8" s="3" t="s">
        <v>460</v>
      </c>
      <c r="C8" s="28">
        <v>1.8520833333333334E-2</v>
      </c>
      <c r="D8" s="29">
        <f>INDEX('Points Summary'!$F$4:$F$1143,G8)</f>
        <v>92.885416008196273</v>
      </c>
      <c r="E8" s="124">
        <f>(AVERAGE($D$8:$D$12)/100*AVERAGE($C$8:$C$12))/C8</f>
        <v>0.95399834918877024</v>
      </c>
      <c r="F8" s="3"/>
      <c r="G8" s="2">
        <f>MATCH(B8,'Points Summary'!$B$4:$B$1144,0)</f>
        <v>139</v>
      </c>
      <c r="I8" s="78"/>
    </row>
    <row r="9" spans="1:9" x14ac:dyDescent="0.25">
      <c r="A9" s="2">
        <v>6</v>
      </c>
      <c r="B9" s="3" t="s">
        <v>104</v>
      </c>
      <c r="C9" s="28">
        <v>1.9594907407407405E-2</v>
      </c>
      <c r="D9" s="29">
        <f>INDEX('Points Summary'!$F$4:$F$1143,G9)</f>
        <v>89.981553251588309</v>
      </c>
      <c r="E9" s="124">
        <f t="shared" ref="E9:E19" si="0">(AVERAGE($D$8:$D$12)/100*AVERAGE($C$8:$C$12))/C9</f>
        <v>0.90170594115290637</v>
      </c>
      <c r="F9" s="3"/>
      <c r="G9" s="2">
        <f>MATCH(B9,'Points Summary'!$B$4:$B$1144,0)</f>
        <v>166</v>
      </c>
      <c r="I9" s="78"/>
    </row>
    <row r="10" spans="1:9" x14ac:dyDescent="0.25">
      <c r="A10" s="2">
        <v>9</v>
      </c>
      <c r="B10" s="3" t="s">
        <v>765</v>
      </c>
      <c r="C10" s="28">
        <v>2.0711805555555556E-2</v>
      </c>
      <c r="D10" s="29">
        <f>INDEX('Points Summary'!$F$4:$F$1143,G10)</f>
        <v>89.06928922635062</v>
      </c>
      <c r="E10" s="124">
        <f t="shared" si="0"/>
        <v>0.85308083731314344</v>
      </c>
      <c r="F10" s="3"/>
      <c r="G10" s="2">
        <f>MATCH(B10,'Points Summary'!$B$4:$B$1144,0)</f>
        <v>97</v>
      </c>
      <c r="I10" s="78"/>
    </row>
    <row r="11" spans="1:9" x14ac:dyDescent="0.25">
      <c r="A11" s="2">
        <v>4</v>
      </c>
      <c r="B11" s="3" t="s">
        <v>173</v>
      </c>
      <c r="C11" s="28">
        <v>1.9488425925925926E-2</v>
      </c>
      <c r="D11" s="29">
        <f>INDEX('Points Summary'!$F$4:$F$1143,G11)</f>
        <v>87.864563738067233</v>
      </c>
      <c r="E11" s="124">
        <f t="shared" si="0"/>
        <v>0.90663271075654484</v>
      </c>
      <c r="F11" s="3"/>
      <c r="G11" s="2">
        <f>MATCH(B11,'Points Summary'!$B$4:$B$1144,0)</f>
        <v>47</v>
      </c>
      <c r="I11" s="78"/>
    </row>
    <row r="12" spans="1:9" x14ac:dyDescent="0.25">
      <c r="A12" s="2">
        <v>8</v>
      </c>
      <c r="B12" s="3" t="s">
        <v>292</v>
      </c>
      <c r="C12" s="28">
        <v>2.0476851851851854E-2</v>
      </c>
      <c r="D12" s="29">
        <f>INDEX('Points Summary'!$F$4:$F$1143,G12)</f>
        <v>87.317796744326898</v>
      </c>
      <c r="E12" s="124">
        <f t="shared" si="0"/>
        <v>0.86286918289162906</v>
      </c>
      <c r="F12" s="3"/>
      <c r="G12" s="2">
        <f>MATCH(B12,'Points Summary'!$B$4:$B$1144,0)</f>
        <v>182</v>
      </c>
      <c r="I12" s="148"/>
    </row>
    <row r="13" spans="1:9" x14ac:dyDescent="0.25">
      <c r="A13" s="2">
        <v>5</v>
      </c>
      <c r="B13" s="3" t="s">
        <v>103</v>
      </c>
      <c r="C13" s="28">
        <v>1.9583333333333331E-2</v>
      </c>
      <c r="D13" s="29">
        <f>INDEX('Points Summary'!$F$4:$F$1143,G13)</f>
        <v>87.153898367817163</v>
      </c>
      <c r="E13" s="124">
        <f t="shared" si="0"/>
        <v>0.90223886428597544</v>
      </c>
      <c r="F13" s="3"/>
      <c r="G13" s="2">
        <f>MATCH(B13,'Points Summary'!$B$4:$B$1144,0)</f>
        <v>163</v>
      </c>
      <c r="I13" s="148"/>
    </row>
    <row r="14" spans="1:9" x14ac:dyDescent="0.25">
      <c r="A14" s="2">
        <v>7</v>
      </c>
      <c r="B14" s="3" t="s">
        <v>714</v>
      </c>
      <c r="C14" s="28">
        <v>1.970138888888889E-2</v>
      </c>
      <c r="D14" s="29">
        <f>INDEX('Points Summary'!$F$4:$F$1143,G14)</f>
        <v>83.939036057542722</v>
      </c>
      <c r="E14" s="124">
        <f t="shared" si="0"/>
        <v>0.89683242766529792</v>
      </c>
      <c r="F14" s="3"/>
      <c r="G14" s="2">
        <f>MATCH(B14,'Points Summary'!$B$4:$B$1144,0)</f>
        <v>220</v>
      </c>
      <c r="I14" s="78"/>
    </row>
    <row r="15" spans="1:9" x14ac:dyDescent="0.25">
      <c r="A15" s="2">
        <v>10</v>
      </c>
      <c r="B15" s="3" t="s">
        <v>718</v>
      </c>
      <c r="C15" s="28">
        <v>2.1002314814814817E-2</v>
      </c>
      <c r="D15" s="29">
        <f>INDEX('Points Summary'!$F$4:$F$1143,G15)</f>
        <v>81.013290109009503</v>
      </c>
      <c r="E15" s="124">
        <f t="shared" si="0"/>
        <v>0.84128081030082114</v>
      </c>
      <c r="F15" s="3"/>
      <c r="G15" s="2">
        <f>MATCH(B15,'Points Summary'!$B$4:$B$1144,0)</f>
        <v>305</v>
      </c>
      <c r="I15" s="148"/>
    </row>
    <row r="16" spans="1:9" x14ac:dyDescent="0.25">
      <c r="A16" s="2">
        <v>12</v>
      </c>
      <c r="B16" s="3" t="s">
        <v>936</v>
      </c>
      <c r="C16" s="28">
        <v>2.1445601851851851E-2</v>
      </c>
      <c r="D16" s="29">
        <f>INDEX('Points Summary'!$F$4:$F$1143,G16)</f>
        <v>79.76105334129258</v>
      </c>
      <c r="E16" s="124">
        <f t="shared" si="0"/>
        <v>0.82389128305460102</v>
      </c>
      <c r="F16" s="3"/>
      <c r="G16" s="2">
        <f>MATCH(B16,'Points Summary'!$B$4:$B$1144,0)</f>
        <v>330</v>
      </c>
      <c r="I16" s="148"/>
    </row>
    <row r="17" spans="1:9" x14ac:dyDescent="0.25">
      <c r="A17" s="2">
        <v>11</v>
      </c>
      <c r="B17" s="3" t="s">
        <v>730</v>
      </c>
      <c r="C17" s="28">
        <v>2.1431712962962965E-2</v>
      </c>
      <c r="D17" s="29">
        <f>INDEX('Points Summary'!$F$4:$F$1143,G17)</f>
        <v>76.49851546192447</v>
      </c>
      <c r="E17" s="124">
        <f t="shared" si="0"/>
        <v>0.82442520838789768</v>
      </c>
      <c r="F17" s="3"/>
      <c r="G17" s="2">
        <f>MATCH(B17,'Points Summary'!$B$4:$B$1144,0)</f>
        <v>355</v>
      </c>
      <c r="I17" s="148"/>
    </row>
    <row r="18" spans="1:9" x14ac:dyDescent="0.25">
      <c r="A18" s="2">
        <v>13</v>
      </c>
      <c r="B18" s="3" t="s">
        <v>1164</v>
      </c>
      <c r="C18" s="28">
        <v>2.2175925925925929E-2</v>
      </c>
      <c r="D18" s="29">
        <f>INDEX('Points Summary'!$F$4:$F$1143,G18)</f>
        <v>0</v>
      </c>
      <c r="E18" s="124">
        <f t="shared" si="0"/>
        <v>0.79675791146757302</v>
      </c>
      <c r="F18" s="3"/>
      <c r="G18" s="2">
        <f>MATCH(B18,'Points Summary'!$B$4:$B$1144,0)</f>
        <v>140</v>
      </c>
      <c r="I18" s="148"/>
    </row>
    <row r="19" spans="1:9" x14ac:dyDescent="0.25">
      <c r="A19" s="2">
        <v>14</v>
      </c>
      <c r="B19" s="3" t="s">
        <v>1165</v>
      </c>
      <c r="C19" s="28">
        <v>2.2590277777777779E-2</v>
      </c>
      <c r="D19" s="29">
        <f>INDEX('Points Summary'!$F$4:$F$1143,G19)</f>
        <v>0</v>
      </c>
      <c r="E19" s="124">
        <f t="shared" si="0"/>
        <v>0.78214374340192139</v>
      </c>
      <c r="F19" s="3"/>
      <c r="G19" s="2">
        <f>MATCH(B19,'Points Summary'!$B$4:$B$1144,0)</f>
        <v>262</v>
      </c>
      <c r="I19" s="148"/>
    </row>
    <row r="20" spans="1:9" x14ac:dyDescent="0.25">
      <c r="A20" s="2"/>
      <c r="B20" s="3"/>
      <c r="C20" s="28"/>
      <c r="D20" s="29"/>
      <c r="E20" s="30"/>
      <c r="F20" s="3"/>
      <c r="G20" s="2"/>
      <c r="I20" s="148"/>
    </row>
    <row r="21" spans="1:9" x14ac:dyDescent="0.25">
      <c r="A21" s="2"/>
      <c r="B21" s="3"/>
      <c r="C21" s="28"/>
      <c r="D21" s="29"/>
      <c r="E21" s="30"/>
      <c r="F21" s="3"/>
      <c r="G21" s="2"/>
      <c r="I21" s="148"/>
    </row>
    <row r="22" spans="1:9" x14ac:dyDescent="0.25">
      <c r="A22" s="2"/>
      <c r="B22" s="3"/>
      <c r="C22" s="28"/>
      <c r="D22" s="29"/>
      <c r="E22" s="30"/>
      <c r="F22" s="3"/>
      <c r="G22" s="2"/>
      <c r="I22" s="148"/>
    </row>
    <row r="23" spans="1:9" x14ac:dyDescent="0.25">
      <c r="A23" s="2"/>
      <c r="B23" s="3"/>
      <c r="C23" s="28"/>
      <c r="D23" s="29"/>
      <c r="E23" s="30"/>
      <c r="F23" s="3"/>
      <c r="G23" s="2"/>
      <c r="I23" s="148"/>
    </row>
    <row r="24" spans="1:9" x14ac:dyDescent="0.25">
      <c r="A24" s="2"/>
      <c r="B24" s="3"/>
      <c r="C24" s="28"/>
      <c r="D24" s="29"/>
      <c r="E24" s="30"/>
      <c r="F24" s="3"/>
      <c r="G24" s="2"/>
      <c r="I24" s="148"/>
    </row>
    <row r="25" spans="1:9" x14ac:dyDescent="0.25">
      <c r="A25" s="2"/>
      <c r="B25" s="3"/>
      <c r="C25" s="28"/>
      <c r="D25" s="29"/>
      <c r="E25" s="30"/>
      <c r="F25" s="3"/>
      <c r="G25" s="2"/>
      <c r="I25" s="148"/>
    </row>
    <row r="26" spans="1:9" x14ac:dyDescent="0.25">
      <c r="A26" s="2"/>
      <c r="B26" s="3"/>
      <c r="C26" s="28"/>
      <c r="D26" s="29"/>
      <c r="E26" s="30"/>
      <c r="F26" s="3"/>
      <c r="G26" s="2"/>
    </row>
    <row r="27" spans="1:9" x14ac:dyDescent="0.25">
      <c r="A27" s="2"/>
      <c r="B27" s="3"/>
      <c r="C27" s="28"/>
      <c r="D27" s="29"/>
      <c r="E27" s="30"/>
      <c r="F27" s="3"/>
      <c r="G27" s="2"/>
    </row>
    <row r="28" spans="1:9" x14ac:dyDescent="0.25">
      <c r="A28" s="2"/>
      <c r="B28" s="3"/>
      <c r="C28" s="28"/>
      <c r="D28" s="29"/>
      <c r="E28" s="30"/>
      <c r="F28" s="3"/>
      <c r="G28" s="2"/>
    </row>
    <row r="29" spans="1:9" x14ac:dyDescent="0.25">
      <c r="A29" s="2"/>
      <c r="B29" s="3"/>
      <c r="C29" s="28"/>
      <c r="D29" s="29"/>
      <c r="E29" s="30"/>
      <c r="F29" s="3"/>
      <c r="G29" s="2"/>
    </row>
    <row r="30" spans="1:9" x14ac:dyDescent="0.25">
      <c r="A30" s="2"/>
      <c r="B30" s="3"/>
      <c r="C30" s="28"/>
      <c r="D30" s="29"/>
      <c r="E30" s="30"/>
      <c r="F30" s="3"/>
      <c r="G30" s="2"/>
    </row>
  </sheetData>
  <sortState ref="A8:G19">
    <sortCondition descending="1" ref="D8:D19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2018 Race Points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workbookViewId="0">
      <selection activeCell="B8" sqref="B8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9" x14ac:dyDescent="0.25">
      <c r="A1" s="16" t="s">
        <v>22</v>
      </c>
      <c r="B1" s="17" t="s">
        <v>1166</v>
      </c>
      <c r="C1" s="18"/>
      <c r="D1" s="18"/>
      <c r="E1" s="18"/>
      <c r="F1" s="18"/>
      <c r="G1" s="19"/>
    </row>
    <row r="2" spans="1:9" x14ac:dyDescent="0.25">
      <c r="A2" s="20" t="s">
        <v>23</v>
      </c>
      <c r="B2" s="21">
        <v>43141</v>
      </c>
      <c r="C2" s="22"/>
      <c r="D2" s="22"/>
      <c r="E2" s="22"/>
      <c r="F2" s="22"/>
      <c r="G2" s="23"/>
    </row>
    <row r="3" spans="1:9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9" x14ac:dyDescent="0.25">
      <c r="A4" s="20" t="s">
        <v>1</v>
      </c>
      <c r="B4" s="24" t="s">
        <v>833</v>
      </c>
      <c r="C4" s="22"/>
      <c r="D4" s="22"/>
      <c r="E4" s="22"/>
      <c r="F4" s="22"/>
      <c r="G4" s="23"/>
    </row>
    <row r="5" spans="1:9" x14ac:dyDescent="0.25">
      <c r="A5" s="20" t="s">
        <v>27</v>
      </c>
      <c r="B5" s="24" t="s">
        <v>115</v>
      </c>
      <c r="C5" s="22"/>
      <c r="D5" s="22"/>
      <c r="E5" s="22" t="s">
        <v>55</v>
      </c>
      <c r="F5" s="38">
        <f>AVERAGE(C8:C12)*(AVERAGE(D8:D12)/100)</f>
        <v>1.3763140699531686E-2</v>
      </c>
      <c r="G5" s="23"/>
    </row>
    <row r="6" spans="1:9" x14ac:dyDescent="0.25">
      <c r="A6" s="25" t="s">
        <v>29</v>
      </c>
      <c r="B6" s="26"/>
      <c r="C6" s="26"/>
      <c r="D6" s="26"/>
      <c r="E6" s="26"/>
      <c r="F6" s="26"/>
      <c r="G6" s="27"/>
    </row>
    <row r="7" spans="1:9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9" x14ac:dyDescent="0.25">
      <c r="A8" s="2">
        <v>2</v>
      </c>
      <c r="B8" s="3" t="s">
        <v>772</v>
      </c>
      <c r="C8" s="28">
        <v>1.7903935185185186E-2</v>
      </c>
      <c r="D8" s="29">
        <f>INDEX('Points Summary'!$F$4:$F$1143,G8)</f>
        <v>81.785334346671192</v>
      </c>
      <c r="E8" s="30">
        <f t="shared" ref="E8:E22" si="0">(AVERAGE($D$8:$D$12)/100*AVERAGE($C$8:$C$12))/C8</f>
        <v>0.76872154401676751</v>
      </c>
      <c r="F8" s="3"/>
      <c r="G8" s="2">
        <f>MATCH(B8,'Points Summary'!$B$4:$B$1144,0)</f>
        <v>90</v>
      </c>
    </row>
    <row r="9" spans="1:9" x14ac:dyDescent="0.25">
      <c r="A9" s="2">
        <v>4</v>
      </c>
      <c r="B9" s="3" t="s">
        <v>808</v>
      </c>
      <c r="C9" s="28">
        <v>1.8453703703703705E-2</v>
      </c>
      <c r="D9" s="29">
        <f>INDEX('Points Summary'!$F$4:$F$1143,G9)</f>
        <v>80.557714578078887</v>
      </c>
      <c r="E9" s="30">
        <f t="shared" si="0"/>
        <v>0.74581996766152636</v>
      </c>
      <c r="F9" s="3"/>
      <c r="G9" s="2">
        <f>MATCH(B9,'Points Summary'!$B$4:$B$1144,0)</f>
        <v>441</v>
      </c>
      <c r="I9" s="78"/>
    </row>
    <row r="10" spans="1:9" x14ac:dyDescent="0.25">
      <c r="A10" s="2">
        <v>1</v>
      </c>
      <c r="B10" s="39" t="s">
        <v>11</v>
      </c>
      <c r="C10" s="28">
        <v>1.9166666666666669E-2</v>
      </c>
      <c r="D10" s="29">
        <f>INDEX('Points Summary'!$F$4:$F$1143,G10)</f>
        <v>67.873704983306368</v>
      </c>
      <c r="E10" s="30">
        <f t="shared" si="0"/>
        <v>0.71807690606252272</v>
      </c>
      <c r="F10" s="3"/>
      <c r="G10" s="2">
        <f>MATCH(B10,'Points Summary'!$B$4:$B$1144,0)</f>
        <v>426</v>
      </c>
    </row>
    <row r="11" spans="1:9" x14ac:dyDescent="0.25">
      <c r="A11" s="2">
        <v>1</v>
      </c>
      <c r="B11" s="3" t="s">
        <v>733</v>
      </c>
      <c r="C11" s="28">
        <v>2.1233796296296296E-2</v>
      </c>
      <c r="D11" s="29">
        <f>INDEX('Points Summary'!$F$4:$F$1143,G11)</f>
        <v>66.595123596656933</v>
      </c>
      <c r="E11" s="30">
        <f t="shared" si="0"/>
        <v>0.64817145777801033</v>
      </c>
      <c r="F11" s="3"/>
      <c r="G11" s="2">
        <f>MATCH(B11,'Points Summary'!$B$4:$B$1144,0)</f>
        <v>33</v>
      </c>
    </row>
    <row r="12" spans="1:9" x14ac:dyDescent="0.25">
      <c r="A12" s="2">
        <v>1</v>
      </c>
      <c r="B12" s="3" t="s">
        <v>13</v>
      </c>
      <c r="C12" s="28">
        <v>1.8305555555555554E-2</v>
      </c>
      <c r="D12" s="29">
        <f>INDEX('Points Summary'!$F$4:$F$1143,G12)</f>
        <v>65.133504013378101</v>
      </c>
      <c r="E12" s="30">
        <f t="shared" si="0"/>
        <v>0.75185594109733045</v>
      </c>
      <c r="F12" s="3"/>
      <c r="G12" s="2">
        <f>MATCH(B12,'Points Summary'!$B$4:$B$1144,0)</f>
        <v>184</v>
      </c>
    </row>
    <row r="13" spans="1:9" x14ac:dyDescent="0.25">
      <c r="A13" s="2">
        <v>2</v>
      </c>
      <c r="B13" s="3" t="s">
        <v>726</v>
      </c>
      <c r="C13" s="28">
        <v>2.1444444444444443E-2</v>
      </c>
      <c r="D13" s="29">
        <f>INDEX('Points Summary'!$F$4:$F$1143,G13)</f>
        <v>60.110931808965049</v>
      </c>
      <c r="E13" s="30">
        <f t="shared" si="0"/>
        <v>0.64180448857919781</v>
      </c>
      <c r="F13" s="3"/>
      <c r="G13" s="2">
        <f>MATCH(B13,'Points Summary'!$B$4:$B$1144,0)</f>
        <v>51</v>
      </c>
    </row>
    <row r="14" spans="1:9" x14ac:dyDescent="0.25">
      <c r="A14" s="2">
        <v>4</v>
      </c>
      <c r="B14" s="3" t="s">
        <v>145</v>
      </c>
      <c r="C14" s="28">
        <v>2.3310185185185187E-2</v>
      </c>
      <c r="D14" s="29">
        <f>INDEX('Points Summary'!$F$4:$F$1143,G14)</f>
        <v>58.80339108596209</v>
      </c>
      <c r="E14" s="30">
        <f t="shared" si="0"/>
        <v>0.59043463576938315</v>
      </c>
      <c r="F14" s="3"/>
      <c r="G14" s="2">
        <f>MATCH(B14,'Points Summary'!$B$4:$B$1144,0)</f>
        <v>447</v>
      </c>
    </row>
    <row r="15" spans="1:9" x14ac:dyDescent="0.25">
      <c r="A15" s="2">
        <v>2</v>
      </c>
      <c r="B15" s="3" t="s">
        <v>888</v>
      </c>
      <c r="C15" s="28">
        <v>2.1907407407407407E-2</v>
      </c>
      <c r="D15" s="29">
        <f>INDEX('Points Summary'!$F$4:$F$1143,G15)</f>
        <v>57.730080619711707</v>
      </c>
      <c r="E15" s="30">
        <f t="shared" si="0"/>
        <v>0.62824141823728752</v>
      </c>
      <c r="F15" s="3"/>
      <c r="G15" s="2">
        <f>MATCH(B15,'Points Summary'!$B$4:$B$1144,0)</f>
        <v>422</v>
      </c>
    </row>
    <row r="16" spans="1:9" x14ac:dyDescent="0.25">
      <c r="A16" s="2">
        <v>3</v>
      </c>
      <c r="B16" s="3" t="s">
        <v>717</v>
      </c>
      <c r="C16" s="28">
        <v>2.346875E-2</v>
      </c>
      <c r="D16" s="29">
        <f>INDEX('Points Summary'!$F$4:$F$1143,G16)</f>
        <v>56.657336543010217</v>
      </c>
      <c r="E16" s="30">
        <f t="shared" si="0"/>
        <v>0.58644540930095068</v>
      </c>
      <c r="F16" s="3"/>
      <c r="G16" s="2">
        <f>MATCH(B16,'Points Summary'!$B$4:$B$1144,0)</f>
        <v>237</v>
      </c>
    </row>
    <row r="17" spans="1:7" x14ac:dyDescent="0.25">
      <c r="A17" s="2">
        <v>6</v>
      </c>
      <c r="B17" s="3" t="s">
        <v>773</v>
      </c>
      <c r="C17" s="28">
        <v>2.8230324074074071E-2</v>
      </c>
      <c r="D17" s="29">
        <f>INDEX('Points Summary'!$F$4:$F$1143,G17)</f>
        <v>52.599685351480908</v>
      </c>
      <c r="E17" s="30">
        <f t="shared" si="0"/>
        <v>0.48753038269834686</v>
      </c>
      <c r="F17" s="3"/>
      <c r="G17" s="2">
        <f>MATCH(B17,'Points Summary'!$B$4:$B$1144,0)</f>
        <v>123</v>
      </c>
    </row>
    <row r="18" spans="1:7" x14ac:dyDescent="0.25">
      <c r="A18" s="2">
        <v>2</v>
      </c>
      <c r="B18" s="3" t="s">
        <v>362</v>
      </c>
      <c r="C18" s="28">
        <v>2.2060185185185183E-2</v>
      </c>
      <c r="D18" s="29">
        <f>INDEX('Points Summary'!$F$4:$F$1143,G18)</f>
        <v>51.583230225978319</v>
      </c>
      <c r="E18" s="30">
        <f t="shared" si="0"/>
        <v>0.62389053328412269</v>
      </c>
      <c r="F18" s="3"/>
      <c r="G18" s="2">
        <f>MATCH(B18,'Points Summary'!$B$4:$B$1144,0)</f>
        <v>452</v>
      </c>
    </row>
    <row r="19" spans="1:7" x14ac:dyDescent="0.25">
      <c r="A19" s="2">
        <v>5</v>
      </c>
      <c r="B19" s="3" t="s">
        <v>939</v>
      </c>
      <c r="C19" s="28">
        <v>2.3327546296296298E-2</v>
      </c>
      <c r="D19" s="29">
        <f>INDEX('Points Summary'!$F$4:$F$1143,G19)</f>
        <v>50.943424350252634</v>
      </c>
      <c r="E19" s="30">
        <f t="shared" si="0"/>
        <v>0.58999521530118459</v>
      </c>
      <c r="F19" s="3"/>
      <c r="G19" s="2">
        <f>MATCH(B19,'Points Summary'!$B$4:$B$1144,0)</f>
        <v>147</v>
      </c>
    </row>
    <row r="20" spans="1:7" x14ac:dyDescent="0.25">
      <c r="A20" s="2">
        <v>5</v>
      </c>
      <c r="B20" s="3" t="s">
        <v>1109</v>
      </c>
      <c r="C20" s="28">
        <v>2.7339120370370368E-2</v>
      </c>
      <c r="D20" s="29">
        <f>INDEX('Points Summary'!$F$4:$F$1143,G20)</f>
        <v>48.948958192586247</v>
      </c>
      <c r="E20" s="30">
        <f t="shared" si="0"/>
        <v>0.50342295264363823</v>
      </c>
      <c r="F20" s="3"/>
      <c r="G20" s="2">
        <f>MATCH(B20,'Points Summary'!$B$4:$B$1144,0)</f>
        <v>227</v>
      </c>
    </row>
    <row r="21" spans="1:7" x14ac:dyDescent="0.25">
      <c r="A21" s="2">
        <v>6</v>
      </c>
      <c r="B21" s="3" t="s">
        <v>1112</v>
      </c>
      <c r="C21" s="28">
        <v>2.8125000000000001E-2</v>
      </c>
      <c r="D21" s="29">
        <f>INDEX('Points Summary'!$F$4:$F$1143,G21)</f>
        <v>47.147598821615667</v>
      </c>
      <c r="E21" s="30">
        <f t="shared" si="0"/>
        <v>0.48935611376112659</v>
      </c>
      <c r="F21" s="3"/>
      <c r="G21" s="2">
        <f>MATCH(B21,'Points Summary'!$B$4:$B$1144,0)</f>
        <v>194</v>
      </c>
    </row>
    <row r="22" spans="1:7" x14ac:dyDescent="0.25">
      <c r="A22" s="2">
        <v>1</v>
      </c>
      <c r="B22" s="3" t="s">
        <v>160</v>
      </c>
      <c r="C22" s="28">
        <v>2.9430555555555557E-2</v>
      </c>
      <c r="D22" s="29">
        <f>INDEX('Points Summary'!$F$4:$F$1143,G22)</f>
        <v>40.49298808723082</v>
      </c>
      <c r="E22" s="30">
        <f t="shared" si="0"/>
        <v>0.46764800866742867</v>
      </c>
      <c r="F22" s="3"/>
      <c r="G22" s="2">
        <f>MATCH(B22,'Points Summary'!$B$4:$B$1144,0)</f>
        <v>207</v>
      </c>
    </row>
    <row r="23" spans="1:7" x14ac:dyDescent="0.25">
      <c r="B23" s="3"/>
      <c r="C23" s="28"/>
      <c r="D23" s="29"/>
      <c r="E23" s="30"/>
      <c r="F23" s="3"/>
      <c r="G23" s="2"/>
    </row>
    <row r="24" spans="1:7" x14ac:dyDescent="0.25">
      <c r="B24" s="3"/>
      <c r="C24" s="28"/>
      <c r="D24" s="29"/>
      <c r="E24" s="30"/>
      <c r="F24" s="3"/>
      <c r="G24" s="2"/>
    </row>
    <row r="25" spans="1:7" x14ac:dyDescent="0.25">
      <c r="B25" s="3"/>
      <c r="C25" s="28"/>
      <c r="D25" s="29"/>
      <c r="E25" s="30"/>
      <c r="F25" s="3"/>
      <c r="G25" s="2"/>
    </row>
    <row r="26" spans="1:7" x14ac:dyDescent="0.25">
      <c r="B26" s="3"/>
      <c r="C26" s="28"/>
      <c r="D26" s="29"/>
      <c r="E26" s="30"/>
      <c r="F26" s="3"/>
      <c r="G26" s="2"/>
    </row>
    <row r="27" spans="1:7" x14ac:dyDescent="0.25">
      <c r="B27" s="3"/>
      <c r="C27" s="28"/>
      <c r="D27" s="29"/>
      <c r="E27" s="30"/>
      <c r="F27" s="3"/>
      <c r="G27" s="2"/>
    </row>
    <row r="28" spans="1:7" x14ac:dyDescent="0.25">
      <c r="B28" s="3"/>
      <c r="C28" s="28"/>
      <c r="D28" s="29"/>
      <c r="E28" s="30"/>
      <c r="F28" s="3"/>
      <c r="G28" s="2"/>
    </row>
    <row r="29" spans="1:7" x14ac:dyDescent="0.25">
      <c r="B29" s="3"/>
      <c r="C29" s="28"/>
      <c r="D29" s="29"/>
      <c r="E29" s="30"/>
      <c r="F29" s="3"/>
      <c r="G29" s="2"/>
    </row>
    <row r="30" spans="1:7" x14ac:dyDescent="0.25">
      <c r="B30" s="3"/>
      <c r="C30" s="28"/>
      <c r="D30" s="29"/>
      <c r="E30" s="30"/>
      <c r="F30" s="3"/>
      <c r="G30" s="2"/>
    </row>
    <row r="31" spans="1:7" x14ac:dyDescent="0.25">
      <c r="B31" s="3"/>
      <c r="C31" s="28"/>
      <c r="D31" s="29"/>
      <c r="E31" s="30"/>
      <c r="F31" s="3"/>
      <c r="G31" s="2"/>
    </row>
    <row r="32" spans="1:7" x14ac:dyDescent="0.25">
      <c r="B32" s="3"/>
      <c r="C32" s="28"/>
      <c r="D32" s="29"/>
      <c r="E32" s="30"/>
      <c r="F32" s="3"/>
      <c r="G32" s="2"/>
    </row>
    <row r="33" spans="2:7" x14ac:dyDescent="0.25">
      <c r="B33" s="3"/>
      <c r="C33" s="28"/>
      <c r="D33" s="29"/>
      <c r="E33" s="30"/>
      <c r="F33" s="3"/>
      <c r="G33" s="2"/>
    </row>
    <row r="34" spans="2:7" x14ac:dyDescent="0.25">
      <c r="B34" s="34"/>
      <c r="C34" s="28"/>
      <c r="D34" s="29"/>
      <c r="E34" s="30"/>
      <c r="F34" s="3"/>
      <c r="G34" s="2"/>
    </row>
    <row r="35" spans="2:7" x14ac:dyDescent="0.25">
      <c r="B35" s="3"/>
      <c r="C35" s="28"/>
      <c r="D35" s="29"/>
      <c r="E35" s="30"/>
      <c r="F35" s="3"/>
      <c r="G35" s="2"/>
    </row>
    <row r="36" spans="2:7" x14ac:dyDescent="0.25">
      <c r="B36" s="3"/>
      <c r="C36" s="28"/>
      <c r="D36" s="29"/>
      <c r="E36" s="30"/>
      <c r="F36" s="3"/>
      <c r="G36" s="2"/>
    </row>
    <row r="37" spans="2:7" x14ac:dyDescent="0.25">
      <c r="B37" s="3"/>
      <c r="C37" s="28"/>
      <c r="D37" s="29"/>
      <c r="E37" s="30"/>
      <c r="F37" s="3"/>
      <c r="G37" s="2"/>
    </row>
    <row r="38" spans="2:7" x14ac:dyDescent="0.25">
      <c r="B38" s="3"/>
      <c r="C38" s="28"/>
      <c r="D38" s="29"/>
      <c r="E38" s="30"/>
      <c r="F38" s="3"/>
      <c r="G38" s="2"/>
    </row>
    <row r="39" spans="2:7" x14ac:dyDescent="0.25">
      <c r="B39" s="3"/>
      <c r="C39" s="28"/>
      <c r="D39" s="29"/>
      <c r="E39" s="30"/>
      <c r="F39" s="3"/>
      <c r="G39" s="2"/>
    </row>
    <row r="40" spans="2:7" x14ac:dyDescent="0.25">
      <c r="B40" s="3"/>
      <c r="C40" s="28"/>
      <c r="D40" s="29"/>
      <c r="E40" s="30"/>
      <c r="F40" s="3"/>
      <c r="G40" s="2"/>
    </row>
    <row r="41" spans="2:7" x14ac:dyDescent="0.25">
      <c r="B41" s="3"/>
      <c r="C41" s="28"/>
      <c r="D41" s="29"/>
      <c r="E41" s="30"/>
      <c r="F41" s="3"/>
      <c r="G41" s="2"/>
    </row>
    <row r="42" spans="2:7" x14ac:dyDescent="0.25">
      <c r="B42" s="3"/>
      <c r="C42" s="28"/>
      <c r="D42" s="29"/>
      <c r="E42" s="30"/>
      <c r="F42" s="3"/>
      <c r="G42" s="2"/>
    </row>
    <row r="43" spans="2:7" x14ac:dyDescent="0.25">
      <c r="B43" s="3"/>
      <c r="C43" s="28"/>
      <c r="D43" s="29"/>
      <c r="E43" s="30"/>
      <c r="F43" s="3"/>
      <c r="G43" s="2"/>
    </row>
    <row r="44" spans="2:7" x14ac:dyDescent="0.25">
      <c r="B44" s="3"/>
      <c r="C44" s="28"/>
      <c r="D44" s="29"/>
      <c r="E44" s="30"/>
      <c r="F44" s="3"/>
      <c r="G44" s="2"/>
    </row>
    <row r="45" spans="2:7" x14ac:dyDescent="0.25">
      <c r="B45" s="3"/>
      <c r="C45" s="28"/>
      <c r="D45" s="29"/>
      <c r="E45" s="30"/>
      <c r="F45" s="3"/>
      <c r="G45" s="2"/>
    </row>
    <row r="46" spans="2:7" x14ac:dyDescent="0.25">
      <c r="B46" s="3"/>
      <c r="C46" s="28"/>
      <c r="D46" s="29"/>
      <c r="E46" s="30"/>
      <c r="F46" s="3"/>
      <c r="G46" s="2"/>
    </row>
    <row r="47" spans="2:7" x14ac:dyDescent="0.25">
      <c r="B47" s="3"/>
      <c r="C47" s="28"/>
      <c r="D47" s="29"/>
      <c r="E47" s="30"/>
      <c r="F47" s="3"/>
      <c r="G47" s="2"/>
    </row>
    <row r="48" spans="2:7" x14ac:dyDescent="0.25">
      <c r="B48" s="3"/>
      <c r="C48" s="28"/>
      <c r="D48" s="29"/>
      <c r="E48" s="30"/>
      <c r="F48" s="3"/>
      <c r="G48" s="2"/>
    </row>
    <row r="49" spans="2:7" x14ac:dyDescent="0.25">
      <c r="B49" s="3"/>
      <c r="C49" s="28"/>
      <c r="D49" s="29"/>
      <c r="E49" s="30"/>
      <c r="F49" s="3"/>
      <c r="G49" s="2"/>
    </row>
    <row r="50" spans="2:7" x14ac:dyDescent="0.25">
      <c r="B50" s="3"/>
      <c r="C50" s="28"/>
      <c r="D50" s="29"/>
      <c r="E50" s="30"/>
      <c r="F50" s="3"/>
      <c r="G50" s="2"/>
    </row>
    <row r="51" spans="2:7" x14ac:dyDescent="0.25">
      <c r="B51" s="3"/>
      <c r="C51" s="28"/>
      <c r="D51" s="29"/>
      <c r="E51" s="30"/>
      <c r="F51" s="3"/>
      <c r="G51" s="2"/>
    </row>
    <row r="52" spans="2:7" x14ac:dyDescent="0.25">
      <c r="B52" s="3"/>
      <c r="C52" s="28"/>
      <c r="D52" s="29"/>
      <c r="E52" s="30"/>
      <c r="F52" s="3"/>
      <c r="G52" s="2"/>
    </row>
    <row r="53" spans="2:7" x14ac:dyDescent="0.25">
      <c r="B53" s="3"/>
      <c r="C53" s="28"/>
      <c r="D53" s="29"/>
      <c r="E53" s="30"/>
      <c r="F53" s="3"/>
      <c r="G53" s="2"/>
    </row>
    <row r="54" spans="2:7" x14ac:dyDescent="0.25">
      <c r="B54" s="3"/>
      <c r="C54" s="28"/>
      <c r="D54" s="29"/>
      <c r="E54" s="30"/>
      <c r="F54" s="3"/>
      <c r="G54" s="2"/>
    </row>
  </sheetData>
  <sortState ref="A8:G22">
    <sortCondition descending="1" ref="D8:D22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E9" sqref="E9:E11"/>
    </sheetView>
  </sheetViews>
  <sheetFormatPr defaultRowHeight="13.2" x14ac:dyDescent="0.25"/>
  <cols>
    <col min="2" max="2" width="24.6640625" customWidth="1"/>
    <col min="3" max="7" width="9.6640625" customWidth="1"/>
    <col min="9" max="9" width="9.88671875" bestFit="1" customWidth="1"/>
  </cols>
  <sheetData>
    <row r="1" spans="1:11" x14ac:dyDescent="0.25">
      <c r="A1" s="16" t="s">
        <v>22</v>
      </c>
      <c r="B1" s="17" t="s">
        <v>1167</v>
      </c>
      <c r="C1" s="18"/>
      <c r="D1" s="18"/>
      <c r="E1" s="18"/>
      <c r="F1" s="18"/>
      <c r="G1" s="19"/>
    </row>
    <row r="2" spans="1:11" x14ac:dyDescent="0.25">
      <c r="A2" s="20" t="s">
        <v>23</v>
      </c>
      <c r="B2" s="21">
        <v>43142</v>
      </c>
      <c r="C2" s="22"/>
      <c r="D2" s="22"/>
      <c r="E2" s="22"/>
      <c r="F2" s="22"/>
      <c r="G2" s="23"/>
    </row>
    <row r="3" spans="1:11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11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11" x14ac:dyDescent="0.25">
      <c r="A5" s="20" t="s">
        <v>27</v>
      </c>
      <c r="B5" s="24" t="s">
        <v>1168</v>
      </c>
      <c r="C5" s="22"/>
      <c r="D5" s="22"/>
      <c r="E5" s="22" t="s">
        <v>55</v>
      </c>
      <c r="F5" s="38">
        <f>AVERAGE(C8:C11)*(AVERAGE(D8:D11)/100)</f>
        <v>1.7455399442189889E-2</v>
      </c>
      <c r="G5" s="23"/>
    </row>
    <row r="6" spans="1:11" x14ac:dyDescent="0.25">
      <c r="A6" s="25" t="s">
        <v>29</v>
      </c>
      <c r="B6" s="26"/>
      <c r="C6" s="26"/>
      <c r="D6" s="26"/>
      <c r="E6" s="26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  <c r="I7" s="2"/>
      <c r="J7" s="2"/>
      <c r="K7" s="2"/>
    </row>
    <row r="8" spans="1:11" x14ac:dyDescent="0.25">
      <c r="A8" s="2">
        <v>33</v>
      </c>
      <c r="B8" s="3" t="s">
        <v>84</v>
      </c>
      <c r="C8" s="28">
        <v>1.7296296296296296E-2</v>
      </c>
      <c r="D8" s="29">
        <f>INDEX('Points Summary'!$F$4:$F$1143,G8)</f>
        <v>99.460903353359868</v>
      </c>
      <c r="E8" s="124">
        <f>(AVERAGE($D$8:$D$11)/100*AVERAGE($C$8:$C$11))/C8</f>
        <v>1.0091986829531627</v>
      </c>
      <c r="F8" s="3"/>
      <c r="G8" s="2">
        <f>MATCH(B8,'Points Summary'!$B$4:$B$1144,0)</f>
        <v>13</v>
      </c>
      <c r="I8" s="28"/>
      <c r="J8" s="28"/>
      <c r="K8" s="28"/>
    </row>
    <row r="9" spans="1:11" x14ac:dyDescent="0.25">
      <c r="A9" s="2">
        <v>47</v>
      </c>
      <c r="B9" s="3" t="s">
        <v>7</v>
      </c>
      <c r="C9" s="28">
        <v>1.7665509259259259E-2</v>
      </c>
      <c r="D9" s="29">
        <f>INDEX('Points Summary'!$F$4:$F$1143,G9)</f>
        <v>99.815882011789284</v>
      </c>
      <c r="E9" s="124">
        <f>(AVERAGE($D$8:$D$11)/100*AVERAGE($C$8:$C$11))/C9</f>
        <v>0.98810621228146922</v>
      </c>
      <c r="F9" s="3"/>
      <c r="G9" s="2">
        <f>MATCH(B9,'Points Summary'!$B$4:$B$1144,0)</f>
        <v>63</v>
      </c>
      <c r="I9" s="28"/>
      <c r="J9" s="28"/>
      <c r="K9" s="28"/>
    </row>
    <row r="10" spans="1:11" x14ac:dyDescent="0.25">
      <c r="A10" s="2">
        <v>57</v>
      </c>
      <c r="B10" s="3" t="s">
        <v>70</v>
      </c>
      <c r="C10" s="28">
        <v>1.7915509259259259E-2</v>
      </c>
      <c r="D10" s="29">
        <f>INDEX('Points Summary'!$F$4:$F$1143,G10)</f>
        <v>95.945007171519649</v>
      </c>
      <c r="E10" s="124">
        <f>(AVERAGE($D$8:$D$11)/100*AVERAGE($C$8:$C$11))/C10</f>
        <v>0.97431779301324783</v>
      </c>
      <c r="F10" s="3"/>
      <c r="G10" s="2">
        <f>MATCH(B10,'Points Summary'!$B$4:$B$1144,0)</f>
        <v>309</v>
      </c>
      <c r="I10" s="28"/>
      <c r="J10" s="28"/>
      <c r="K10" s="28"/>
    </row>
    <row r="11" spans="1:11" x14ac:dyDescent="0.25">
      <c r="A11" s="2">
        <v>65</v>
      </c>
      <c r="B11" s="3" t="s">
        <v>189</v>
      </c>
      <c r="C11" s="28">
        <v>1.8000000000000002E-2</v>
      </c>
      <c r="D11" s="29">
        <f>INDEX('Points Summary'!$F$4:$F$1143,G11)</f>
        <v>98.820210613063381</v>
      </c>
      <c r="E11" s="124">
        <f>(AVERAGE($D$8:$D$11)/100*AVERAGE($C$8:$C$11))/C11</f>
        <v>0.96974441345499374</v>
      </c>
      <c r="F11" s="3"/>
      <c r="G11" s="2">
        <f>MATCH(B11,'Points Summary'!$B$4:$B$1144,0)</f>
        <v>120</v>
      </c>
      <c r="I11" s="28"/>
      <c r="J11" s="28"/>
      <c r="K11" s="28"/>
    </row>
    <row r="12" spans="1:11" x14ac:dyDescent="0.25">
      <c r="A12" s="42"/>
      <c r="B12" s="3"/>
      <c r="C12" s="28"/>
      <c r="D12" s="29"/>
      <c r="E12" s="124"/>
      <c r="F12" s="3"/>
      <c r="G12" s="2"/>
      <c r="I12" s="28"/>
      <c r="J12" s="28"/>
      <c r="K12" s="28"/>
    </row>
    <row r="13" spans="1:11" x14ac:dyDescent="0.25">
      <c r="A13" s="2"/>
      <c r="B13" s="3"/>
      <c r="C13" s="28"/>
      <c r="D13" s="29"/>
      <c r="E13" s="124"/>
      <c r="F13" s="3"/>
      <c r="G13" s="2"/>
      <c r="I13" s="28"/>
      <c r="J13" s="28"/>
      <c r="K13" s="28"/>
    </row>
    <row r="14" spans="1:11" x14ac:dyDescent="0.25">
      <c r="A14" s="2"/>
      <c r="B14" s="3"/>
      <c r="C14" s="28"/>
      <c r="D14" s="29"/>
      <c r="E14" s="124"/>
      <c r="F14" s="3"/>
      <c r="G14" s="2"/>
      <c r="I14" s="28"/>
      <c r="J14" s="28"/>
      <c r="K14" s="28"/>
    </row>
    <row r="15" spans="1:11" x14ac:dyDescent="0.25">
      <c r="A15" s="2"/>
      <c r="B15" s="3"/>
      <c r="C15" s="28"/>
      <c r="D15" s="29"/>
      <c r="E15" s="124"/>
      <c r="F15" s="3"/>
      <c r="G15" s="2"/>
      <c r="I15" s="28"/>
      <c r="J15" s="28"/>
      <c r="K15" s="28"/>
    </row>
    <row r="16" spans="1:11" x14ac:dyDescent="0.25">
      <c r="A16" s="2"/>
      <c r="B16" s="3"/>
      <c r="C16" s="28"/>
      <c r="D16" s="29"/>
      <c r="E16" s="124"/>
      <c r="F16" s="3"/>
      <c r="G16" s="2"/>
      <c r="I16" s="28"/>
      <c r="J16" s="28"/>
      <c r="K16" s="28"/>
    </row>
    <row r="17" spans="1:11" x14ac:dyDescent="0.25">
      <c r="A17" s="2"/>
      <c r="B17" s="3"/>
      <c r="C17" s="28"/>
      <c r="D17" s="29"/>
      <c r="E17" s="124"/>
      <c r="F17" s="3"/>
      <c r="G17" s="2"/>
      <c r="H17" s="148"/>
      <c r="I17" s="28"/>
      <c r="J17" s="28"/>
      <c r="K17" s="28"/>
    </row>
    <row r="18" spans="1:11" x14ac:dyDescent="0.25">
      <c r="A18" s="2"/>
      <c r="B18" s="3"/>
      <c r="C18" s="28"/>
      <c r="D18" s="29"/>
      <c r="E18" s="124"/>
      <c r="F18" s="3"/>
      <c r="G18" s="2"/>
      <c r="H18" s="148"/>
      <c r="I18" s="28"/>
      <c r="J18" s="28"/>
      <c r="K18" s="28"/>
    </row>
    <row r="19" spans="1:11" x14ac:dyDescent="0.25">
      <c r="A19" s="2"/>
      <c r="B19" s="3"/>
      <c r="C19" s="28"/>
      <c r="D19" s="29"/>
      <c r="E19" s="124"/>
      <c r="F19" s="3"/>
      <c r="G19" s="2"/>
      <c r="H19" s="148"/>
      <c r="I19" s="28"/>
      <c r="J19" s="28"/>
      <c r="K19" s="28"/>
    </row>
    <row r="20" spans="1:11" x14ac:dyDescent="0.25">
      <c r="A20" s="2"/>
      <c r="B20" s="3"/>
      <c r="C20" s="28"/>
      <c r="D20" s="29"/>
      <c r="E20" s="124"/>
      <c r="F20" s="3"/>
      <c r="G20" s="2"/>
      <c r="H20" s="148"/>
      <c r="I20" s="28"/>
      <c r="J20" s="28"/>
      <c r="K20" s="28"/>
    </row>
    <row r="21" spans="1:11" x14ac:dyDescent="0.25">
      <c r="A21" s="2"/>
      <c r="B21" s="3"/>
      <c r="C21" s="28"/>
      <c r="D21" s="29"/>
      <c r="E21" s="124"/>
      <c r="F21" s="3"/>
      <c r="G21" s="2"/>
      <c r="H21" s="148"/>
      <c r="I21" s="28"/>
      <c r="J21" s="28"/>
      <c r="K21" s="28"/>
    </row>
    <row r="22" spans="1:11" x14ac:dyDescent="0.25">
      <c r="A22" s="2"/>
      <c r="B22" s="3"/>
      <c r="C22" s="28"/>
      <c r="D22" s="29"/>
      <c r="E22" s="30"/>
      <c r="F22" s="3"/>
      <c r="G22" s="2"/>
      <c r="H22" s="148"/>
      <c r="I22" s="28"/>
      <c r="J22" s="28"/>
      <c r="K22" s="28"/>
    </row>
    <row r="23" spans="1:11" x14ac:dyDescent="0.25">
      <c r="A23" s="2"/>
      <c r="B23" s="3"/>
      <c r="C23" s="28"/>
      <c r="D23" s="29"/>
      <c r="E23" s="30"/>
      <c r="F23" s="3"/>
      <c r="G23" s="2"/>
      <c r="H23" s="148"/>
      <c r="I23" s="28"/>
      <c r="J23" s="28"/>
      <c r="K23" s="28"/>
    </row>
    <row r="24" spans="1:11" x14ac:dyDescent="0.25">
      <c r="A24" s="2"/>
      <c r="B24" s="3"/>
      <c r="C24" s="28"/>
      <c r="D24" s="29"/>
      <c r="E24" s="30"/>
      <c r="F24" s="3"/>
      <c r="G24" s="2"/>
      <c r="H24" s="148"/>
      <c r="I24" s="28"/>
      <c r="J24" s="28"/>
      <c r="K24" s="28"/>
    </row>
    <row r="25" spans="1:11" x14ac:dyDescent="0.25">
      <c r="A25" s="2"/>
      <c r="B25" s="3"/>
      <c r="C25" s="28"/>
      <c r="D25" s="29"/>
      <c r="E25" s="30"/>
      <c r="F25" s="3"/>
      <c r="G25" s="2"/>
      <c r="H25" s="148"/>
      <c r="I25" s="28"/>
      <c r="J25" s="28"/>
      <c r="K25" s="28"/>
    </row>
    <row r="26" spans="1:11" x14ac:dyDescent="0.25">
      <c r="A26" s="2"/>
      <c r="B26" s="3"/>
      <c r="C26" s="28"/>
      <c r="D26" s="29"/>
      <c r="E26" s="30"/>
      <c r="F26" s="3"/>
      <c r="G26" s="2"/>
      <c r="H26" s="148"/>
      <c r="I26" s="28"/>
    </row>
    <row r="27" spans="1:11" x14ac:dyDescent="0.25">
      <c r="A27" s="2"/>
      <c r="B27" s="3"/>
      <c r="C27" s="28"/>
      <c r="D27" s="29"/>
      <c r="E27" s="30"/>
      <c r="F27" s="3"/>
      <c r="G27" s="2"/>
      <c r="H27" s="148"/>
    </row>
    <row r="28" spans="1:11" x14ac:dyDescent="0.25">
      <c r="A28" s="2"/>
      <c r="B28" s="3"/>
      <c r="C28" s="28"/>
      <c r="D28" s="29"/>
      <c r="E28" s="30"/>
      <c r="F28" s="3"/>
      <c r="G28" s="2"/>
    </row>
    <row r="29" spans="1:11" x14ac:dyDescent="0.25">
      <c r="A29" s="2"/>
      <c r="B29" s="3"/>
      <c r="C29" s="28"/>
      <c r="D29" s="29"/>
      <c r="E29" s="30"/>
      <c r="F29" s="3"/>
      <c r="G29" s="2"/>
    </row>
    <row r="30" spans="1:11" x14ac:dyDescent="0.25">
      <c r="A30" s="42"/>
      <c r="B30" s="3"/>
      <c r="C30" s="28"/>
      <c r="D30" s="29"/>
      <c r="E30" s="30"/>
      <c r="F30" s="3"/>
      <c r="G30" s="2"/>
    </row>
    <row r="31" spans="1:11" x14ac:dyDescent="0.25">
      <c r="A31" s="42"/>
      <c r="B31" s="3"/>
      <c r="C31" s="28"/>
      <c r="D31" s="29"/>
      <c r="E31" s="30"/>
      <c r="F31" s="3"/>
      <c r="G31" s="2"/>
    </row>
    <row r="32" spans="1:11" x14ac:dyDescent="0.25">
      <c r="A32" s="42"/>
      <c r="B32" s="3"/>
      <c r="C32" s="28"/>
      <c r="D32" s="29"/>
      <c r="E32" s="30"/>
      <c r="F32" s="3"/>
      <c r="G32" s="2"/>
    </row>
    <row r="33" spans="1:7" x14ac:dyDescent="0.25">
      <c r="A33" s="42"/>
      <c r="B33" s="3"/>
      <c r="C33" s="28"/>
      <c r="D33" s="29"/>
      <c r="E33" s="30"/>
      <c r="F33" s="3"/>
      <c r="G33" s="2"/>
    </row>
    <row r="34" spans="1:7" x14ac:dyDescent="0.25">
      <c r="A34" s="42"/>
      <c r="B34" s="3"/>
      <c r="C34" s="28"/>
      <c r="D34" s="29"/>
      <c r="E34" s="30"/>
      <c r="F34" s="3"/>
      <c r="G34" s="2"/>
    </row>
  </sheetData>
  <sortState ref="A8:D11">
    <sortCondition descending="1" ref="D8:D11"/>
  </sortState>
  <phoneticPr fontId="9" type="noConversion"/>
  <printOptions horizontalCentered="1"/>
  <pageMargins left="0.75" right="0.75" top="1" bottom="1" header="0.5" footer="0.5"/>
  <pageSetup orientation="portrait" horizontalDpi="1200" verticalDpi="1200" r:id="rId1"/>
  <headerFooter alignWithMargins="0">
    <oddHeader>&amp;L&amp;"Tahoma,Bold"&amp;11U.S. Biathlon Association&amp;R&amp;"Tahoma,Bold"&amp;11 2018 Race Points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workbookViewId="0">
      <selection activeCell="B8" sqref="B8:B12"/>
    </sheetView>
  </sheetViews>
  <sheetFormatPr defaultRowHeight="13.2" x14ac:dyDescent="0.25"/>
  <cols>
    <col min="2" max="2" width="20.6640625" customWidth="1"/>
    <col min="3" max="7" width="9.6640625" customWidth="1"/>
  </cols>
  <sheetData>
    <row r="1" spans="1:7" x14ac:dyDescent="0.25">
      <c r="A1" s="16" t="s">
        <v>22</v>
      </c>
      <c r="B1" s="17" t="s">
        <v>1014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43071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656</v>
      </c>
      <c r="C5" s="22"/>
      <c r="D5" s="22"/>
      <c r="E5" s="22" t="s">
        <v>55</v>
      </c>
      <c r="F5" s="38">
        <f>AVERAGE(C8:C12)*(AVERAGE(D8:D12)/100)</f>
        <v>1.6402287592729697E-2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22</v>
      </c>
      <c r="B8" s="114" t="s">
        <v>84</v>
      </c>
      <c r="C8" s="51">
        <v>1.6324074074074074E-2</v>
      </c>
      <c r="D8" s="29">
        <f>INDEX('Points Summary'!$H$4:$H$1143,G8)</f>
        <v>100.00430567075759</v>
      </c>
      <c r="E8" s="30">
        <f>(AVERAGE($D$8:$D$12)/100*AVERAGE($C$8:$C$12))/C8</f>
        <v>1.0047912989306904</v>
      </c>
      <c r="F8" s="3"/>
      <c r="G8" s="2">
        <f>MATCH(B8,'Points Summary'!$B$4:$B$1144,0)</f>
        <v>13</v>
      </c>
    </row>
    <row r="9" spans="1:7" x14ac:dyDescent="0.25">
      <c r="A9" s="2">
        <v>52</v>
      </c>
      <c r="B9" s="3" t="s">
        <v>7</v>
      </c>
      <c r="C9" s="51">
        <v>1.6931712962962964E-2</v>
      </c>
      <c r="D9" s="29">
        <f>INDEX('Points Summary'!$H$4:$H$1143,G9)</f>
        <v>95.350976065584277</v>
      </c>
      <c r="E9" s="30">
        <f>(AVERAGE($D$8:$D$12)/100*AVERAGE($C$8:$C$12))/C9</f>
        <v>0.96873173013319136</v>
      </c>
      <c r="F9" s="3"/>
      <c r="G9" s="2">
        <f>MATCH(B9,'Points Summary'!$B$4:$B$1144,0)</f>
        <v>63</v>
      </c>
    </row>
    <row r="10" spans="1:7" x14ac:dyDescent="0.25">
      <c r="A10" s="2">
        <v>66</v>
      </c>
      <c r="B10" s="114" t="s">
        <v>70</v>
      </c>
      <c r="C10" s="51">
        <v>1.7181712962962965E-2</v>
      </c>
      <c r="D10" s="29">
        <f>INDEX('Points Summary'!$H$4:$H$1143,G10)</f>
        <v>94.642791354956501</v>
      </c>
      <c r="E10" s="30">
        <f>(AVERAGE($D$8:$D$12)/100*AVERAGE($C$8:$C$12))/C10</f>
        <v>0.95463634086348648</v>
      </c>
      <c r="F10" s="3"/>
      <c r="G10" s="2">
        <f>MATCH(B10,'Points Summary'!$B$4:$B$1144,0)</f>
        <v>309</v>
      </c>
    </row>
    <row r="11" spans="1:7" x14ac:dyDescent="0.25">
      <c r="A11" s="2">
        <v>94</v>
      </c>
      <c r="B11" s="3" t="s">
        <v>762</v>
      </c>
      <c r="C11" s="51">
        <v>1.7879629629629631E-2</v>
      </c>
      <c r="D11" s="29">
        <f>INDEX('Points Summary'!$H$4:$H$1143,G11)</f>
        <v>94.093188352610781</v>
      </c>
      <c r="E11" s="30">
        <f>(AVERAGE($D$8:$D$12)/100*AVERAGE($C$8:$C$12))/C11</f>
        <v>0.91737289488079088</v>
      </c>
      <c r="F11" s="3"/>
      <c r="G11" s="2">
        <f>MATCH(B11,'Points Summary'!$B$4:$B$1144,0)</f>
        <v>366</v>
      </c>
    </row>
    <row r="12" spans="1:7" x14ac:dyDescent="0.25">
      <c r="A12" s="2">
        <v>82</v>
      </c>
      <c r="B12" s="114" t="s">
        <v>189</v>
      </c>
      <c r="C12" s="51">
        <v>1.7468750000000002E-2</v>
      </c>
      <c r="D12" s="29">
        <f>INDEX('Points Summary'!$H$4:$H$1143,G12)</f>
        <v>93.909537275665315</v>
      </c>
      <c r="E12" s="30">
        <f>(AVERAGE($D$8:$D$12)/100*AVERAGE($C$8:$C$12))/C12</f>
        <v>0.93895027364463368</v>
      </c>
      <c r="F12" s="3"/>
      <c r="G12" s="2">
        <f>MATCH(B12,'Points Summary'!$B$4:$B$1144,0)</f>
        <v>120</v>
      </c>
    </row>
    <row r="13" spans="1:7" x14ac:dyDescent="0.25">
      <c r="A13" s="42"/>
      <c r="B13" s="114"/>
      <c r="C13" s="28"/>
      <c r="D13" s="29"/>
      <c r="E13" s="30"/>
      <c r="F13" s="3"/>
      <c r="G13" s="2"/>
    </row>
    <row r="14" spans="1:7" x14ac:dyDescent="0.25">
      <c r="A14" s="53"/>
      <c r="B14" s="114"/>
      <c r="C14" s="49"/>
      <c r="D14" s="29"/>
      <c r="E14" s="30"/>
      <c r="F14" s="3"/>
      <c r="G14" s="2"/>
    </row>
    <row r="15" spans="1:7" x14ac:dyDescent="0.25">
      <c r="A15" s="53"/>
      <c r="B15" s="114"/>
      <c r="C15" s="49"/>
      <c r="D15" s="29"/>
      <c r="E15" s="30"/>
      <c r="F15" s="3"/>
      <c r="G15" s="2"/>
    </row>
    <row r="16" spans="1:7" x14ac:dyDescent="0.25">
      <c r="A16" s="53"/>
      <c r="B16" s="114"/>
      <c r="C16" s="49"/>
      <c r="D16" s="29"/>
      <c r="E16" s="30"/>
      <c r="F16" s="3"/>
      <c r="G16" s="2"/>
    </row>
    <row r="17" spans="1:7" x14ac:dyDescent="0.25">
      <c r="A17" s="2"/>
      <c r="B17" s="114"/>
      <c r="C17" s="49"/>
      <c r="D17" s="29"/>
      <c r="E17" s="30"/>
      <c r="F17" s="3"/>
      <c r="G17" s="2"/>
    </row>
    <row r="18" spans="1:7" x14ac:dyDescent="0.25">
      <c r="A18" s="2"/>
      <c r="B18" s="114"/>
      <c r="C18" s="49"/>
      <c r="D18" s="29"/>
      <c r="E18" s="30"/>
      <c r="F18" s="3"/>
      <c r="G18" s="2"/>
    </row>
    <row r="19" spans="1:7" x14ac:dyDescent="0.25">
      <c r="A19" s="2"/>
      <c r="B19" s="114"/>
      <c r="C19" s="49"/>
      <c r="D19" s="29"/>
      <c r="E19" s="30"/>
      <c r="F19" s="3"/>
      <c r="G19" s="2"/>
    </row>
    <row r="20" spans="1:7" x14ac:dyDescent="0.25">
      <c r="A20" s="53"/>
      <c r="B20" s="114"/>
      <c r="C20" s="49"/>
      <c r="D20" s="29"/>
      <c r="E20" s="30"/>
      <c r="F20" s="3"/>
      <c r="G20" s="2"/>
    </row>
    <row r="21" spans="1:7" x14ac:dyDescent="0.25">
      <c r="A21" s="2"/>
      <c r="B21" s="114"/>
      <c r="C21" s="49"/>
      <c r="D21" s="29"/>
      <c r="E21" s="30"/>
      <c r="F21" s="3"/>
      <c r="G21" s="2"/>
    </row>
    <row r="22" spans="1:7" x14ac:dyDescent="0.25">
      <c r="A22" s="2"/>
      <c r="B22" s="115"/>
      <c r="C22" s="49"/>
      <c r="D22" s="29"/>
      <c r="E22" s="30"/>
      <c r="F22" s="3"/>
      <c r="G22" s="2"/>
    </row>
    <row r="23" spans="1:7" x14ac:dyDescent="0.25">
      <c r="A23" s="2"/>
      <c r="B23" s="115"/>
      <c r="C23" s="49"/>
      <c r="D23" s="29"/>
      <c r="E23" s="30"/>
      <c r="F23" s="3"/>
      <c r="G23" s="2"/>
    </row>
    <row r="24" spans="1:7" x14ac:dyDescent="0.25">
      <c r="A24" s="2"/>
      <c r="B24" s="115"/>
      <c r="C24" s="49"/>
      <c r="D24" s="29"/>
      <c r="E24" s="30"/>
      <c r="F24" s="3"/>
      <c r="G24" s="2"/>
    </row>
    <row r="25" spans="1:7" x14ac:dyDescent="0.25">
      <c r="A25" s="2"/>
      <c r="B25" s="115"/>
      <c r="C25" s="49"/>
      <c r="D25" s="29"/>
      <c r="E25" s="30"/>
      <c r="F25" s="3"/>
      <c r="G25" s="2"/>
    </row>
  </sheetData>
  <sortState ref="A8:E12">
    <sortCondition descending="1" ref="D8:D12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2018 Race Points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0"/>
  <sheetViews>
    <sheetView workbookViewId="0">
      <selection activeCell="D16" sqref="D16:G16"/>
    </sheetView>
  </sheetViews>
  <sheetFormatPr defaultRowHeight="13.2" x14ac:dyDescent="0.25"/>
  <cols>
    <col min="2" max="2" width="24.6640625" customWidth="1"/>
    <col min="3" max="7" width="9.6640625" customWidth="1"/>
    <col min="8" max="8" width="15.5546875" customWidth="1"/>
  </cols>
  <sheetData>
    <row r="1" spans="1:12" x14ac:dyDescent="0.25">
      <c r="A1" s="16" t="s">
        <v>22</v>
      </c>
      <c r="B1" s="17" t="s">
        <v>1169</v>
      </c>
      <c r="C1" s="18"/>
      <c r="D1" s="18"/>
      <c r="E1" s="18"/>
      <c r="F1" s="18"/>
      <c r="G1" s="19"/>
    </row>
    <row r="2" spans="1:12" x14ac:dyDescent="0.25">
      <c r="A2" s="20" t="s">
        <v>23</v>
      </c>
      <c r="B2" s="21">
        <v>43142</v>
      </c>
      <c r="C2" s="22"/>
      <c r="D2" s="22"/>
      <c r="E2" s="22"/>
      <c r="F2" s="22"/>
      <c r="G2" s="23"/>
    </row>
    <row r="3" spans="1:12" x14ac:dyDescent="0.25">
      <c r="A3" s="20" t="s">
        <v>24</v>
      </c>
      <c r="B3" s="24" t="s">
        <v>43</v>
      </c>
      <c r="C3" s="22"/>
      <c r="D3" s="22"/>
      <c r="E3" s="22"/>
      <c r="F3" s="22"/>
      <c r="G3" s="23"/>
    </row>
    <row r="4" spans="1:12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12" x14ac:dyDescent="0.25">
      <c r="A5" s="20" t="s">
        <v>27</v>
      </c>
      <c r="B5" s="24" t="s">
        <v>115</v>
      </c>
      <c r="C5" s="22"/>
      <c r="D5" s="22"/>
      <c r="E5" s="22" t="s">
        <v>55</v>
      </c>
      <c r="F5" s="38">
        <f>AVERAGE(C8:C12)*(AVERAGE(D8:D12)/100)</f>
        <v>2.1942721258498894E-2</v>
      </c>
      <c r="G5" s="23"/>
    </row>
    <row r="6" spans="1:12" x14ac:dyDescent="0.25">
      <c r="A6" s="25" t="s">
        <v>29</v>
      </c>
      <c r="B6" s="26"/>
      <c r="C6" s="26"/>
      <c r="D6" s="26"/>
      <c r="E6" s="26"/>
      <c r="F6" s="26"/>
      <c r="G6" s="27"/>
    </row>
    <row r="7" spans="1:12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12" x14ac:dyDescent="0.25">
      <c r="A8" s="2">
        <v>1</v>
      </c>
      <c r="B8" s="3" t="s">
        <v>460</v>
      </c>
      <c r="C8" s="51">
        <v>2.2981481481481481E-2</v>
      </c>
      <c r="D8" s="29">
        <f>INDEX('Points Summary'!$F$4:$F$1143,G8)</f>
        <v>92.885416008196273</v>
      </c>
      <c r="E8" s="124">
        <f>(AVERAGE($D$8:$D$12)/100*AVERAGE($C$8:$C$12))/C8</f>
        <v>0.95480011922557639</v>
      </c>
      <c r="F8" s="3"/>
      <c r="G8" s="2">
        <f>MATCH(B8,'Points Summary'!$B$4:$B$1144,0)</f>
        <v>139</v>
      </c>
      <c r="I8" s="28"/>
      <c r="J8" s="28"/>
      <c r="K8" s="72"/>
      <c r="L8" s="42"/>
    </row>
    <row r="9" spans="1:12" x14ac:dyDescent="0.25">
      <c r="A9" s="2">
        <v>5</v>
      </c>
      <c r="B9" s="3" t="s">
        <v>104</v>
      </c>
      <c r="C9" s="51">
        <v>2.5243055555555557E-2</v>
      </c>
      <c r="D9" s="29">
        <f>INDEX('Points Summary'!$F$4:$F$1143,G9)</f>
        <v>89.981553251588309</v>
      </c>
      <c r="E9" s="124">
        <f t="shared" ref="E9:E15" si="0">(AVERAGE($D$8:$D$12)/100*AVERAGE($C$8:$C$12))/C9</f>
        <v>0.86925773348661362</v>
      </c>
      <c r="F9" s="3"/>
      <c r="G9" s="2">
        <f>MATCH(B9,'Points Summary'!$B$4:$B$1144,0)</f>
        <v>166</v>
      </c>
      <c r="I9" s="28"/>
      <c r="J9" s="28"/>
      <c r="K9" s="72"/>
      <c r="L9" s="42"/>
    </row>
    <row r="10" spans="1:12" x14ac:dyDescent="0.25">
      <c r="A10" s="2">
        <v>7</v>
      </c>
      <c r="B10" s="3" t="s">
        <v>173</v>
      </c>
      <c r="C10" s="51">
        <v>2.582523148148148E-2</v>
      </c>
      <c r="D10" s="29">
        <f>INDEX('Points Summary'!$F$4:$F$1143,G10)</f>
        <v>87.864563738067233</v>
      </c>
      <c r="E10" s="124">
        <f t="shared" si="0"/>
        <v>0.84966213271828284</v>
      </c>
      <c r="F10" s="3"/>
      <c r="G10" s="2">
        <f>MATCH(B10,'Points Summary'!$B$4:$B$1144,0)</f>
        <v>47</v>
      </c>
      <c r="L10" s="42"/>
    </row>
    <row r="11" spans="1:12" x14ac:dyDescent="0.25">
      <c r="A11" s="2">
        <v>6</v>
      </c>
      <c r="B11" s="3" t="s">
        <v>103</v>
      </c>
      <c r="C11" s="51">
        <v>2.5326388888888888E-2</v>
      </c>
      <c r="D11" s="29">
        <f>INDEX('Points Summary'!$F$4:$F$1143,G11)</f>
        <v>87.153898367817163</v>
      </c>
      <c r="E11" s="124">
        <f t="shared" si="0"/>
        <v>0.86639754900571453</v>
      </c>
      <c r="F11" s="3"/>
      <c r="G11" s="2">
        <f>MATCH(B11,'Points Summary'!$B$4:$B$1144,0)</f>
        <v>163</v>
      </c>
      <c r="L11" s="42"/>
    </row>
    <row r="12" spans="1:12" x14ac:dyDescent="0.25">
      <c r="A12" s="2">
        <v>3</v>
      </c>
      <c r="B12" s="3" t="s">
        <v>714</v>
      </c>
      <c r="C12" s="51">
        <v>2.4783564814814817E-2</v>
      </c>
      <c r="D12" s="29">
        <f>INDEX('Points Summary'!$F$4:$F$1143,G12)</f>
        <v>83.939036057542722</v>
      </c>
      <c r="E12" s="124">
        <f t="shared" si="0"/>
        <v>0.88537389283813772</v>
      </c>
      <c r="F12" s="3"/>
      <c r="G12" s="2">
        <f>MATCH(B12,'Points Summary'!$B$4:$B$1144,0)</f>
        <v>220</v>
      </c>
      <c r="L12" s="42"/>
    </row>
    <row r="13" spans="1:12" x14ac:dyDescent="0.25">
      <c r="A13" s="2">
        <v>9</v>
      </c>
      <c r="B13" s="3" t="s">
        <v>718</v>
      </c>
      <c r="C13" s="51">
        <v>2.8864583333333332E-2</v>
      </c>
      <c r="D13" s="29">
        <f>INDEX('Points Summary'!$F$4:$F$1143,G13)</f>
        <v>81.013290109009503</v>
      </c>
      <c r="E13" s="124">
        <f t="shared" si="0"/>
        <v>0.76019532328253114</v>
      </c>
      <c r="F13" s="3"/>
      <c r="G13" s="2">
        <f>MATCH(B13,'Points Summary'!$B$4:$B$1144,0)</f>
        <v>305</v>
      </c>
      <c r="L13" s="42"/>
    </row>
    <row r="14" spans="1:12" x14ac:dyDescent="0.25">
      <c r="A14" s="2">
        <v>8</v>
      </c>
      <c r="B14" s="3" t="s">
        <v>936</v>
      </c>
      <c r="C14" s="51">
        <v>2.7128472222222224E-2</v>
      </c>
      <c r="D14" s="29">
        <f>INDEX('Points Summary'!$F$4:$F$1143,G14)</f>
        <v>79.76105334129258</v>
      </c>
      <c r="E14" s="124">
        <f t="shared" si="0"/>
        <v>0.80884471041183681</v>
      </c>
      <c r="F14" s="3"/>
      <c r="G14" s="2">
        <f>MATCH(B14,'Points Summary'!$B$4:$B$1144,0)</f>
        <v>330</v>
      </c>
      <c r="L14" s="42"/>
    </row>
    <row r="15" spans="1:12" x14ac:dyDescent="0.25">
      <c r="A15" s="2">
        <v>10</v>
      </c>
      <c r="B15" s="3" t="s">
        <v>730</v>
      </c>
      <c r="C15" s="51">
        <v>2.9378472222222219E-2</v>
      </c>
      <c r="D15" s="29">
        <f>INDEX('Points Summary'!$F$4:$F$1143,G15)</f>
        <v>76.49851546192447</v>
      </c>
      <c r="E15" s="124">
        <f t="shared" si="0"/>
        <v>0.74689796979644041</v>
      </c>
      <c r="F15" s="3"/>
      <c r="G15" s="2">
        <f>MATCH(B15,'Points Summary'!$B$4:$B$1144,0)</f>
        <v>355</v>
      </c>
      <c r="L15" s="42"/>
    </row>
    <row r="16" spans="1:12" x14ac:dyDescent="0.25">
      <c r="A16" s="2">
        <v>1</v>
      </c>
      <c r="B16" s="3" t="s">
        <v>1034</v>
      </c>
      <c r="C16" s="51">
        <v>2.8475694444444446E-2</v>
      </c>
      <c r="D16" s="29">
        <f>INDEX('Points Summary'!$F$4:$F$1143,G16)</f>
        <v>84.278844281290986</v>
      </c>
      <c r="E16" s="124">
        <f>(AVERAGE($D$8:$D$12)/100*AVERAGE($C$8:$C$12))/C16</f>
        <v>0.77057721283351799</v>
      </c>
      <c r="F16" s="3"/>
      <c r="G16" s="2">
        <f>MATCH(B16,'Points Summary'!$B$4:$B$1144,0)</f>
        <v>103</v>
      </c>
    </row>
    <row r="17" spans="1:7" x14ac:dyDescent="0.25">
      <c r="A17" s="2"/>
      <c r="B17" s="3"/>
      <c r="C17" s="28"/>
      <c r="D17" s="29"/>
      <c r="E17" s="124"/>
      <c r="F17" s="3"/>
      <c r="G17" s="2"/>
    </row>
    <row r="18" spans="1:7" x14ac:dyDescent="0.25">
      <c r="A18" s="2"/>
      <c r="B18" s="3"/>
      <c r="C18" s="28"/>
      <c r="D18" s="29"/>
      <c r="E18" s="124"/>
      <c r="F18" s="3"/>
      <c r="G18" s="2"/>
    </row>
    <row r="19" spans="1:7" x14ac:dyDescent="0.25">
      <c r="A19" s="2"/>
      <c r="B19" s="3"/>
      <c r="C19" s="28"/>
      <c r="D19" s="29"/>
      <c r="E19" s="124"/>
      <c r="F19" s="3"/>
      <c r="G19" s="2"/>
    </row>
    <row r="20" spans="1:7" x14ac:dyDescent="0.25">
      <c r="A20" s="2"/>
      <c r="B20" s="3"/>
      <c r="C20" s="28"/>
      <c r="D20" s="29"/>
      <c r="E20" s="124"/>
      <c r="F20" s="3"/>
      <c r="G20" s="2"/>
    </row>
    <row r="21" spans="1:7" x14ac:dyDescent="0.25">
      <c r="A21" s="2"/>
      <c r="B21" s="3"/>
      <c r="C21" s="28"/>
      <c r="D21" s="29"/>
      <c r="E21" s="30"/>
      <c r="F21" s="3"/>
      <c r="G21" s="2"/>
    </row>
    <row r="22" spans="1:7" x14ac:dyDescent="0.25">
      <c r="A22" s="2"/>
      <c r="B22" s="3"/>
      <c r="C22" s="28"/>
      <c r="D22" s="29"/>
      <c r="E22" s="30"/>
      <c r="F22" s="3"/>
      <c r="G22" s="2"/>
    </row>
    <row r="23" spans="1:7" x14ac:dyDescent="0.25">
      <c r="A23" s="2"/>
      <c r="B23" s="3"/>
      <c r="C23" s="28"/>
      <c r="D23" s="29"/>
      <c r="E23" s="30"/>
      <c r="F23" s="3"/>
      <c r="G23" s="2"/>
    </row>
    <row r="24" spans="1:7" x14ac:dyDescent="0.25">
      <c r="A24" s="42"/>
      <c r="B24" s="3"/>
      <c r="C24" s="28"/>
      <c r="D24" s="29"/>
      <c r="E24" s="30"/>
      <c r="F24" s="3"/>
      <c r="G24" s="2"/>
    </row>
    <row r="25" spans="1:7" x14ac:dyDescent="0.25">
      <c r="A25" s="42"/>
      <c r="B25" s="3"/>
      <c r="C25" s="28"/>
      <c r="D25" s="29"/>
      <c r="E25" s="30"/>
      <c r="F25" s="3"/>
      <c r="G25" s="2"/>
    </row>
    <row r="26" spans="1:7" x14ac:dyDescent="0.25">
      <c r="A26" s="42"/>
      <c r="B26" s="3"/>
      <c r="C26" s="28"/>
      <c r="D26" s="29"/>
      <c r="E26" s="30"/>
      <c r="F26" s="3"/>
      <c r="G26" s="2"/>
    </row>
    <row r="27" spans="1:7" x14ac:dyDescent="0.25">
      <c r="A27" s="42"/>
      <c r="B27" s="3"/>
      <c r="C27" s="28"/>
      <c r="D27" s="29"/>
      <c r="E27" s="30"/>
      <c r="F27" s="3"/>
      <c r="G27" s="2"/>
    </row>
    <row r="28" spans="1:7" x14ac:dyDescent="0.25">
      <c r="A28" s="42"/>
      <c r="B28" s="3"/>
      <c r="C28" s="28"/>
      <c r="D28" s="29"/>
      <c r="E28" s="30"/>
      <c r="F28" s="3"/>
      <c r="G28" s="2"/>
    </row>
    <row r="29" spans="1:7" x14ac:dyDescent="0.25">
      <c r="A29" s="42"/>
      <c r="B29" s="3"/>
      <c r="C29" s="28"/>
      <c r="D29" s="29"/>
      <c r="E29" s="30"/>
      <c r="F29" s="3"/>
      <c r="G29" s="2"/>
    </row>
    <row r="30" spans="1:7" x14ac:dyDescent="0.25">
      <c r="A30" s="42"/>
      <c r="B30" s="3"/>
      <c r="C30" s="28"/>
      <c r="D30" s="29"/>
      <c r="E30" s="30"/>
      <c r="F30" s="3"/>
      <c r="G30" s="2"/>
    </row>
    <row r="31" spans="1:7" x14ac:dyDescent="0.25">
      <c r="A31" s="42"/>
      <c r="B31" s="3"/>
      <c r="C31" s="28"/>
      <c r="D31" s="29"/>
      <c r="E31" s="30"/>
      <c r="F31" s="3"/>
      <c r="G31" s="2"/>
    </row>
    <row r="32" spans="1:7" x14ac:dyDescent="0.25">
      <c r="A32" s="42"/>
      <c r="B32" s="3"/>
      <c r="C32" s="28"/>
      <c r="D32" s="29"/>
      <c r="E32" s="30"/>
      <c r="F32" s="3"/>
      <c r="G32" s="2"/>
    </row>
    <row r="33" spans="1:11" x14ac:dyDescent="0.25">
      <c r="A33" s="42"/>
      <c r="B33" s="3"/>
      <c r="C33" s="28"/>
      <c r="D33" s="29"/>
      <c r="E33" s="30"/>
      <c r="F33" s="3"/>
      <c r="G33" s="2"/>
    </row>
    <row r="34" spans="1:11" x14ac:dyDescent="0.25">
      <c r="A34" s="42"/>
      <c r="B34" s="3"/>
      <c r="C34" s="28"/>
      <c r="D34" s="29"/>
      <c r="E34" s="30"/>
      <c r="F34" s="3"/>
      <c r="G34" s="2"/>
    </row>
    <row r="35" spans="1:11" x14ac:dyDescent="0.25">
      <c r="A35" s="42"/>
      <c r="B35" s="3"/>
      <c r="C35" s="28"/>
      <c r="D35" s="29"/>
      <c r="E35" s="30"/>
      <c r="F35" s="3"/>
      <c r="G35" s="2"/>
    </row>
    <row r="36" spans="1:11" x14ac:dyDescent="0.25">
      <c r="A36" s="42"/>
      <c r="B36" s="3"/>
      <c r="C36" s="28"/>
      <c r="D36" s="29"/>
      <c r="E36" s="30"/>
      <c r="F36" s="3"/>
      <c r="G36" s="2"/>
    </row>
    <row r="37" spans="1:11" x14ac:dyDescent="0.25">
      <c r="A37" s="42"/>
      <c r="B37" s="3"/>
      <c r="C37" s="28"/>
      <c r="D37" s="29"/>
      <c r="E37" s="30"/>
      <c r="F37" s="3"/>
      <c r="G37" s="2"/>
    </row>
    <row r="38" spans="1:11" x14ac:dyDescent="0.25">
      <c r="A38" s="42"/>
      <c r="B38" s="3"/>
      <c r="C38" s="28"/>
      <c r="D38" s="29"/>
      <c r="E38" s="30"/>
      <c r="F38" s="3"/>
      <c r="G38" s="2"/>
    </row>
    <row r="39" spans="1:11" x14ac:dyDescent="0.25">
      <c r="A39" s="42"/>
      <c r="B39" s="3"/>
      <c r="C39" s="28"/>
      <c r="D39" s="29"/>
      <c r="E39" s="30"/>
      <c r="F39" s="3"/>
      <c r="G39" s="2"/>
    </row>
    <row r="40" spans="1:11" x14ac:dyDescent="0.25">
      <c r="A40" s="42"/>
      <c r="B40" s="3"/>
      <c r="C40" s="28"/>
      <c r="D40" s="29"/>
      <c r="E40" s="30"/>
      <c r="F40" s="3"/>
      <c r="G40" s="2"/>
    </row>
    <row r="41" spans="1:11" x14ac:dyDescent="0.25">
      <c r="A41" s="42"/>
      <c r="B41" s="3"/>
      <c r="C41" s="28"/>
      <c r="D41" s="29"/>
      <c r="E41" s="30"/>
      <c r="F41" s="3"/>
      <c r="G41" s="2"/>
      <c r="K41" s="75"/>
    </row>
    <row r="42" spans="1:11" x14ac:dyDescent="0.25">
      <c r="A42" s="42"/>
      <c r="B42" s="3"/>
      <c r="C42" s="28"/>
      <c r="D42" s="29"/>
      <c r="E42" s="30"/>
      <c r="F42" s="3"/>
      <c r="G42" s="2"/>
    </row>
    <row r="43" spans="1:11" x14ac:dyDescent="0.25">
      <c r="A43" s="42"/>
      <c r="B43" s="3"/>
      <c r="C43" s="28"/>
      <c r="D43" s="29"/>
      <c r="E43" s="30"/>
      <c r="F43" s="3"/>
      <c r="G43" s="2"/>
    </row>
    <row r="44" spans="1:11" x14ac:dyDescent="0.25">
      <c r="A44" s="42"/>
      <c r="B44" s="3"/>
      <c r="C44" s="28"/>
      <c r="D44" s="29"/>
      <c r="E44" s="30"/>
      <c r="F44" s="3"/>
      <c r="G44" s="2"/>
    </row>
    <row r="45" spans="1:11" x14ac:dyDescent="0.25">
      <c r="A45" s="42"/>
      <c r="B45" s="3"/>
      <c r="C45" s="28"/>
      <c r="D45" s="29"/>
      <c r="E45" s="30"/>
      <c r="F45" s="3"/>
      <c r="G45" s="2"/>
    </row>
    <row r="46" spans="1:11" x14ac:dyDescent="0.25">
      <c r="A46" s="42"/>
      <c r="B46" s="3"/>
      <c r="C46" s="28"/>
      <c r="D46" s="29"/>
      <c r="E46" s="30"/>
      <c r="F46" s="3"/>
      <c r="G46" s="2"/>
    </row>
    <row r="47" spans="1:11" x14ac:dyDescent="0.25">
      <c r="A47" s="42"/>
      <c r="B47" s="3"/>
      <c r="C47" s="28"/>
      <c r="D47" s="29"/>
      <c r="E47" s="30"/>
      <c r="F47" s="3"/>
      <c r="G47" s="2"/>
    </row>
    <row r="48" spans="1:11" x14ac:dyDescent="0.25">
      <c r="A48" s="42"/>
      <c r="B48" s="3"/>
      <c r="C48" s="28"/>
      <c r="D48" s="29"/>
      <c r="E48" s="30"/>
      <c r="F48" s="3"/>
      <c r="G48" s="2"/>
    </row>
    <row r="49" spans="1:7" x14ac:dyDescent="0.25">
      <c r="A49" s="42"/>
      <c r="B49" s="3"/>
      <c r="C49" s="28"/>
      <c r="D49" s="29"/>
      <c r="E49" s="30"/>
      <c r="F49" s="3"/>
      <c r="G49" s="2"/>
    </row>
    <row r="50" spans="1:7" x14ac:dyDescent="0.25">
      <c r="A50" s="42"/>
      <c r="B50" s="3"/>
      <c r="C50" s="28"/>
      <c r="D50" s="29"/>
      <c r="E50" s="30"/>
      <c r="F50" s="3"/>
      <c r="G50" s="2"/>
    </row>
    <row r="51" spans="1:7" x14ac:dyDescent="0.25">
      <c r="A51" s="42"/>
      <c r="B51" s="3"/>
      <c r="C51" s="28"/>
      <c r="D51" s="29"/>
      <c r="E51" s="30"/>
      <c r="F51" s="3"/>
      <c r="G51" s="2"/>
    </row>
    <row r="52" spans="1:7" x14ac:dyDescent="0.25">
      <c r="A52" s="42"/>
      <c r="B52" s="3"/>
      <c r="C52" s="28"/>
      <c r="D52" s="29"/>
      <c r="E52" s="30"/>
      <c r="F52" s="3"/>
      <c r="G52" s="2"/>
    </row>
    <row r="53" spans="1:7" x14ac:dyDescent="0.25">
      <c r="A53" s="42"/>
      <c r="B53" s="3"/>
      <c r="C53" s="28"/>
      <c r="D53" s="29"/>
      <c r="E53" s="30"/>
      <c r="F53" s="3"/>
      <c r="G53" s="2"/>
    </row>
    <row r="54" spans="1:7" x14ac:dyDescent="0.25">
      <c r="A54" s="42"/>
      <c r="B54" s="3"/>
      <c r="C54" s="28"/>
      <c r="D54" s="29"/>
      <c r="E54" s="30"/>
      <c r="F54" s="3"/>
      <c r="G54" s="2"/>
    </row>
    <row r="55" spans="1:7" x14ac:dyDescent="0.25">
      <c r="A55" s="42"/>
      <c r="B55" s="3"/>
      <c r="C55" s="28"/>
      <c r="D55" s="29"/>
      <c r="E55" s="30"/>
      <c r="F55" s="3"/>
      <c r="G55" s="2"/>
    </row>
    <row r="56" spans="1:7" x14ac:dyDescent="0.25">
      <c r="A56" s="42"/>
      <c r="B56" s="3"/>
      <c r="C56" s="28"/>
      <c r="D56" s="29"/>
      <c r="E56" s="30"/>
      <c r="F56" s="3"/>
      <c r="G56" s="2"/>
    </row>
    <row r="57" spans="1:7" x14ac:dyDescent="0.25">
      <c r="A57" s="42"/>
      <c r="B57" s="3"/>
      <c r="C57" s="28"/>
      <c r="D57" s="29"/>
      <c r="E57" s="30"/>
      <c r="F57" s="3"/>
      <c r="G57" s="2"/>
    </row>
    <row r="58" spans="1:7" x14ac:dyDescent="0.25">
      <c r="A58" s="42"/>
      <c r="B58" s="3"/>
      <c r="C58" s="28"/>
      <c r="D58" s="29"/>
      <c r="E58" s="30"/>
      <c r="F58" s="3"/>
      <c r="G58" s="2"/>
    </row>
    <row r="59" spans="1:7" x14ac:dyDescent="0.25">
      <c r="A59" s="42"/>
      <c r="B59" s="3"/>
      <c r="C59" s="28"/>
      <c r="D59" s="29"/>
      <c r="E59" s="30"/>
      <c r="F59" s="3"/>
      <c r="G59" s="2"/>
    </row>
    <row r="60" spans="1:7" x14ac:dyDescent="0.25">
      <c r="A60" s="42"/>
      <c r="B60" s="75"/>
      <c r="C60" s="28"/>
      <c r="D60" s="29"/>
      <c r="E60" s="30"/>
      <c r="F60" s="3"/>
      <c r="G60" s="2"/>
    </row>
  </sheetData>
  <sortState ref="A8:G12">
    <sortCondition descending="1" ref="D8:D12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  <oddFooter>&amp;C&amp;"Tahoma,Regular"Page&amp;P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workbookViewId="0">
      <selection activeCell="I16" sqref="I16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8" x14ac:dyDescent="0.25">
      <c r="A1" s="16" t="s">
        <v>22</v>
      </c>
      <c r="B1" s="17" t="s">
        <v>1169</v>
      </c>
      <c r="C1" s="18"/>
      <c r="D1" s="18"/>
      <c r="E1" s="18"/>
      <c r="F1" s="18"/>
      <c r="G1" s="19"/>
    </row>
    <row r="2" spans="1:8" x14ac:dyDescent="0.25">
      <c r="A2" s="20" t="s">
        <v>23</v>
      </c>
      <c r="B2" s="21">
        <v>43142</v>
      </c>
      <c r="C2" s="22"/>
      <c r="D2" s="22"/>
      <c r="E2" s="22"/>
      <c r="F2" s="22"/>
      <c r="G2" s="23"/>
    </row>
    <row r="3" spans="1:8" x14ac:dyDescent="0.25">
      <c r="A3" s="20" t="s">
        <v>24</v>
      </c>
      <c r="B3" s="24" t="s">
        <v>421</v>
      </c>
      <c r="C3" s="22"/>
      <c r="D3" s="22"/>
      <c r="E3" s="22"/>
      <c r="F3" s="22"/>
      <c r="G3" s="23"/>
    </row>
    <row r="4" spans="1:8" x14ac:dyDescent="0.25">
      <c r="A4" s="20" t="s">
        <v>1</v>
      </c>
      <c r="B4" s="24" t="s">
        <v>833</v>
      </c>
      <c r="C4" s="22"/>
      <c r="D4" s="22"/>
      <c r="E4" s="22"/>
      <c r="F4" s="22"/>
      <c r="G4" s="23"/>
    </row>
    <row r="5" spans="1:8" x14ac:dyDescent="0.25">
      <c r="A5" s="20" t="s">
        <v>27</v>
      </c>
      <c r="B5" s="24" t="s">
        <v>115</v>
      </c>
      <c r="C5" s="22"/>
      <c r="D5" s="22"/>
      <c r="E5" s="22" t="s">
        <v>55</v>
      </c>
      <c r="F5" s="38">
        <f>AVERAGE(C8:C12)*(AVERAGE(D8:D12)/100)</f>
        <v>1.9144056171118765E-2</v>
      </c>
      <c r="G5" s="23"/>
    </row>
    <row r="6" spans="1:8" x14ac:dyDescent="0.25">
      <c r="A6" s="25" t="s">
        <v>29</v>
      </c>
      <c r="B6" s="26"/>
      <c r="C6" s="26"/>
      <c r="D6" s="26"/>
      <c r="E6" s="26"/>
      <c r="F6" s="26"/>
      <c r="G6" s="27"/>
    </row>
    <row r="7" spans="1:8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  <c r="H7" s="75"/>
    </row>
    <row r="8" spans="1:8" x14ac:dyDescent="0.25">
      <c r="A8" s="2">
        <v>4</v>
      </c>
      <c r="B8" s="3" t="s">
        <v>772</v>
      </c>
      <c r="C8" s="28">
        <v>2.4914351851851851E-2</v>
      </c>
      <c r="D8" s="29">
        <f>INDEX('Points Summary'!$F$4:$F$1143,G8)</f>
        <v>81.785334346671192</v>
      </c>
      <c r="E8" s="124">
        <f>(AVERAGE($D$8:$D$12)/100*AVERAGE($C$8:$C$12))/C8</f>
        <v>0.76839471020378214</v>
      </c>
      <c r="F8" s="3"/>
      <c r="G8" s="2">
        <f>MATCH(B8,'Points Summary'!$B$4:$B$1144,0)</f>
        <v>90</v>
      </c>
      <c r="H8" s="75"/>
    </row>
    <row r="9" spans="1:8" x14ac:dyDescent="0.25">
      <c r="A9" s="2">
        <v>2</v>
      </c>
      <c r="B9" s="3" t="s">
        <v>808</v>
      </c>
      <c r="C9" s="28">
        <v>2.4174768518518519E-2</v>
      </c>
      <c r="D9" s="29">
        <f>INDEX('Points Summary'!$E$4:$E$1143,G9)</f>
        <v>80.85754637552489</v>
      </c>
      <c r="E9" s="124">
        <f>(AVERAGE($D$8:$D$10)/100*AVERAGE($C$8:$C$10))/C9</f>
        <v>0.80881700221374042</v>
      </c>
      <c r="F9" s="3"/>
      <c r="G9" s="2">
        <f>MATCH(B9,'Points Summary'!$B$4:$B$1144,0)</f>
        <v>441</v>
      </c>
      <c r="H9" s="75"/>
    </row>
    <row r="10" spans="1:8" x14ac:dyDescent="0.25">
      <c r="A10" s="2">
        <v>2</v>
      </c>
      <c r="B10" s="39" t="s">
        <v>11</v>
      </c>
      <c r="C10" s="76">
        <v>2.759375E-2</v>
      </c>
      <c r="D10" s="29">
        <f>INDEX('Points Summary'!$E$4:$E$1143,G10)</f>
        <v>66.843409203160235</v>
      </c>
      <c r="E10" s="124">
        <f>(AVERAGE($D$8:$D$10)/100*AVERAGE($C$8:$C$10))/C10</f>
        <v>0.70860117970044867</v>
      </c>
      <c r="F10" s="3"/>
      <c r="G10" s="2">
        <f>MATCH(B10,'Points Summary'!$B$4:$B$1144,0)</f>
        <v>426</v>
      </c>
      <c r="H10" s="75"/>
    </row>
    <row r="11" spans="1:8" x14ac:dyDescent="0.25">
      <c r="A11" s="2">
        <v>3</v>
      </c>
      <c r="B11" s="3" t="s">
        <v>733</v>
      </c>
      <c r="C11" s="76">
        <v>2.8560185185185185E-2</v>
      </c>
      <c r="D11" s="29">
        <f>INDEX('Points Summary'!$F$4:$F$1143,G11)</f>
        <v>66.595123596656933</v>
      </c>
      <c r="E11" s="124">
        <f t="shared" ref="E11:E21" si="0">(AVERAGE($D$8:$D$12)/100*AVERAGE($C$8:$C$12))/C11</f>
        <v>0.67030574371237694</v>
      </c>
      <c r="F11" s="3"/>
      <c r="G11" s="2">
        <f>MATCH(B11,'Points Summary'!$B$4:$B$1144,0)</f>
        <v>33</v>
      </c>
      <c r="H11" s="75"/>
    </row>
    <row r="12" spans="1:8" x14ac:dyDescent="0.25">
      <c r="A12" s="2">
        <v>1</v>
      </c>
      <c r="B12" s="3" t="s">
        <v>13</v>
      </c>
      <c r="C12" s="28">
        <v>2.7254629629629632E-2</v>
      </c>
      <c r="D12" s="29">
        <f>INDEX('Points Summary'!$F$4:$F$1143,G12)</f>
        <v>65.133504013378101</v>
      </c>
      <c r="E12" s="124">
        <f t="shared" si="0"/>
        <v>0.70241483488392265</v>
      </c>
      <c r="F12" s="3"/>
      <c r="G12" s="2">
        <f>MATCH(B12,'Points Summary'!$B$4:$B$1144,0)</f>
        <v>184</v>
      </c>
      <c r="H12" s="75"/>
    </row>
    <row r="13" spans="1:8" x14ac:dyDescent="0.25">
      <c r="A13" s="2">
        <v>4</v>
      </c>
      <c r="B13" s="3" t="s">
        <v>145</v>
      </c>
      <c r="C13" s="28">
        <v>3.0645833333333334E-2</v>
      </c>
      <c r="D13" s="29">
        <f>INDEX('Points Summary'!$F$4:$F$1143,G13)</f>
        <v>58.80339108596209</v>
      </c>
      <c r="E13" s="124">
        <f t="shared" si="0"/>
        <v>0.62468708104262449</v>
      </c>
      <c r="F13" s="3"/>
      <c r="G13" s="2">
        <f>MATCH(B13,'Points Summary'!$B$4:$B$1144,0)</f>
        <v>447</v>
      </c>
      <c r="H13" s="75"/>
    </row>
    <row r="14" spans="1:8" x14ac:dyDescent="0.25">
      <c r="A14" s="2">
        <v>5</v>
      </c>
      <c r="B14" s="3" t="s">
        <v>888</v>
      </c>
      <c r="C14" s="28">
        <v>3.322337962962963E-2</v>
      </c>
      <c r="D14" s="29">
        <f>INDEX('Points Summary'!$F$4:$F$1143,G14)</f>
        <v>57.730080619711707</v>
      </c>
      <c r="E14" s="124">
        <f t="shared" si="0"/>
        <v>0.5762224188067101</v>
      </c>
      <c r="F14" s="3"/>
      <c r="G14" s="2">
        <f>MATCH(B14,'Points Summary'!$B$4:$B$1144,0)</f>
        <v>422</v>
      </c>
      <c r="H14" s="75"/>
    </row>
    <row r="15" spans="1:8" x14ac:dyDescent="0.25">
      <c r="A15" s="2">
        <v>7</v>
      </c>
      <c r="B15" s="3" t="s">
        <v>717</v>
      </c>
      <c r="C15" s="28">
        <v>3.4508101851851852E-2</v>
      </c>
      <c r="D15" s="29">
        <f>INDEX('Points Summary'!$F$4:$F$1143,G15)</f>
        <v>56.657336543010217</v>
      </c>
      <c r="E15" s="124">
        <f t="shared" si="0"/>
        <v>0.55476989877063931</v>
      </c>
      <c r="F15" s="3"/>
      <c r="G15" s="2">
        <f>MATCH(B15,'Points Summary'!$B$4:$B$1144,0)</f>
        <v>237</v>
      </c>
      <c r="H15" s="75"/>
    </row>
    <row r="16" spans="1:8" x14ac:dyDescent="0.25">
      <c r="A16" s="2">
        <v>14</v>
      </c>
      <c r="B16" s="3" t="s">
        <v>773</v>
      </c>
      <c r="C16" s="28">
        <v>3.8192129629629631E-2</v>
      </c>
      <c r="D16" s="29">
        <f>INDEX('Points Summary'!$F$4:$F$1143,G16)</f>
        <v>52.599685351480908</v>
      </c>
      <c r="E16" s="124">
        <f t="shared" si="0"/>
        <v>0.50125657712123806</v>
      </c>
      <c r="F16" s="3"/>
      <c r="G16" s="2">
        <f>MATCH(B16,'Points Summary'!$B$4:$B$1144,0)</f>
        <v>123</v>
      </c>
      <c r="H16" s="75"/>
    </row>
    <row r="17" spans="1:8" x14ac:dyDescent="0.25">
      <c r="A17" s="2">
        <v>6</v>
      </c>
      <c r="B17" s="3" t="s">
        <v>362</v>
      </c>
      <c r="C17" s="76">
        <v>3.4068287037037036E-2</v>
      </c>
      <c r="D17" s="29">
        <f>INDEX('Points Summary'!$F$4:$F$1143,G17)</f>
        <v>51.583230225978319</v>
      </c>
      <c r="E17" s="124">
        <f t="shared" si="0"/>
        <v>0.56193186790713823</v>
      </c>
      <c r="F17" s="3"/>
      <c r="G17" s="2">
        <f>MATCH(B17,'Points Summary'!$B$4:$B$1144,0)</f>
        <v>452</v>
      </c>
      <c r="H17" s="75"/>
    </row>
    <row r="18" spans="1:8" x14ac:dyDescent="0.25">
      <c r="A18" s="2">
        <v>8</v>
      </c>
      <c r="B18" s="3" t="s">
        <v>939</v>
      </c>
      <c r="C18" s="28">
        <v>3.4598379629629632E-2</v>
      </c>
      <c r="D18" s="29">
        <f>INDEX('Points Summary'!$F$4:$F$1143,G18)</f>
        <v>50.943424350252634</v>
      </c>
      <c r="E18" s="124">
        <f t="shared" si="0"/>
        <v>0.55332233405300946</v>
      </c>
      <c r="F18" s="3"/>
      <c r="G18" s="2">
        <f>MATCH(B18,'Points Summary'!$B$4:$B$1144,0)</f>
        <v>147</v>
      </c>
      <c r="H18" s="75"/>
    </row>
    <row r="19" spans="1:8" x14ac:dyDescent="0.25">
      <c r="A19" s="2">
        <v>11</v>
      </c>
      <c r="B19" s="3" t="s">
        <v>1109</v>
      </c>
      <c r="C19" s="28">
        <v>3.5954861111111111E-2</v>
      </c>
      <c r="D19" s="29">
        <f>INDEX('Points Summary'!$F$4:$F$1143,G19)</f>
        <v>48.948958192586247</v>
      </c>
      <c r="E19" s="124">
        <f t="shared" si="0"/>
        <v>0.5324469509688271</v>
      </c>
      <c r="F19" s="3"/>
      <c r="G19" s="2">
        <f>MATCH(B19,'Points Summary'!$B$4:$B$1144,0)</f>
        <v>227</v>
      </c>
      <c r="H19" s="75"/>
    </row>
    <row r="20" spans="1:8" x14ac:dyDescent="0.25">
      <c r="A20" s="2">
        <v>13</v>
      </c>
      <c r="B20" s="3" t="s">
        <v>1112</v>
      </c>
      <c r="C20" s="76">
        <v>3.8120370370370367E-2</v>
      </c>
      <c r="D20" s="29">
        <f>INDEX('Points Summary'!$F$4:$F$1143,G20)</f>
        <v>47.147598821615667</v>
      </c>
      <c r="E20" s="124">
        <f t="shared" si="0"/>
        <v>0.50220016188506844</v>
      </c>
      <c r="F20" s="3"/>
      <c r="G20" s="2">
        <f>MATCH(B20,'Points Summary'!$B$4:$B$1144,0)</f>
        <v>194</v>
      </c>
      <c r="H20" s="75"/>
    </row>
    <row r="21" spans="1:8" x14ac:dyDescent="0.25">
      <c r="A21" s="2">
        <v>15</v>
      </c>
      <c r="B21" s="3" t="s">
        <v>160</v>
      </c>
      <c r="C21" s="28">
        <v>4.0665509259259255E-2</v>
      </c>
      <c r="D21" s="29">
        <f>INDEX('Points Summary'!$F$4:$F$1143,G21)</f>
        <v>40.49298808723082</v>
      </c>
      <c r="E21" s="124">
        <f t="shared" si="0"/>
        <v>0.47076887809439633</v>
      </c>
      <c r="F21" s="3"/>
      <c r="G21" s="2">
        <f>MATCH(B21,'Points Summary'!$B$4:$B$1144,0)</f>
        <v>207</v>
      </c>
      <c r="H21" s="75"/>
    </row>
    <row r="22" spans="1:8" x14ac:dyDescent="0.25">
      <c r="A22" s="2"/>
      <c r="B22" s="3"/>
      <c r="C22" s="76"/>
      <c r="D22" s="29"/>
      <c r="E22" s="30"/>
      <c r="F22" s="3"/>
      <c r="G22" s="2"/>
      <c r="H22" s="75"/>
    </row>
    <row r="23" spans="1:8" x14ac:dyDescent="0.25">
      <c r="A23" s="2"/>
      <c r="B23" s="3"/>
      <c r="C23" s="76"/>
      <c r="D23" s="29"/>
      <c r="E23" s="30"/>
      <c r="F23" s="3"/>
      <c r="G23" s="2"/>
      <c r="H23" s="75"/>
    </row>
    <row r="24" spans="1:8" x14ac:dyDescent="0.25">
      <c r="A24" s="2"/>
      <c r="B24" s="3"/>
      <c r="C24" s="76"/>
      <c r="D24" s="29"/>
      <c r="E24" s="30"/>
      <c r="F24" s="3"/>
      <c r="G24" s="2"/>
      <c r="H24" s="75"/>
    </row>
    <row r="25" spans="1:8" x14ac:dyDescent="0.25">
      <c r="A25" s="2"/>
      <c r="B25" s="3"/>
      <c r="C25" s="76"/>
      <c r="D25" s="29"/>
      <c r="E25" s="30"/>
      <c r="F25" s="3"/>
      <c r="G25" s="2"/>
      <c r="H25" s="75"/>
    </row>
    <row r="26" spans="1:8" x14ac:dyDescent="0.25">
      <c r="A26" s="2"/>
      <c r="B26" s="3"/>
      <c r="C26" s="28"/>
      <c r="D26" s="29"/>
      <c r="E26" s="30"/>
      <c r="F26" s="3"/>
      <c r="G26" s="2"/>
      <c r="H26" s="75"/>
    </row>
    <row r="27" spans="1:8" x14ac:dyDescent="0.25">
      <c r="A27" s="2"/>
      <c r="B27" s="3"/>
      <c r="C27" s="76"/>
      <c r="D27" s="29"/>
      <c r="E27" s="30"/>
      <c r="F27" s="3"/>
      <c r="G27" s="2"/>
    </row>
    <row r="28" spans="1:8" x14ac:dyDescent="0.25">
      <c r="A28" s="2"/>
      <c r="B28" s="3"/>
      <c r="C28" s="76"/>
      <c r="D28" s="29"/>
      <c r="E28" s="30"/>
      <c r="F28" s="3"/>
      <c r="G28" s="2"/>
    </row>
    <row r="29" spans="1:8" x14ac:dyDescent="0.25">
      <c r="A29" s="2"/>
      <c r="B29" s="3"/>
      <c r="C29" s="76"/>
      <c r="D29" s="29"/>
      <c r="E29" s="30"/>
      <c r="F29" s="3"/>
      <c r="G29" s="2"/>
    </row>
    <row r="30" spans="1:8" x14ac:dyDescent="0.25">
      <c r="A30" s="2"/>
      <c r="B30" s="3"/>
      <c r="C30" s="76"/>
      <c r="D30" s="29"/>
      <c r="E30" s="30"/>
      <c r="F30" s="3"/>
      <c r="G30" s="2"/>
    </row>
    <row r="31" spans="1:8" x14ac:dyDescent="0.25">
      <c r="A31" s="2"/>
      <c r="B31" s="3"/>
      <c r="C31" s="76"/>
      <c r="D31" s="29"/>
      <c r="E31" s="30"/>
      <c r="F31" s="3"/>
      <c r="G31" s="2"/>
    </row>
    <row r="32" spans="1:8" x14ac:dyDescent="0.25">
      <c r="A32" s="2"/>
      <c r="B32" s="3"/>
      <c r="C32" s="76"/>
      <c r="D32" s="29"/>
      <c r="E32" s="30"/>
      <c r="F32" s="3"/>
      <c r="G32" s="2"/>
    </row>
    <row r="33" spans="1:7" x14ac:dyDescent="0.25">
      <c r="A33" s="2"/>
      <c r="B33" s="3"/>
      <c r="C33" s="76"/>
      <c r="D33" s="29"/>
      <c r="E33" s="30"/>
      <c r="F33" s="3"/>
      <c r="G33" s="2"/>
    </row>
    <row r="34" spans="1:7" x14ac:dyDescent="0.25">
      <c r="A34" s="2"/>
      <c r="B34" s="3"/>
      <c r="C34" s="28"/>
      <c r="D34" s="29"/>
      <c r="E34" s="30"/>
      <c r="F34" s="3"/>
      <c r="G34" s="2"/>
    </row>
    <row r="35" spans="1:7" x14ac:dyDescent="0.25">
      <c r="A35" s="2"/>
      <c r="B35" s="3"/>
      <c r="C35" s="28"/>
      <c r="D35" s="29"/>
      <c r="E35" s="30"/>
      <c r="F35" s="3"/>
      <c r="G35" s="2"/>
    </row>
    <row r="36" spans="1:7" x14ac:dyDescent="0.25">
      <c r="A36" s="2"/>
      <c r="B36" s="3"/>
      <c r="C36" s="28"/>
      <c r="D36" s="29"/>
      <c r="E36" s="30"/>
      <c r="F36" s="3"/>
      <c r="G36" s="2"/>
    </row>
    <row r="37" spans="1:7" x14ac:dyDescent="0.25">
      <c r="A37" s="2"/>
      <c r="B37" s="3"/>
      <c r="C37" s="28"/>
      <c r="D37" s="29"/>
      <c r="E37" s="30"/>
      <c r="F37" s="3"/>
      <c r="G37" s="2"/>
    </row>
    <row r="38" spans="1:7" x14ac:dyDescent="0.25">
      <c r="A38" s="2"/>
      <c r="B38" s="3"/>
      <c r="C38" s="28"/>
      <c r="D38" s="29"/>
      <c r="E38" s="30"/>
      <c r="F38" s="3"/>
      <c r="G38" s="2"/>
    </row>
    <row r="39" spans="1:7" x14ac:dyDescent="0.25">
      <c r="A39" s="2"/>
      <c r="B39" s="3"/>
      <c r="C39" s="76"/>
      <c r="D39" s="29"/>
      <c r="E39" s="30"/>
      <c r="F39" s="3"/>
      <c r="G39" s="2"/>
    </row>
    <row r="40" spans="1:7" x14ac:dyDescent="0.25">
      <c r="A40" s="2"/>
      <c r="B40" s="3"/>
      <c r="C40" s="76"/>
      <c r="D40" s="29"/>
      <c r="E40" s="30"/>
      <c r="F40" s="3"/>
      <c r="G40" s="2"/>
    </row>
    <row r="41" spans="1:7" x14ac:dyDescent="0.25">
      <c r="A41" s="2"/>
      <c r="B41" s="3"/>
      <c r="C41" s="76"/>
      <c r="D41" s="29"/>
      <c r="E41" s="30"/>
      <c r="F41" s="3"/>
      <c r="G41" s="2"/>
    </row>
    <row r="42" spans="1:7" x14ac:dyDescent="0.25">
      <c r="A42" s="2"/>
      <c r="B42" s="3"/>
      <c r="C42" s="76"/>
      <c r="D42" s="29"/>
      <c r="E42" s="30"/>
      <c r="F42" s="3"/>
      <c r="G42" s="2"/>
    </row>
    <row r="43" spans="1:7" x14ac:dyDescent="0.25">
      <c r="A43" s="2"/>
      <c r="B43" s="3"/>
      <c r="C43" s="76"/>
      <c r="D43" s="29"/>
      <c r="E43" s="30"/>
      <c r="F43" s="3"/>
      <c r="G43" s="2"/>
    </row>
    <row r="44" spans="1:7" x14ac:dyDescent="0.25">
      <c r="A44" s="2"/>
      <c r="B44" s="3"/>
      <c r="C44" s="76"/>
      <c r="D44" s="29"/>
      <c r="E44" s="30"/>
      <c r="F44" s="3"/>
      <c r="G44" s="2"/>
    </row>
    <row r="45" spans="1:7" x14ac:dyDescent="0.25">
      <c r="A45" s="2"/>
      <c r="B45" s="3"/>
      <c r="C45" s="76"/>
      <c r="D45" s="29"/>
      <c r="E45" s="30"/>
      <c r="F45" s="3"/>
      <c r="G45" s="2"/>
    </row>
    <row r="46" spans="1:7" x14ac:dyDescent="0.25">
      <c r="A46" s="2"/>
      <c r="B46" s="3"/>
      <c r="C46" s="76"/>
      <c r="D46" s="29"/>
      <c r="E46" s="30"/>
      <c r="F46" s="3"/>
      <c r="G46" s="2"/>
    </row>
    <row r="47" spans="1:7" x14ac:dyDescent="0.25">
      <c r="A47" s="2"/>
      <c r="B47" s="3"/>
      <c r="C47" s="76"/>
      <c r="D47" s="29"/>
      <c r="E47" s="30"/>
      <c r="F47" s="3"/>
      <c r="G47" s="2"/>
    </row>
    <row r="48" spans="1:7" x14ac:dyDescent="0.25">
      <c r="A48" s="2"/>
      <c r="B48" s="3"/>
      <c r="C48" s="76"/>
      <c r="D48" s="29"/>
      <c r="E48" s="30"/>
      <c r="F48" s="3"/>
      <c r="G48" s="2"/>
    </row>
    <row r="49" spans="1:7" x14ac:dyDescent="0.25">
      <c r="A49" s="2"/>
      <c r="B49" s="3"/>
      <c r="C49" s="76"/>
      <c r="D49" s="29"/>
      <c r="E49" s="30"/>
      <c r="F49" s="3"/>
      <c r="G49" s="2"/>
    </row>
    <row r="50" spans="1:7" x14ac:dyDescent="0.25">
      <c r="A50" s="2"/>
      <c r="B50" s="3"/>
      <c r="C50" s="76"/>
      <c r="D50" s="29"/>
      <c r="E50" s="30"/>
      <c r="F50" s="3"/>
      <c r="G50" s="2"/>
    </row>
    <row r="51" spans="1:7" x14ac:dyDescent="0.25">
      <c r="A51" s="2"/>
      <c r="B51" s="3"/>
      <c r="C51" s="76"/>
      <c r="D51" s="29"/>
      <c r="E51" s="30"/>
      <c r="F51" s="3"/>
      <c r="G51" s="2"/>
    </row>
    <row r="52" spans="1:7" x14ac:dyDescent="0.25">
      <c r="A52" s="2"/>
      <c r="B52" s="3"/>
      <c r="C52" s="76"/>
      <c r="D52" s="29"/>
      <c r="E52" s="30"/>
      <c r="F52" s="3"/>
      <c r="G52" s="2"/>
    </row>
    <row r="53" spans="1:7" x14ac:dyDescent="0.25">
      <c r="A53" s="2"/>
      <c r="B53" s="3"/>
      <c r="C53" s="76"/>
      <c r="D53" s="29"/>
      <c r="E53" s="30"/>
      <c r="F53" s="3"/>
      <c r="G53" s="2"/>
    </row>
    <row r="54" spans="1:7" x14ac:dyDescent="0.25">
      <c r="A54" s="2"/>
      <c r="B54" s="3"/>
      <c r="C54" s="76"/>
      <c r="D54" s="29"/>
      <c r="E54" s="30"/>
      <c r="F54" s="3"/>
      <c r="G54" s="2"/>
    </row>
    <row r="55" spans="1:7" x14ac:dyDescent="0.25">
      <c r="A55" s="2"/>
      <c r="B55" s="3"/>
      <c r="C55" s="76"/>
      <c r="D55" s="29"/>
      <c r="E55" s="30"/>
      <c r="F55" s="3"/>
      <c r="G55" s="2"/>
    </row>
    <row r="56" spans="1:7" x14ac:dyDescent="0.25">
      <c r="A56" s="2"/>
      <c r="B56" s="3"/>
      <c r="C56" s="76"/>
      <c r="D56" s="29"/>
      <c r="E56" s="30"/>
      <c r="F56" s="3"/>
      <c r="G56" s="2"/>
    </row>
    <row r="57" spans="1:7" x14ac:dyDescent="0.25">
      <c r="A57" s="2"/>
      <c r="B57" s="3"/>
      <c r="C57" s="76"/>
      <c r="D57" s="29"/>
      <c r="E57" s="30"/>
      <c r="F57" s="3"/>
      <c r="G57" s="2"/>
    </row>
    <row r="58" spans="1:7" x14ac:dyDescent="0.25">
      <c r="A58" s="2"/>
      <c r="B58" s="3"/>
      <c r="C58" s="76"/>
      <c r="D58" s="29"/>
      <c r="E58" s="30"/>
      <c r="F58" s="3"/>
      <c r="G58" s="2"/>
    </row>
    <row r="59" spans="1:7" x14ac:dyDescent="0.25">
      <c r="A59" s="2"/>
      <c r="B59" s="3"/>
      <c r="C59" s="76"/>
      <c r="D59" s="29"/>
      <c r="E59" s="30"/>
      <c r="F59" s="3"/>
      <c r="G59" s="2"/>
    </row>
    <row r="60" spans="1:7" x14ac:dyDescent="0.25">
      <c r="A60" s="2"/>
      <c r="B60" s="3"/>
      <c r="C60" s="76"/>
      <c r="D60" s="29"/>
      <c r="E60" s="30"/>
      <c r="F60" s="3"/>
      <c r="G60" s="2"/>
    </row>
    <row r="61" spans="1:7" x14ac:dyDescent="0.25">
      <c r="A61" s="2"/>
      <c r="B61" s="3"/>
      <c r="C61" s="76"/>
      <c r="D61" s="29"/>
      <c r="E61" s="30"/>
      <c r="F61" s="3"/>
      <c r="G61" s="2"/>
    </row>
    <row r="62" spans="1:7" x14ac:dyDescent="0.25">
      <c r="A62" s="2"/>
      <c r="B62" s="3"/>
      <c r="C62" s="76"/>
      <c r="D62" s="29"/>
      <c r="E62" s="30"/>
      <c r="F62" s="3"/>
      <c r="G62" s="2"/>
    </row>
    <row r="63" spans="1:7" x14ac:dyDescent="0.25">
      <c r="A63" s="2"/>
      <c r="B63" s="3"/>
      <c r="C63" s="76"/>
      <c r="D63" s="29"/>
      <c r="E63" s="30"/>
      <c r="F63" s="3"/>
      <c r="G63" s="2"/>
    </row>
    <row r="65" spans="4:8" x14ac:dyDescent="0.25">
      <c r="D65" s="76"/>
      <c r="E65" s="29"/>
      <c r="F65" s="30"/>
      <c r="G65" s="3"/>
      <c r="H65" s="2"/>
    </row>
  </sheetData>
  <sortState ref="A8:G21">
    <sortCondition descending="1" ref="D8:D21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  <oddFooter>&amp;C&amp;"Tahoma,Regular"Page&amp;P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workbookViewId="0">
      <selection activeCell="E13" sqref="E13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8" x14ac:dyDescent="0.25">
      <c r="A1" s="16" t="s">
        <v>22</v>
      </c>
      <c r="B1" s="17" t="s">
        <v>1170</v>
      </c>
      <c r="C1" s="18"/>
      <c r="D1" s="18"/>
      <c r="E1" s="18"/>
      <c r="F1" s="18"/>
      <c r="G1" s="19"/>
    </row>
    <row r="2" spans="1:8" x14ac:dyDescent="0.25">
      <c r="A2" s="20" t="s">
        <v>23</v>
      </c>
      <c r="B2" s="21">
        <v>43112</v>
      </c>
      <c r="C2" s="22"/>
      <c r="D2" s="22"/>
      <c r="E2" s="22"/>
      <c r="F2" s="22"/>
      <c r="G2" s="23"/>
    </row>
    <row r="3" spans="1:8" x14ac:dyDescent="0.25">
      <c r="A3" s="20" t="s">
        <v>24</v>
      </c>
      <c r="B3" s="24" t="s">
        <v>43</v>
      </c>
      <c r="C3" s="22"/>
      <c r="D3" s="22"/>
      <c r="E3" s="22"/>
      <c r="F3" s="22"/>
      <c r="G3" s="23"/>
    </row>
    <row r="4" spans="1:8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8" x14ac:dyDescent="0.25">
      <c r="A5" s="20" t="s">
        <v>27</v>
      </c>
      <c r="B5" s="24" t="s">
        <v>1168</v>
      </c>
      <c r="C5" s="22"/>
      <c r="D5" s="22"/>
      <c r="E5" s="22" t="s">
        <v>55</v>
      </c>
      <c r="F5" s="38">
        <f>AVERAGE(C8:C10)*(AVERAGE(D8:D10)/100)</f>
        <v>2.3732400014746864E-2</v>
      </c>
      <c r="G5" s="23"/>
    </row>
    <row r="6" spans="1:8" x14ac:dyDescent="0.25">
      <c r="A6" s="25" t="s">
        <v>29</v>
      </c>
      <c r="B6" s="26"/>
      <c r="C6" s="26"/>
      <c r="D6" s="26"/>
      <c r="E6" s="26"/>
      <c r="F6" s="26"/>
      <c r="G6" s="27"/>
    </row>
    <row r="7" spans="1:8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8" x14ac:dyDescent="0.25">
      <c r="A8" s="2">
        <v>1</v>
      </c>
      <c r="B8" s="3" t="s">
        <v>7</v>
      </c>
      <c r="C8" s="28">
        <v>2.2916666666666665E-2</v>
      </c>
      <c r="D8" s="29">
        <f>INDEX('Points Summary'!$F$4:$F$1143,G8)</f>
        <v>99.815882011789284</v>
      </c>
      <c r="E8" s="124">
        <f>(AVERAGE($D$8:$D$10)/100*AVERAGE($C$8:$C$10))/C8</f>
        <v>1.035595637007136</v>
      </c>
      <c r="F8" s="3"/>
      <c r="G8" s="2">
        <f>MATCH(B8,'Points Summary'!$B$4:$B$1144,0)</f>
        <v>63</v>
      </c>
      <c r="H8" s="209"/>
    </row>
    <row r="9" spans="1:8" x14ac:dyDescent="0.25">
      <c r="A9" s="2">
        <v>2</v>
      </c>
      <c r="B9" s="3" t="s">
        <v>84</v>
      </c>
      <c r="C9" s="28">
        <v>2.435185185185185E-2</v>
      </c>
      <c r="D9" s="29">
        <f>INDEX('Points Summary'!$F$4:$F$1143,G9)</f>
        <v>99.460903353359868</v>
      </c>
      <c r="E9" s="124">
        <f>(AVERAGE($D$8:$D$10)/100*AVERAGE($C$8:$C$10))/C9</f>
        <v>0.9745624340656508</v>
      </c>
      <c r="F9" s="3"/>
      <c r="G9" s="2">
        <f>MATCH(B9,'Points Summary'!$B$4:$B$1144,0)</f>
        <v>13</v>
      </c>
      <c r="H9" s="209"/>
    </row>
    <row r="10" spans="1:8" x14ac:dyDescent="0.25">
      <c r="A10" s="2">
        <v>3</v>
      </c>
      <c r="B10" s="3" t="s">
        <v>70</v>
      </c>
      <c r="C10" s="28">
        <v>2.508101851851852E-2</v>
      </c>
      <c r="D10" s="29">
        <f>INDEX('Points Summary'!$F$4:$F$1143,G10)</f>
        <v>95.945007171519649</v>
      </c>
      <c r="E10" s="124">
        <f>(AVERAGE($D$8:$D$10)/100*AVERAGE($C$8:$C$10))/C10</f>
        <v>0.94622951604712924</v>
      </c>
      <c r="F10" s="3"/>
      <c r="G10" s="2">
        <f>MATCH(B10,'Points Summary'!$B$4:$B$1144,0)</f>
        <v>309</v>
      </c>
      <c r="H10" s="209"/>
    </row>
    <row r="11" spans="1:8" x14ac:dyDescent="0.25">
      <c r="A11" s="42"/>
      <c r="B11" s="3"/>
      <c r="C11" s="28"/>
      <c r="D11" s="29"/>
      <c r="E11" s="124"/>
      <c r="F11" s="3"/>
      <c r="G11" s="2"/>
      <c r="H11" s="209"/>
    </row>
    <row r="12" spans="1:8" x14ac:dyDescent="0.25">
      <c r="A12" s="2"/>
      <c r="B12" s="3"/>
      <c r="C12" s="28"/>
      <c r="D12" s="29"/>
      <c r="E12" s="124"/>
      <c r="F12" s="3"/>
      <c r="G12" s="2"/>
      <c r="H12" s="209"/>
    </row>
    <row r="13" spans="1:8" x14ac:dyDescent="0.25">
      <c r="A13" s="2"/>
      <c r="B13" s="3"/>
      <c r="C13" s="28">
        <f>TIME(0,32,51.7)-TIME(0,0,22)</f>
        <v>2.255787037037037E-2</v>
      </c>
      <c r="D13" s="28">
        <f>C13+TIME(0,2,19.6)</f>
        <v>2.4166666666666666E-2</v>
      </c>
      <c r="E13" s="28">
        <f>D13-TIME(0,1,48)</f>
        <v>2.2916666666666665E-2</v>
      </c>
      <c r="F13" s="3"/>
      <c r="G13" s="2"/>
      <c r="H13" s="209"/>
    </row>
    <row r="14" spans="1:8" x14ac:dyDescent="0.25">
      <c r="A14" s="2"/>
      <c r="B14" s="3"/>
      <c r="C14" s="28">
        <f>TIME(0,32,51.7)-TIME(0,0,22)</f>
        <v>2.255787037037037E-2</v>
      </c>
      <c r="D14" s="28">
        <f>C14+TIME(0,3,51.6)</f>
        <v>2.523148148148148E-2</v>
      </c>
      <c r="E14" s="28">
        <f>D14-TIME(0,1,16)</f>
        <v>2.435185185185185E-2</v>
      </c>
      <c r="F14" s="3"/>
      <c r="G14" s="2"/>
      <c r="H14" s="209"/>
    </row>
    <row r="15" spans="1:8" x14ac:dyDescent="0.25">
      <c r="A15" s="42"/>
      <c r="B15" s="3"/>
      <c r="C15" s="28">
        <f>TIME(0,32,51.7)-TIME(0,0,22)</f>
        <v>2.255787037037037E-2</v>
      </c>
      <c r="D15" s="28">
        <f>C15+TIME(0,5,48.7)</f>
        <v>2.658564814814815E-2</v>
      </c>
      <c r="E15" s="28">
        <f>D15-TIME(0,2,10)</f>
        <v>2.508101851851852E-2</v>
      </c>
      <c r="F15" s="3"/>
      <c r="G15" s="2"/>
      <c r="H15" s="209"/>
    </row>
    <row r="16" spans="1:8" x14ac:dyDescent="0.25">
      <c r="A16" s="2"/>
      <c r="B16" s="3"/>
      <c r="C16" s="28"/>
      <c r="D16" s="29"/>
      <c r="E16" s="124"/>
      <c r="F16" s="3"/>
      <c r="G16" s="2"/>
      <c r="H16" s="209"/>
    </row>
    <row r="17" spans="1:8" x14ac:dyDescent="0.25">
      <c r="A17" s="42"/>
      <c r="B17" s="3"/>
      <c r="C17" s="28"/>
      <c r="D17" s="29"/>
      <c r="E17" s="124"/>
      <c r="F17" s="3"/>
      <c r="G17" s="2"/>
      <c r="H17" s="209"/>
    </row>
    <row r="18" spans="1:8" x14ac:dyDescent="0.25">
      <c r="A18" s="42"/>
      <c r="B18" s="3"/>
      <c r="C18" s="28"/>
      <c r="D18" s="29"/>
      <c r="E18" s="124"/>
      <c r="F18" s="3"/>
      <c r="G18" s="2"/>
      <c r="H18" s="209"/>
    </row>
    <row r="19" spans="1:8" x14ac:dyDescent="0.25">
      <c r="A19" s="42"/>
      <c r="B19" s="3"/>
      <c r="C19" s="28"/>
      <c r="D19" s="29"/>
      <c r="E19" s="124"/>
      <c r="F19" s="3"/>
      <c r="G19" s="2"/>
      <c r="H19" s="209"/>
    </row>
    <row r="20" spans="1:8" x14ac:dyDescent="0.25">
      <c r="A20" s="42"/>
      <c r="B20" s="3"/>
      <c r="C20" s="28"/>
      <c r="D20" s="29"/>
      <c r="E20" s="124"/>
      <c r="F20" s="3"/>
      <c r="G20" s="2"/>
      <c r="H20" s="209"/>
    </row>
    <row r="21" spans="1:8" x14ac:dyDescent="0.25">
      <c r="A21" s="2"/>
      <c r="B21" s="3"/>
      <c r="C21" s="28"/>
      <c r="D21" s="29"/>
      <c r="E21" s="124"/>
      <c r="F21" s="3"/>
      <c r="G21" s="2"/>
      <c r="H21" s="209"/>
    </row>
    <row r="22" spans="1:8" x14ac:dyDescent="0.25">
      <c r="A22" s="2"/>
      <c r="B22" s="3"/>
      <c r="C22" s="28"/>
      <c r="D22" s="29"/>
      <c r="E22" s="124"/>
      <c r="F22" s="3"/>
      <c r="G22" s="2"/>
      <c r="H22" s="209"/>
    </row>
    <row r="23" spans="1:8" x14ac:dyDescent="0.25">
      <c r="A23" s="2"/>
      <c r="B23" s="3"/>
      <c r="C23" s="28"/>
      <c r="D23" s="29"/>
      <c r="E23" s="124"/>
      <c r="F23" s="3"/>
      <c r="G23" s="2"/>
      <c r="H23" s="209"/>
    </row>
    <row r="24" spans="1:8" x14ac:dyDescent="0.25">
      <c r="A24" s="42"/>
      <c r="B24" s="3"/>
      <c r="C24" s="28"/>
      <c r="D24" s="29"/>
      <c r="E24" s="124"/>
      <c r="F24" s="3"/>
      <c r="G24" s="2"/>
      <c r="H24" s="209"/>
    </row>
    <row r="25" spans="1:8" x14ac:dyDescent="0.25">
      <c r="A25" s="2"/>
      <c r="B25" s="3"/>
      <c r="C25" s="28"/>
      <c r="D25" s="29"/>
      <c r="E25" s="124"/>
      <c r="F25" s="3"/>
      <c r="G25" s="2"/>
      <c r="H25" s="209"/>
    </row>
    <row r="26" spans="1:8" x14ac:dyDescent="0.25">
      <c r="A26" s="42"/>
      <c r="B26" s="3"/>
      <c r="C26" s="28"/>
      <c r="D26" s="29"/>
      <c r="E26" s="124"/>
      <c r="F26" s="3"/>
      <c r="G26" s="2"/>
      <c r="H26" s="209"/>
    </row>
    <row r="27" spans="1:8" x14ac:dyDescent="0.25">
      <c r="A27" s="42"/>
      <c r="B27" s="3"/>
      <c r="C27" s="28"/>
      <c r="D27" s="29"/>
      <c r="E27" s="124"/>
      <c r="F27" s="3"/>
      <c r="G27" s="2"/>
      <c r="H27" s="209"/>
    </row>
    <row r="28" spans="1:8" x14ac:dyDescent="0.25">
      <c r="A28" s="42"/>
      <c r="B28" s="3"/>
      <c r="C28" s="28"/>
      <c r="D28" s="29"/>
      <c r="E28" s="124"/>
      <c r="F28" s="3"/>
      <c r="G28" s="2"/>
      <c r="H28" s="209"/>
    </row>
    <row r="29" spans="1:8" x14ac:dyDescent="0.25">
      <c r="A29" s="2"/>
      <c r="B29" s="3"/>
      <c r="C29" s="28"/>
      <c r="D29" s="29"/>
      <c r="E29" s="30"/>
      <c r="F29" s="3"/>
      <c r="G29" s="2"/>
    </row>
    <row r="30" spans="1:8" x14ac:dyDescent="0.25">
      <c r="A30" s="2"/>
      <c r="B30" s="3"/>
      <c r="C30" s="28"/>
      <c r="D30" s="29"/>
      <c r="E30" s="30"/>
      <c r="F30" s="3"/>
      <c r="G30" s="2"/>
    </row>
    <row r="31" spans="1:8" x14ac:dyDescent="0.25">
      <c r="A31" s="2"/>
      <c r="B31" s="3"/>
      <c r="C31" s="28"/>
      <c r="D31" s="29"/>
      <c r="E31" s="30"/>
      <c r="F31" s="3"/>
      <c r="G31" s="2"/>
    </row>
    <row r="32" spans="1:8" x14ac:dyDescent="0.25">
      <c r="A32" s="2"/>
      <c r="B32" s="3"/>
      <c r="C32" s="28"/>
      <c r="D32" s="29"/>
      <c r="E32" s="30"/>
      <c r="F32" s="3"/>
      <c r="G32" s="2"/>
    </row>
    <row r="33" spans="1:7" x14ac:dyDescent="0.25">
      <c r="A33" s="2"/>
      <c r="B33" s="3"/>
      <c r="C33" s="28"/>
      <c r="D33" s="29"/>
      <c r="E33" s="30"/>
      <c r="F33" s="3"/>
      <c r="G33" s="2"/>
    </row>
    <row r="34" spans="1:7" x14ac:dyDescent="0.25">
      <c r="A34" s="2"/>
      <c r="B34" s="3"/>
      <c r="C34" s="28"/>
      <c r="D34" s="29"/>
      <c r="E34" s="30"/>
      <c r="F34" s="3"/>
      <c r="G34" s="2"/>
    </row>
    <row r="35" spans="1:7" x14ac:dyDescent="0.25">
      <c r="A35" s="2"/>
      <c r="B35" s="3"/>
      <c r="C35" s="28"/>
      <c r="D35" s="29"/>
      <c r="E35" s="30"/>
      <c r="F35" s="3"/>
      <c r="G35" s="2"/>
    </row>
    <row r="36" spans="1:7" x14ac:dyDescent="0.25">
      <c r="A36" s="2"/>
      <c r="B36" s="3"/>
      <c r="C36" s="28"/>
      <c r="D36" s="29"/>
      <c r="E36" s="30"/>
      <c r="F36" s="3"/>
      <c r="G36" s="2"/>
    </row>
    <row r="37" spans="1:7" x14ac:dyDescent="0.25">
      <c r="A37" s="2"/>
      <c r="B37" s="3"/>
      <c r="C37" s="28"/>
      <c r="D37" s="29"/>
      <c r="E37" s="30"/>
      <c r="F37" s="3"/>
      <c r="G37" s="2"/>
    </row>
    <row r="38" spans="1:7" x14ac:dyDescent="0.25">
      <c r="A38" s="2"/>
      <c r="B38" s="3"/>
      <c r="C38" s="28"/>
      <c r="D38" s="29"/>
      <c r="E38" s="30"/>
      <c r="F38" s="3"/>
      <c r="G38" s="2"/>
    </row>
    <row r="39" spans="1:7" x14ac:dyDescent="0.25">
      <c r="A39" s="2"/>
      <c r="B39" s="3"/>
      <c r="C39" s="28"/>
      <c r="D39" s="29"/>
      <c r="E39" s="30"/>
      <c r="F39" s="3"/>
      <c r="G39" s="2"/>
    </row>
  </sheetData>
  <sortState ref="A8:G28">
    <sortCondition descending="1" ref="D8:D28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2018 Race Points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9" x14ac:dyDescent="0.25">
      <c r="A1" s="16" t="s">
        <v>22</v>
      </c>
      <c r="B1" s="17" t="s">
        <v>1174</v>
      </c>
      <c r="C1" s="18"/>
      <c r="D1" s="18"/>
      <c r="E1" s="18"/>
      <c r="F1" s="18"/>
      <c r="G1" s="19"/>
    </row>
    <row r="2" spans="1:9" x14ac:dyDescent="0.25">
      <c r="A2" s="20" t="s">
        <v>23</v>
      </c>
      <c r="B2" s="21">
        <v>43141</v>
      </c>
      <c r="C2" s="22"/>
      <c r="D2" s="22"/>
      <c r="E2" s="22"/>
      <c r="F2" s="22"/>
      <c r="G2" s="23"/>
    </row>
    <row r="3" spans="1:9" x14ac:dyDescent="0.25">
      <c r="A3" s="20" t="s">
        <v>24</v>
      </c>
      <c r="B3" s="24" t="s">
        <v>44</v>
      </c>
      <c r="C3" s="22"/>
      <c r="D3" s="22"/>
      <c r="E3" s="22"/>
      <c r="F3" s="22"/>
      <c r="G3" s="23"/>
    </row>
    <row r="4" spans="1:9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9" x14ac:dyDescent="0.25">
      <c r="A5" s="20" t="s">
        <v>27</v>
      </c>
      <c r="B5" s="24" t="s">
        <v>1175</v>
      </c>
      <c r="C5" s="22"/>
      <c r="D5" s="22"/>
      <c r="E5" s="22" t="s">
        <v>55</v>
      </c>
      <c r="F5" s="38">
        <f>AVERAGE(C8:C12)*(AVERAGE(D8:D12)/100)</f>
        <v>2.1188257642266714E-2</v>
      </c>
      <c r="G5" s="23"/>
    </row>
    <row r="6" spans="1:9" x14ac:dyDescent="0.25">
      <c r="A6" s="25" t="s">
        <v>29</v>
      </c>
      <c r="B6" s="26"/>
      <c r="C6" s="26"/>
      <c r="D6" s="26"/>
      <c r="E6" s="26"/>
      <c r="F6" s="26"/>
      <c r="G6" s="27"/>
    </row>
    <row r="7" spans="1:9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9" x14ac:dyDescent="0.25">
      <c r="A8" s="2">
        <v>1</v>
      </c>
      <c r="B8" s="114" t="s">
        <v>375</v>
      </c>
      <c r="C8" s="28">
        <f>TIME(0,45,59.8)</f>
        <v>3.1932870370370368E-2</v>
      </c>
      <c r="D8" s="29">
        <f>INDEX('Points Summary'!$F$4:$F$1143,G8)</f>
        <v>65.891897567275805</v>
      </c>
      <c r="E8" s="124">
        <f t="shared" ref="E8:E24" si="0">(AVERAGE($D$8:$D$12)/100*AVERAGE($C$8:$C$12))/C8</f>
        <v>0.66352499466902648</v>
      </c>
      <c r="F8" s="3"/>
      <c r="G8" s="2">
        <f>MATCH(B8,'Points Summary'!$B$4:$B$1144,0)</f>
        <v>86</v>
      </c>
      <c r="I8" s="196"/>
    </row>
    <row r="9" spans="1:9" x14ac:dyDescent="0.25">
      <c r="A9" s="2">
        <v>2</v>
      </c>
      <c r="B9" s="114" t="s">
        <v>789</v>
      </c>
      <c r="C9" s="28">
        <f>TIME(0,49,49.6)</f>
        <v>3.4594907407407408E-2</v>
      </c>
      <c r="D9" s="29">
        <f>INDEX('Points Summary'!$F$4:$F$1143,G9)</f>
        <v>61.69120709013751</v>
      </c>
      <c r="E9" s="124">
        <f t="shared" si="0"/>
        <v>0.61246753439004487</v>
      </c>
      <c r="F9" s="3"/>
      <c r="G9" s="2">
        <f>MATCH(B9,'Points Summary'!$B$4:$B$1144,0)</f>
        <v>138</v>
      </c>
      <c r="I9" s="196"/>
    </row>
    <row r="10" spans="1:9" x14ac:dyDescent="0.25">
      <c r="A10" s="2">
        <v>5</v>
      </c>
      <c r="B10" s="114" t="s">
        <v>792</v>
      </c>
      <c r="C10" s="28">
        <f>TIME(0,56,14.8)</f>
        <v>3.9050925925925926E-2</v>
      </c>
      <c r="D10" s="29">
        <f>INDEX('Points Summary'!$F$4:$F$1143,G10)</f>
        <v>54.791216542900059</v>
      </c>
      <c r="E10" s="124">
        <f t="shared" si="0"/>
        <v>0.54258016013391941</v>
      </c>
      <c r="F10" s="3"/>
      <c r="G10" s="2">
        <f>MATCH(B10,'Points Summary'!$B$4:$B$1144,0)</f>
        <v>235</v>
      </c>
      <c r="I10" s="196"/>
    </row>
    <row r="11" spans="1:9" x14ac:dyDescent="0.25">
      <c r="A11" s="2">
        <v>4</v>
      </c>
      <c r="B11" s="114" t="s">
        <v>1092</v>
      </c>
      <c r="C11" s="28">
        <f>TIME(0,54,16.3)</f>
        <v>3.7685185185185183E-2</v>
      </c>
      <c r="D11" s="29">
        <f>INDEX('Points Summary'!$F$4:$F$1143,G11)</f>
        <v>52.381673963354459</v>
      </c>
      <c r="E11" s="124">
        <f t="shared" si="0"/>
        <v>0.56224369173582434</v>
      </c>
      <c r="F11" s="3"/>
      <c r="G11" s="2">
        <f>MATCH(B11,'Points Summary'!$B$4:$B$1144,0)</f>
        <v>234</v>
      </c>
      <c r="I11" s="196"/>
    </row>
    <row r="12" spans="1:9" x14ac:dyDescent="0.25">
      <c r="A12" s="2">
        <v>9</v>
      </c>
      <c r="B12" s="114" t="s">
        <v>816</v>
      </c>
      <c r="C12" s="28">
        <f>TIME(1,0,55.2)</f>
        <v>4.2303240740740738E-2</v>
      </c>
      <c r="D12" s="29">
        <f>INDEX('Points Summary'!$F$4:$F$1143,G12)</f>
        <v>50.696736747366344</v>
      </c>
      <c r="E12" s="124">
        <f t="shared" si="0"/>
        <v>0.50086606300734449</v>
      </c>
      <c r="F12" s="3"/>
      <c r="G12" s="2">
        <f>MATCH(B12,'Points Summary'!$B$4:$B$1144,0)</f>
        <v>410</v>
      </c>
      <c r="I12" s="196"/>
    </row>
    <row r="13" spans="1:9" x14ac:dyDescent="0.25">
      <c r="A13" s="2">
        <v>3</v>
      </c>
      <c r="B13" s="114" t="s">
        <v>793</v>
      </c>
      <c r="C13" s="28">
        <f>TIME(0,53,24)</f>
        <v>3.7083333333333336E-2</v>
      </c>
      <c r="D13" s="29">
        <f>INDEX('Points Summary'!$F$4:$F$1143,G13)</f>
        <v>50.281684136132554</v>
      </c>
      <c r="E13" s="124">
        <f t="shared" si="0"/>
        <v>0.57136874540943938</v>
      </c>
      <c r="F13" s="3"/>
      <c r="G13" s="2">
        <f>MATCH(B13,'Points Summary'!$B$4:$B$1144,0)</f>
        <v>170</v>
      </c>
      <c r="I13" s="196"/>
    </row>
    <row r="14" spans="1:9" x14ac:dyDescent="0.25">
      <c r="A14" s="2">
        <v>13</v>
      </c>
      <c r="B14" s="114" t="s">
        <v>881</v>
      </c>
      <c r="C14" s="28">
        <f>TIME(1,5,35.4)</f>
        <v>4.5543981481481477E-2</v>
      </c>
      <c r="D14" s="29">
        <f>INDEX('Points Summary'!$F$4:$F$1143,G14)</f>
        <v>48.533282593654661</v>
      </c>
      <c r="E14" s="124">
        <f t="shared" si="0"/>
        <v>0.46522629232321328</v>
      </c>
      <c r="F14" s="3"/>
      <c r="G14" s="2">
        <f>MATCH(B14,'Points Summary'!$B$4:$B$1144,0)</f>
        <v>263</v>
      </c>
      <c r="I14" s="196"/>
    </row>
    <row r="15" spans="1:9" x14ac:dyDescent="0.25">
      <c r="A15" s="2">
        <v>10</v>
      </c>
      <c r="B15" s="114" t="s">
        <v>752</v>
      </c>
      <c r="C15" s="28">
        <f>TIME(1,2,2.2)</f>
        <v>4.3078703703703702E-2</v>
      </c>
      <c r="D15" s="29">
        <f>INDEX('Points Summary'!$F$4:$F$1143,G15)</f>
        <v>47.579363425109044</v>
      </c>
      <c r="E15" s="124">
        <f t="shared" si="0"/>
        <v>0.49184993559694901</v>
      </c>
      <c r="F15" s="3"/>
      <c r="G15" s="2">
        <f>MATCH(B15,'Points Summary'!$B$4:$B$1144,0)</f>
        <v>6</v>
      </c>
      <c r="I15" s="196"/>
    </row>
    <row r="16" spans="1:9" x14ac:dyDescent="0.25">
      <c r="A16" s="2">
        <v>11</v>
      </c>
      <c r="B16" s="114" t="s">
        <v>750</v>
      </c>
      <c r="C16" s="28">
        <f>TIME(1,2,41.8)</f>
        <v>4.3530092592592599E-2</v>
      </c>
      <c r="D16" s="29">
        <f>INDEX('Points Summary'!$F$4:$F$1143,G16)</f>
        <v>47.294153385554111</v>
      </c>
      <c r="E16" s="124">
        <f t="shared" si="0"/>
        <v>0.48674965708371282</v>
      </c>
      <c r="F16" s="3"/>
      <c r="G16" s="2">
        <f>MATCH(B16,'Points Summary'!$B$4:$B$1144,0)</f>
        <v>244</v>
      </c>
      <c r="I16" s="196"/>
    </row>
    <row r="17" spans="1:9" x14ac:dyDescent="0.25">
      <c r="A17" s="2">
        <v>12</v>
      </c>
      <c r="B17" s="114" t="s">
        <v>824</v>
      </c>
      <c r="C17" s="28">
        <f>TIME(1,3,6.8)</f>
        <v>4.3819444444444446E-2</v>
      </c>
      <c r="D17" s="29">
        <f>INDEX('Points Summary'!$F$4:$F$1143,G17)</f>
        <v>45.662834399900476</v>
      </c>
      <c r="E17" s="124">
        <f t="shared" si="0"/>
        <v>0.48353551513255255</v>
      </c>
      <c r="F17" s="3"/>
      <c r="G17" s="2">
        <f>MATCH(B17,'Points Summary'!$B$4:$B$1144,0)</f>
        <v>160</v>
      </c>
      <c r="I17" s="196"/>
    </row>
    <row r="18" spans="1:9" x14ac:dyDescent="0.25">
      <c r="A18" s="2">
        <v>8</v>
      </c>
      <c r="B18" s="114" t="s">
        <v>1172</v>
      </c>
      <c r="C18" s="28">
        <f>TIME(1,0,47.1)</f>
        <v>4.221064814814815E-2</v>
      </c>
      <c r="D18" s="29">
        <f>INDEX('Points Summary'!$F$4:$F$1143,G18)</f>
        <v>43.87461929889286</v>
      </c>
      <c r="E18" s="124">
        <f t="shared" si="0"/>
        <v>0.50196475467283908</v>
      </c>
      <c r="F18" s="3"/>
      <c r="G18" s="2">
        <f>MATCH(B18,'Points Summary'!$B$4:$B$1144,0)</f>
        <v>312</v>
      </c>
      <c r="I18" s="196"/>
    </row>
    <row r="19" spans="1:9" x14ac:dyDescent="0.25">
      <c r="A19" s="2">
        <v>14</v>
      </c>
      <c r="B19" s="114" t="s">
        <v>814</v>
      </c>
      <c r="C19" s="28">
        <f>TIME(1,14,25.1)</f>
        <v>5.167824074074074E-2</v>
      </c>
      <c r="D19" s="29">
        <f>INDEX('Points Summary'!$F$4:$F$1143,G19)</f>
        <v>43.471840752865361</v>
      </c>
      <c r="E19" s="124">
        <f t="shared" si="0"/>
        <v>0.41000346255136488</v>
      </c>
      <c r="F19" s="3"/>
      <c r="G19" s="2">
        <f>MATCH(B19,'Points Summary'!$B$4:$B$1144,0)</f>
        <v>428</v>
      </c>
      <c r="I19" s="196"/>
    </row>
    <row r="20" spans="1:9" x14ac:dyDescent="0.25">
      <c r="A20" s="2">
        <v>15</v>
      </c>
      <c r="B20" s="114" t="s">
        <v>817</v>
      </c>
      <c r="C20" s="28">
        <f>TIME(1,22,20.8)</f>
        <v>5.7175925925925929E-2</v>
      </c>
      <c r="D20" s="29">
        <f>INDEX('Points Summary'!$F$4:$F$1143,G20)</f>
        <v>38.386646967874427</v>
      </c>
      <c r="E20" s="124">
        <f t="shared" si="0"/>
        <v>0.37058005269065669</v>
      </c>
      <c r="F20" s="3"/>
      <c r="G20" s="2">
        <f>MATCH(B20,'Points Summary'!$B$4:$B$1144,0)</f>
        <v>420</v>
      </c>
      <c r="I20" s="196"/>
    </row>
    <row r="21" spans="1:9" x14ac:dyDescent="0.25">
      <c r="A21" s="2">
        <v>17</v>
      </c>
      <c r="B21" s="114" t="s">
        <v>1173</v>
      </c>
      <c r="C21" s="28">
        <f>TIME(1,39,3.6)</f>
        <v>6.8784722222222219E-2</v>
      </c>
      <c r="D21" s="29">
        <f>INDEX('Points Summary'!$F$4:$F$1143,G21)</f>
        <v>35.803496804277643</v>
      </c>
      <c r="E21" s="124">
        <f t="shared" si="0"/>
        <v>0.30803726405718396</v>
      </c>
      <c r="F21" s="3"/>
      <c r="G21" s="2">
        <f>MATCH(B21,'Points Summary'!$B$4:$B$1144,0)</f>
        <v>109</v>
      </c>
      <c r="I21" s="196"/>
    </row>
    <row r="22" spans="1:9" x14ac:dyDescent="0.25">
      <c r="A22" s="2">
        <v>16</v>
      </c>
      <c r="B22" s="114" t="s">
        <v>1096</v>
      </c>
      <c r="C22" s="28">
        <f>TIME(1,23,20.7)</f>
        <v>5.7870370370370371E-2</v>
      </c>
      <c r="D22" s="29">
        <f>INDEX('Points Summary'!$F$4:$F$1143,G22)</f>
        <v>33.508534352952715</v>
      </c>
      <c r="E22" s="124">
        <f t="shared" si="0"/>
        <v>0.3661330920583688</v>
      </c>
      <c r="F22" s="3"/>
      <c r="G22" s="2">
        <f>MATCH(B22,'Points Summary'!$B$4:$B$1144,0)</f>
        <v>313</v>
      </c>
      <c r="I22" s="196"/>
    </row>
    <row r="23" spans="1:9" x14ac:dyDescent="0.25">
      <c r="A23" s="2">
        <v>6</v>
      </c>
      <c r="B23" s="114" t="s">
        <v>1176</v>
      </c>
      <c r="C23" s="28">
        <f>TIME(0,59,9.3)</f>
        <v>4.1076388888888891E-2</v>
      </c>
      <c r="D23" s="29">
        <f>INDEX('Points Summary'!$F$4:$F$1143,G23)</f>
        <v>0</v>
      </c>
      <c r="E23" s="124">
        <f t="shared" si="0"/>
        <v>0.515825714367947</v>
      </c>
      <c r="F23" s="3"/>
      <c r="G23" s="2">
        <f>MATCH(B23,'Points Summary'!$B$4:$B$1144,0)</f>
        <v>171</v>
      </c>
      <c r="I23" s="196"/>
    </row>
    <row r="24" spans="1:9" x14ac:dyDescent="0.25">
      <c r="A24" s="2">
        <v>7</v>
      </c>
      <c r="B24" s="114" t="s">
        <v>1171</v>
      </c>
      <c r="C24" s="28">
        <f>TIME(1,0,36.2)</f>
        <v>4.2083333333333334E-2</v>
      </c>
      <c r="D24" s="29">
        <f>INDEX('Points Summary'!$F$4:$F$1143,G24)</f>
        <v>0</v>
      </c>
      <c r="E24" s="124">
        <f t="shared" si="0"/>
        <v>0.50348334991524868</v>
      </c>
      <c r="F24" s="3"/>
      <c r="G24" s="2">
        <f>MATCH(B24,'Points Summary'!$B$4:$B$1144,0)</f>
        <v>423</v>
      </c>
      <c r="I24" s="196"/>
    </row>
    <row r="25" spans="1:9" x14ac:dyDescent="0.25">
      <c r="A25" s="2"/>
      <c r="B25" s="114"/>
      <c r="C25" s="28"/>
      <c r="D25" s="29"/>
      <c r="E25" s="30"/>
      <c r="F25" s="3"/>
      <c r="G25" s="2"/>
    </row>
    <row r="26" spans="1:9" x14ac:dyDescent="0.25">
      <c r="A26" s="2"/>
      <c r="B26" s="3"/>
      <c r="C26" s="28"/>
      <c r="D26" s="29"/>
      <c r="E26" s="30"/>
      <c r="F26" s="3"/>
      <c r="G26" s="2"/>
    </row>
    <row r="27" spans="1:9" x14ac:dyDescent="0.25">
      <c r="A27" s="2"/>
      <c r="B27" s="3"/>
      <c r="C27" s="28"/>
      <c r="D27" s="29"/>
      <c r="E27" s="30"/>
      <c r="F27" s="3"/>
      <c r="G27" s="2"/>
    </row>
    <row r="28" spans="1:9" x14ac:dyDescent="0.25">
      <c r="A28" s="2"/>
      <c r="B28" s="3"/>
      <c r="C28" s="28"/>
      <c r="D28" s="29"/>
      <c r="E28" s="30"/>
      <c r="F28" s="3"/>
      <c r="G28" s="2"/>
    </row>
    <row r="29" spans="1:9" x14ac:dyDescent="0.25">
      <c r="A29" s="2"/>
      <c r="B29" s="3"/>
      <c r="C29" s="28"/>
      <c r="D29" s="29"/>
      <c r="E29" s="30"/>
      <c r="F29" s="3"/>
      <c r="G29" s="2"/>
    </row>
    <row r="30" spans="1:9" x14ac:dyDescent="0.25">
      <c r="A30" s="2"/>
      <c r="B30" s="3"/>
      <c r="C30" s="28"/>
      <c r="D30" s="29"/>
      <c r="E30" s="30"/>
      <c r="F30" s="3"/>
      <c r="G30" s="2"/>
    </row>
    <row r="31" spans="1:9" x14ac:dyDescent="0.25">
      <c r="A31" s="2"/>
      <c r="B31" s="3"/>
      <c r="C31" s="28"/>
      <c r="D31" s="29"/>
      <c r="E31" s="30"/>
      <c r="F31" s="3"/>
      <c r="G31" s="2"/>
    </row>
    <row r="32" spans="1:9" x14ac:dyDescent="0.25">
      <c r="A32" s="2"/>
      <c r="B32" s="3"/>
      <c r="C32" s="28"/>
      <c r="D32" s="29"/>
      <c r="E32" s="30"/>
      <c r="F32" s="3"/>
      <c r="G32" s="2"/>
    </row>
    <row r="33" spans="1:7" x14ac:dyDescent="0.25">
      <c r="A33" s="2"/>
      <c r="B33" s="3"/>
      <c r="C33" s="28"/>
      <c r="D33" s="29"/>
      <c r="E33" s="30"/>
      <c r="F33" s="3"/>
      <c r="G33" s="2"/>
    </row>
    <row r="34" spans="1:7" x14ac:dyDescent="0.25">
      <c r="A34" s="2"/>
      <c r="B34" s="3"/>
      <c r="C34" s="28"/>
      <c r="D34" s="29"/>
      <c r="E34" s="30"/>
      <c r="F34" s="3"/>
      <c r="G34" s="2"/>
    </row>
    <row r="35" spans="1:7" x14ac:dyDescent="0.25">
      <c r="A35" s="2"/>
      <c r="B35" s="3"/>
      <c r="C35" s="28"/>
      <c r="D35" s="29"/>
      <c r="E35" s="30"/>
      <c r="F35" s="3"/>
      <c r="G35" s="2"/>
    </row>
    <row r="36" spans="1:7" x14ac:dyDescent="0.25">
      <c r="A36" s="2"/>
      <c r="B36" s="3"/>
      <c r="C36" s="28"/>
      <c r="D36" s="29"/>
      <c r="E36" s="30"/>
      <c r="F36" s="3"/>
      <c r="G36" s="2"/>
    </row>
    <row r="37" spans="1:7" x14ac:dyDescent="0.25">
      <c r="A37" s="2"/>
      <c r="B37" s="3"/>
      <c r="C37" s="28"/>
      <c r="D37" s="29"/>
      <c r="E37" s="30"/>
      <c r="F37" s="3"/>
      <c r="G37" s="2"/>
    </row>
    <row r="38" spans="1:7" x14ac:dyDescent="0.25">
      <c r="A38" s="42"/>
      <c r="B38" s="3"/>
      <c r="C38" s="28"/>
      <c r="D38" s="29"/>
      <c r="E38" s="30"/>
      <c r="F38" s="3"/>
      <c r="G38" s="2"/>
    </row>
    <row r="39" spans="1:7" x14ac:dyDescent="0.25">
      <c r="A39" s="42"/>
      <c r="B39" s="3"/>
      <c r="C39" s="28"/>
      <c r="D39" s="29"/>
      <c r="E39" s="30"/>
      <c r="F39" s="3"/>
      <c r="G39" s="2"/>
    </row>
    <row r="40" spans="1:7" x14ac:dyDescent="0.25">
      <c r="A40" s="42"/>
      <c r="B40" s="3"/>
      <c r="C40" s="28"/>
      <c r="D40" s="29"/>
      <c r="E40" s="30"/>
      <c r="F40" s="3"/>
      <c r="G40" s="2"/>
    </row>
    <row r="41" spans="1:7" x14ac:dyDescent="0.25">
      <c r="A41" s="42"/>
      <c r="C41" s="28"/>
      <c r="D41" s="29"/>
      <c r="E41" s="30"/>
      <c r="F41" s="3"/>
      <c r="G41" s="2"/>
    </row>
    <row r="42" spans="1:7" x14ac:dyDescent="0.25">
      <c r="A42" s="42"/>
      <c r="C42" s="28"/>
      <c r="D42" s="29"/>
      <c r="E42" s="30"/>
      <c r="F42" s="3"/>
      <c r="G42" s="2"/>
    </row>
    <row r="43" spans="1:7" x14ac:dyDescent="0.25">
      <c r="A43" s="42"/>
      <c r="C43" s="28"/>
      <c r="D43" s="29"/>
      <c r="E43" s="30"/>
      <c r="F43" s="3"/>
      <c r="G43" s="2"/>
    </row>
    <row r="44" spans="1:7" x14ac:dyDescent="0.25">
      <c r="A44" s="42"/>
      <c r="C44" s="28"/>
      <c r="D44" s="29"/>
      <c r="E44" s="30"/>
      <c r="F44" s="3"/>
      <c r="G44" s="2"/>
    </row>
    <row r="45" spans="1:7" x14ac:dyDescent="0.25">
      <c r="A45" s="42"/>
      <c r="C45" s="28"/>
      <c r="D45" s="29"/>
      <c r="E45" s="30"/>
      <c r="F45" s="3"/>
      <c r="G45" s="2"/>
    </row>
    <row r="46" spans="1:7" x14ac:dyDescent="0.25">
      <c r="A46" s="42"/>
      <c r="C46" s="28"/>
      <c r="D46" s="29"/>
      <c r="E46" s="30"/>
      <c r="F46" s="3"/>
      <c r="G46" s="2"/>
    </row>
    <row r="47" spans="1:7" x14ac:dyDescent="0.25">
      <c r="C47" s="28"/>
      <c r="D47" s="29"/>
      <c r="E47" s="30"/>
      <c r="F47" s="3"/>
      <c r="G47" s="2"/>
    </row>
  </sheetData>
  <sortState ref="A8:G24">
    <sortCondition descending="1" ref="D8:D24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"/>
  <sheetViews>
    <sheetView workbookViewId="0">
      <selection activeCell="B5" sqref="B5"/>
    </sheetView>
  </sheetViews>
  <sheetFormatPr defaultRowHeight="13.2" x14ac:dyDescent="0.25"/>
  <cols>
    <col min="2" max="2" width="24.6640625" customWidth="1"/>
    <col min="3" max="3" width="9.6640625" style="42" customWidth="1"/>
    <col min="4" max="4" width="9.6640625" customWidth="1"/>
    <col min="5" max="5" width="9.6640625" style="42" customWidth="1"/>
    <col min="6" max="7" width="9.6640625" customWidth="1"/>
  </cols>
  <sheetData>
    <row r="1" spans="1:7" x14ac:dyDescent="0.25">
      <c r="A1" s="16" t="s">
        <v>22</v>
      </c>
      <c r="B1" s="17" t="s">
        <v>1174</v>
      </c>
      <c r="C1" s="133"/>
      <c r="D1" s="18"/>
      <c r="E1" s="133"/>
      <c r="F1" s="18"/>
      <c r="G1" s="19"/>
    </row>
    <row r="2" spans="1:7" x14ac:dyDescent="0.25">
      <c r="A2" s="20" t="s">
        <v>23</v>
      </c>
      <c r="B2" s="21">
        <v>43141</v>
      </c>
      <c r="C2" s="56"/>
      <c r="D2" s="22"/>
      <c r="E2" s="56"/>
      <c r="F2" s="22"/>
      <c r="G2" s="23"/>
    </row>
    <row r="3" spans="1:7" x14ac:dyDescent="0.25">
      <c r="A3" s="20" t="s">
        <v>24</v>
      </c>
      <c r="B3" s="24" t="s">
        <v>44</v>
      </c>
      <c r="C3" s="56"/>
      <c r="D3" s="22"/>
      <c r="E3" s="56"/>
      <c r="F3" s="22"/>
      <c r="G3" s="23"/>
    </row>
    <row r="4" spans="1:7" x14ac:dyDescent="0.25">
      <c r="A4" s="20" t="s">
        <v>1</v>
      </c>
      <c r="B4" s="24" t="s">
        <v>26</v>
      </c>
      <c r="C4" s="56"/>
      <c r="D4" s="22"/>
      <c r="E4" s="56"/>
      <c r="F4" s="22"/>
      <c r="G4" s="23"/>
    </row>
    <row r="5" spans="1:7" x14ac:dyDescent="0.25">
      <c r="A5" s="20" t="s">
        <v>27</v>
      </c>
      <c r="B5" s="24" t="s">
        <v>879</v>
      </c>
      <c r="C5" s="56"/>
      <c r="D5" s="22"/>
      <c r="E5" s="56" t="s">
        <v>55</v>
      </c>
      <c r="F5" s="38">
        <f>AVERAGE(C8:C12)*(AVERAGE(D8:D12)/100)</f>
        <v>2.2138187022917054E-2</v>
      </c>
      <c r="G5" s="23"/>
    </row>
    <row r="6" spans="1:7" x14ac:dyDescent="0.25">
      <c r="A6" s="25" t="s">
        <v>29</v>
      </c>
      <c r="B6" s="26"/>
      <c r="C6" s="134"/>
      <c r="D6" s="26"/>
      <c r="E6" s="134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</v>
      </c>
      <c r="B8" s="114" t="s">
        <v>375</v>
      </c>
      <c r="C8" s="51">
        <f>TIME(0,47,52.9)</f>
        <v>3.3240740740740744E-2</v>
      </c>
      <c r="D8" s="29">
        <f>INDEX('Points Summary'!$F$4:$F$1143,G8)</f>
        <v>65.891897567275805</v>
      </c>
      <c r="E8" s="124">
        <f t="shared" ref="E8:E25" si="0">(AVERAGE($D$8:$D$12)/100*AVERAGE($C$8:$C$12))/C8</f>
        <v>0.66599559846101442</v>
      </c>
      <c r="F8" s="3"/>
      <c r="G8" s="2">
        <f>MATCH(B8,'Points Summary'!$B$4:$B$1144,0)</f>
        <v>86</v>
      </c>
    </row>
    <row r="9" spans="1:7" x14ac:dyDescent="0.25">
      <c r="A9" s="2">
        <v>3</v>
      </c>
      <c r="B9" s="114" t="s">
        <v>789</v>
      </c>
      <c r="C9" s="51">
        <f>TIME(0,53,25.4)</f>
        <v>3.7094907407407403E-2</v>
      </c>
      <c r="D9" s="29">
        <f>INDEX('Points Summary'!$F$4:$F$1143,G9)</f>
        <v>61.69120709013751</v>
      </c>
      <c r="E9" s="124">
        <f t="shared" si="0"/>
        <v>0.59679855188144582</v>
      </c>
      <c r="F9" s="3"/>
      <c r="G9" s="2">
        <f>MATCH(B9,'Points Summary'!$B$4:$B$1144,0)</f>
        <v>138</v>
      </c>
    </row>
    <row r="10" spans="1:7" x14ac:dyDescent="0.25">
      <c r="A10" s="2">
        <v>2</v>
      </c>
      <c r="B10" s="114" t="s">
        <v>880</v>
      </c>
      <c r="C10" s="51">
        <f>TIME(0,52,42.8)</f>
        <v>3.6597222222222225E-2</v>
      </c>
      <c r="D10" s="29">
        <f>INDEX('Points Summary'!$F$4:$F$1143,G10)</f>
        <v>56.590545113529153</v>
      </c>
      <c r="E10" s="124">
        <f t="shared" si="0"/>
        <v>0.60491440821632936</v>
      </c>
      <c r="F10" s="3"/>
      <c r="G10" s="2">
        <f>MATCH(B10,'Points Summary'!$B$4:$B$1144,0)</f>
        <v>78</v>
      </c>
    </row>
    <row r="11" spans="1:7" x14ac:dyDescent="0.25">
      <c r="A11" s="2">
        <v>10</v>
      </c>
      <c r="B11" s="3" t="s">
        <v>907</v>
      </c>
      <c r="C11" s="51">
        <f>TIME(0,59,46.8)</f>
        <v>4.1504629629629627E-2</v>
      </c>
      <c r="D11" s="29">
        <f>INDEX('Points Summary'!$F$4:$F$1143,G11)</f>
        <v>55.901532955447941</v>
      </c>
      <c r="E11" s="124">
        <f t="shared" si="0"/>
        <v>0.53339078605131995</v>
      </c>
      <c r="F11" s="3"/>
      <c r="G11" s="2">
        <f>MATCH(B11,'Points Summary'!$B$4:$B$1144,0)</f>
        <v>250</v>
      </c>
    </row>
    <row r="12" spans="1:7" x14ac:dyDescent="0.25">
      <c r="A12" s="2">
        <v>6</v>
      </c>
      <c r="B12" s="114" t="s">
        <v>792</v>
      </c>
      <c r="C12" s="51">
        <f>TIME(0,56,32.2)</f>
        <v>3.9259259259259258E-2</v>
      </c>
      <c r="D12" s="29">
        <f>INDEX('Points Summary'!$F$4:$F$1143,G12)</f>
        <v>54.791216542900059</v>
      </c>
      <c r="E12" s="124">
        <f t="shared" si="0"/>
        <v>0.56389721662147219</v>
      </c>
      <c r="F12" s="3"/>
      <c r="G12" s="2">
        <f>MATCH(B12,'Points Summary'!$B$4:$B$1144,0)</f>
        <v>235</v>
      </c>
    </row>
    <row r="13" spans="1:7" x14ac:dyDescent="0.25">
      <c r="A13" s="2">
        <v>9</v>
      </c>
      <c r="B13" s="114" t="s">
        <v>815</v>
      </c>
      <c r="C13" s="51">
        <f>TIME(0,59,9.1)</f>
        <v>4.1076388888888891E-2</v>
      </c>
      <c r="D13" s="29">
        <f>INDEX('Points Summary'!$F$4:$F$1143,G13)</f>
        <v>54.310602177213042</v>
      </c>
      <c r="E13" s="124">
        <f t="shared" si="0"/>
        <v>0.53895163673711843</v>
      </c>
      <c r="F13" s="3"/>
      <c r="G13" s="2">
        <f>MATCH(B13,'Points Summary'!$B$4:$B$1144,0)</f>
        <v>322</v>
      </c>
    </row>
    <row r="14" spans="1:7" x14ac:dyDescent="0.25">
      <c r="A14" s="2">
        <v>5</v>
      </c>
      <c r="B14" s="114" t="s">
        <v>790</v>
      </c>
      <c r="C14" s="51">
        <f>TIME(0,55,6.3)</f>
        <v>3.8263888888888889E-2</v>
      </c>
      <c r="D14" s="29">
        <f>INDEX('Points Summary'!$F$4:$F$1143,G14)</f>
        <v>52.831387637051272</v>
      </c>
      <c r="E14" s="124">
        <f t="shared" si="0"/>
        <v>0.57856604923775967</v>
      </c>
      <c r="F14" s="3"/>
      <c r="G14" s="2">
        <f>MATCH(B14,'Points Summary'!$B$4:$B$1144,0)</f>
        <v>44</v>
      </c>
    </row>
    <row r="15" spans="1:7" x14ac:dyDescent="0.25">
      <c r="A15" s="2">
        <v>4</v>
      </c>
      <c r="B15" s="114" t="s">
        <v>1094</v>
      </c>
      <c r="C15" s="51">
        <f>TIME(0,54,4.5)</f>
        <v>3.75462962962963E-2</v>
      </c>
      <c r="D15" s="29">
        <f>INDEX('Points Summary'!$F$4:$F$1143,G15)</f>
        <v>51.469604847831192</v>
      </c>
      <c r="E15" s="124">
        <f t="shared" si="0"/>
        <v>0.58962372342171188</v>
      </c>
      <c r="F15" s="3"/>
      <c r="G15" s="2">
        <f>MATCH(B15,'Points Summary'!$B$4:$B$1144,0)</f>
        <v>319</v>
      </c>
    </row>
    <row r="16" spans="1:7" x14ac:dyDescent="0.25">
      <c r="A16" s="2">
        <v>7</v>
      </c>
      <c r="B16" s="114" t="s">
        <v>793</v>
      </c>
      <c r="C16" s="51">
        <f>TIME(0,56,33.3)</f>
        <v>3.9270833333333331E-2</v>
      </c>
      <c r="D16" s="29">
        <f>INDEX('Points Summary'!$F$4:$F$1143,G16)</f>
        <v>50.281684136132554</v>
      </c>
      <c r="E16" s="124">
        <f t="shared" si="0"/>
        <v>0.56373102233422745</v>
      </c>
      <c r="F16" s="3"/>
      <c r="G16" s="2">
        <f>MATCH(B16,'Points Summary'!$B$4:$B$1144,0)</f>
        <v>170</v>
      </c>
    </row>
    <row r="17" spans="1:7" x14ac:dyDescent="0.25">
      <c r="A17" s="2">
        <v>15</v>
      </c>
      <c r="B17" s="114" t="s">
        <v>881</v>
      </c>
      <c r="C17" s="51">
        <f>TIME(1,6,5.9)</f>
        <v>4.5891203703703705E-2</v>
      </c>
      <c r="D17" s="29">
        <f>INDEX('Points Summary'!$F$4:$F$1143,G17)</f>
        <v>48.533282593654661</v>
      </c>
      <c r="E17" s="124">
        <f t="shared" si="0"/>
        <v>0.48240589124338801</v>
      </c>
      <c r="F17" s="3"/>
      <c r="G17" s="2">
        <f>MATCH(B17,'Points Summary'!$B$4:$B$1144,0)</f>
        <v>263</v>
      </c>
    </row>
    <row r="18" spans="1:7" x14ac:dyDescent="0.25">
      <c r="A18" s="2">
        <v>14</v>
      </c>
      <c r="B18" s="114" t="s">
        <v>752</v>
      </c>
      <c r="C18" s="51">
        <f>TIME(1,6,5.9)</f>
        <v>4.5891203703703705E-2</v>
      </c>
      <c r="D18" s="29">
        <f>INDEX('Points Summary'!$F$4:$F$1143,G18)</f>
        <v>47.579363425109044</v>
      </c>
      <c r="E18" s="124">
        <f t="shared" si="0"/>
        <v>0.48240589124338801</v>
      </c>
      <c r="F18" s="3"/>
      <c r="G18" s="2">
        <f>MATCH(B18,'Points Summary'!$B$4:$B$1144,0)</f>
        <v>6</v>
      </c>
    </row>
    <row r="19" spans="1:7" x14ac:dyDescent="0.25">
      <c r="A19" s="2">
        <v>12</v>
      </c>
      <c r="B19" s="114" t="s">
        <v>750</v>
      </c>
      <c r="C19" s="51">
        <f>TIME(1,3,30.5)</f>
        <v>4.4097222222222225E-2</v>
      </c>
      <c r="D19" s="29">
        <f>INDEX('Points Summary'!$F$4:$F$1143,G19)</f>
        <v>47.294153385554111</v>
      </c>
      <c r="E19" s="124">
        <f t="shared" si="0"/>
        <v>0.50203132776378823</v>
      </c>
      <c r="F19" s="3"/>
      <c r="G19" s="2">
        <f>MATCH(B19,'Points Summary'!$B$4:$B$1144,0)</f>
        <v>244</v>
      </c>
    </row>
    <row r="20" spans="1:7" x14ac:dyDescent="0.25">
      <c r="A20" s="2">
        <v>13</v>
      </c>
      <c r="B20" s="114" t="s">
        <v>824</v>
      </c>
      <c r="C20" s="51">
        <f>TIME(1,5,21.4)</f>
        <v>4.538194444444444E-2</v>
      </c>
      <c r="D20" s="29">
        <f>INDEX('Points Summary'!$F$4:$F$1143,G20)</f>
        <v>45.662834399900476</v>
      </c>
      <c r="E20" s="124">
        <f t="shared" si="0"/>
        <v>0.48781927028309963</v>
      </c>
      <c r="F20" s="3"/>
      <c r="G20" s="2">
        <f>MATCH(B20,'Points Summary'!$B$4:$B$1144,0)</f>
        <v>160</v>
      </c>
    </row>
    <row r="21" spans="1:7" x14ac:dyDescent="0.25">
      <c r="A21" s="2">
        <v>11</v>
      </c>
      <c r="B21" s="114" t="s">
        <v>1172</v>
      </c>
      <c r="C21" s="51">
        <f>TIME(1,2,6.7)</f>
        <v>4.3124999999999997E-2</v>
      </c>
      <c r="D21" s="29">
        <f>INDEX('Points Summary'!$F$4:$F$1143,G21)</f>
        <v>43.87461929889286</v>
      </c>
      <c r="E21" s="124">
        <f t="shared" si="0"/>
        <v>0.51334926429952588</v>
      </c>
      <c r="F21" s="3"/>
      <c r="G21" s="2">
        <f>MATCH(B21,'Points Summary'!$B$4:$B$1144,0)</f>
        <v>312</v>
      </c>
    </row>
    <row r="22" spans="1:7" x14ac:dyDescent="0.25">
      <c r="A22" s="2">
        <v>17</v>
      </c>
      <c r="B22" s="114" t="s">
        <v>814</v>
      </c>
      <c r="C22" s="51">
        <f>TIME(1,18,6.1)</f>
        <v>5.4236111111111117E-2</v>
      </c>
      <c r="D22" s="29">
        <f>INDEX('Points Summary'!$F$4:$F$1143,G22)</f>
        <v>43.471840752865361</v>
      </c>
      <c r="E22" s="124">
        <f t="shared" si="0"/>
        <v>0.40818168134443733</v>
      </c>
      <c r="F22" s="3"/>
      <c r="G22" s="2">
        <f>MATCH(B22,'Points Summary'!$B$4:$B$1144,0)</f>
        <v>428</v>
      </c>
    </row>
    <row r="23" spans="1:7" x14ac:dyDescent="0.25">
      <c r="A23" s="2">
        <v>16</v>
      </c>
      <c r="B23" s="3" t="s">
        <v>1095</v>
      </c>
      <c r="C23" s="51">
        <f>TIME(1,15,42)</f>
        <v>5.2569444444444446E-2</v>
      </c>
      <c r="D23" s="29">
        <f>INDEX('Points Summary'!$F$4:$F$1143,G23)</f>
        <v>40.932723775228723</v>
      </c>
      <c r="E23" s="124">
        <f t="shared" si="0"/>
        <v>0.42112271219287395</v>
      </c>
      <c r="F23" s="3"/>
      <c r="G23" s="2">
        <f>MATCH(B23,'Points Summary'!$B$4:$B$1144,0)</f>
        <v>172</v>
      </c>
    </row>
    <row r="24" spans="1:7" x14ac:dyDescent="0.25">
      <c r="A24" s="2">
        <v>18</v>
      </c>
      <c r="B24" s="114" t="s">
        <v>817</v>
      </c>
      <c r="C24" s="51">
        <f>TIME(1,19,42.4)</f>
        <v>5.5347222222222221E-2</v>
      </c>
      <c r="D24" s="29">
        <f>INDEX('Points Summary'!$F$4:$F$1143,G24)</f>
        <v>38.386646967874427</v>
      </c>
      <c r="E24" s="124">
        <f t="shared" si="0"/>
        <v>0.3999873188582253</v>
      </c>
      <c r="F24" s="3"/>
      <c r="G24" s="2">
        <f>MATCH(B24,'Points Summary'!$B$4:$B$1144,0)</f>
        <v>420</v>
      </c>
    </row>
    <row r="25" spans="1:7" x14ac:dyDescent="0.25">
      <c r="A25" s="2">
        <v>8</v>
      </c>
      <c r="B25" s="114" t="s">
        <v>1176</v>
      </c>
      <c r="C25" s="51">
        <f>TIME(0,58,56.9)</f>
        <v>4.0925925925925928E-2</v>
      </c>
      <c r="D25" s="29">
        <f>INDEX('Points Summary'!$F$4:$F$1143,G25)</f>
        <v>0</v>
      </c>
      <c r="E25" s="124">
        <f t="shared" si="0"/>
        <v>0.54093307657806378</v>
      </c>
      <c r="F25" s="3"/>
      <c r="G25" s="2">
        <f>MATCH(B25,'Points Summary'!$B$4:$B$1144,0)</f>
        <v>171</v>
      </c>
    </row>
    <row r="26" spans="1:7" x14ac:dyDescent="0.25">
      <c r="A26" s="42"/>
      <c r="B26" s="3"/>
      <c r="C26" s="51"/>
      <c r="D26" s="29"/>
      <c r="E26" s="124"/>
      <c r="F26" s="3"/>
      <c r="G26" s="2"/>
    </row>
    <row r="27" spans="1:7" x14ac:dyDescent="0.25">
      <c r="A27" s="2"/>
      <c r="B27" s="3"/>
      <c r="C27" s="51"/>
      <c r="D27" s="29"/>
      <c r="E27" s="124"/>
      <c r="F27" s="3"/>
      <c r="G27" s="2"/>
    </row>
    <row r="28" spans="1:7" x14ac:dyDescent="0.25">
      <c r="A28" s="2"/>
      <c r="B28" s="3"/>
      <c r="C28" s="51"/>
      <c r="D28" s="29"/>
      <c r="E28" s="124"/>
      <c r="F28" s="3"/>
      <c r="G28" s="2"/>
    </row>
    <row r="29" spans="1:7" x14ac:dyDescent="0.25">
      <c r="A29" s="42"/>
      <c r="B29" s="3"/>
      <c r="C29" s="51"/>
      <c r="D29" s="29"/>
      <c r="E29" s="124"/>
      <c r="F29" s="3"/>
      <c r="G29" s="2"/>
    </row>
    <row r="30" spans="1:7" x14ac:dyDescent="0.25">
      <c r="A30" s="2"/>
      <c r="B30" s="3"/>
      <c r="C30" s="51"/>
      <c r="D30" s="29"/>
      <c r="E30" s="124"/>
      <c r="F30" s="3"/>
      <c r="G30" s="2"/>
    </row>
    <row r="31" spans="1:7" x14ac:dyDescent="0.25">
      <c r="A31" s="2"/>
      <c r="B31" s="3"/>
      <c r="C31" s="51"/>
      <c r="D31" s="29"/>
      <c r="E31" s="124"/>
      <c r="F31" s="3"/>
      <c r="G31" s="2"/>
    </row>
    <row r="32" spans="1:7" x14ac:dyDescent="0.25">
      <c r="A32" s="2"/>
      <c r="B32" s="3"/>
      <c r="C32" s="51"/>
      <c r="D32" s="29"/>
      <c r="E32" s="124"/>
      <c r="F32" s="3"/>
      <c r="G32" s="2"/>
    </row>
    <row r="33" spans="1:7" x14ac:dyDescent="0.25">
      <c r="A33" s="2"/>
      <c r="B33" s="3"/>
      <c r="C33" s="51"/>
      <c r="D33" s="29"/>
      <c r="E33" s="124"/>
      <c r="F33" s="3"/>
      <c r="G33" s="2"/>
    </row>
    <row r="34" spans="1:7" x14ac:dyDescent="0.25">
      <c r="A34" s="2"/>
      <c r="B34" s="3"/>
      <c r="C34" s="51"/>
      <c r="D34" s="29"/>
      <c r="E34" s="124"/>
      <c r="F34" s="3"/>
      <c r="G34" s="2"/>
    </row>
    <row r="35" spans="1:7" x14ac:dyDescent="0.25">
      <c r="A35" s="2"/>
      <c r="B35" s="3"/>
      <c r="C35" s="51"/>
      <c r="D35" s="29"/>
      <c r="E35" s="124"/>
      <c r="F35" s="3"/>
      <c r="G35" s="2"/>
    </row>
    <row r="36" spans="1:7" x14ac:dyDescent="0.25">
      <c r="A36" s="2"/>
      <c r="B36" s="3"/>
      <c r="C36" s="51"/>
      <c r="D36" s="29"/>
      <c r="E36" s="124"/>
      <c r="F36" s="3"/>
      <c r="G36" s="2"/>
    </row>
    <row r="37" spans="1:7" x14ac:dyDescent="0.25">
      <c r="A37" s="2"/>
      <c r="B37" s="3"/>
      <c r="C37" s="51"/>
      <c r="D37" s="29"/>
      <c r="E37" s="124"/>
      <c r="F37" s="3"/>
      <c r="G37" s="2"/>
    </row>
    <row r="38" spans="1:7" x14ac:dyDescent="0.25">
      <c r="A38" s="2"/>
      <c r="B38" s="3"/>
      <c r="C38" s="51"/>
      <c r="D38" s="29"/>
      <c r="E38" s="124"/>
      <c r="F38" s="3"/>
      <c r="G38" s="2"/>
    </row>
    <row r="39" spans="1:7" x14ac:dyDescent="0.25">
      <c r="A39" s="2"/>
      <c r="B39" s="3"/>
      <c r="C39" s="51"/>
      <c r="D39" s="29"/>
      <c r="E39" s="124"/>
      <c r="F39" s="3"/>
      <c r="G39" s="2"/>
    </row>
    <row r="40" spans="1:7" x14ac:dyDescent="0.25">
      <c r="A40" s="2"/>
      <c r="B40" s="32"/>
      <c r="C40" s="51"/>
      <c r="D40" s="29"/>
      <c r="E40" s="124"/>
      <c r="F40" s="3"/>
      <c r="G40" s="2"/>
    </row>
    <row r="41" spans="1:7" x14ac:dyDescent="0.25">
      <c r="A41" s="2"/>
      <c r="B41" s="3"/>
      <c r="C41" s="51"/>
      <c r="D41" s="29"/>
      <c r="E41" s="124"/>
      <c r="F41" s="3"/>
      <c r="G41" s="2"/>
    </row>
    <row r="42" spans="1:7" x14ac:dyDescent="0.25">
      <c r="A42" s="2"/>
      <c r="B42" s="3"/>
      <c r="C42" s="51"/>
      <c r="D42" s="29"/>
      <c r="E42" s="124"/>
      <c r="F42" s="3"/>
      <c r="G42" s="2"/>
    </row>
  </sheetData>
  <sortState ref="A8:G25">
    <sortCondition descending="1" ref="D8:D25"/>
  </sortState>
  <phoneticPr fontId="0" type="noConversion"/>
  <hyperlinks>
    <hyperlink ref="B12" r:id="rId1" display="http://services.biathlonresults.com/athletes.aspx?IbuId=BTUSA10602199901"/>
    <hyperlink ref="B8" r:id="rId2" display="http://services.biathlonresults.com/athletes.aspx?IbuId=BTUSA11702199701"/>
  </hyperlinks>
  <printOptions horizontalCentered="1"/>
  <pageMargins left="0.75" right="0.75" top="1" bottom="1" header="0.5" footer="0.5"/>
  <pageSetup orientation="portrait" horizontalDpi="4294967292" verticalDpi="1200" r:id="rId3"/>
  <headerFooter alignWithMargins="0">
    <oddHeader>&amp;L&amp;"Tahoma,Bold"&amp;11U.S. Biathlon Association&amp;R&amp;"Tahoma,Bold"&amp;11 2018 Race Points</oddHeader>
    <oddFooter xml:space="preserve">&amp;L&amp;"Tahoma,Bold"&amp;11U.S. Biathlon Association&amp;R&amp;"Tahoma,Bold"&amp;11 2017 USBA Points&amp;"Arial,Regular"&amp;10 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workbookViewId="0">
      <selection activeCell="F5" sqref="F5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1170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43146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44</v>
      </c>
      <c r="C3" s="22"/>
      <c r="D3" s="22"/>
      <c r="E3" s="22"/>
      <c r="F3" s="22"/>
      <c r="G3" s="23" t="s">
        <v>29</v>
      </c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1178</v>
      </c>
      <c r="C5" s="22"/>
      <c r="D5" s="22"/>
      <c r="E5" s="22" t="s">
        <v>55</v>
      </c>
      <c r="F5" s="38">
        <f>AVERAGE(C8:C11)*(AVERAGE(D8:D11)/100)</f>
        <v>3.628698145903754E-2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41</v>
      </c>
      <c r="B8" s="3" t="s">
        <v>7</v>
      </c>
      <c r="C8" s="28">
        <v>3.6177083333333332E-2</v>
      </c>
      <c r="D8" s="29">
        <f>INDEX('Points Summary'!$F$4:$F$1143,G8)</f>
        <v>99.815882011789284</v>
      </c>
      <c r="E8" s="124">
        <f>(AVERAGE($D$8:$D$11)/100*AVERAGE($C$8:$C$11))/C8</f>
        <v>1.0030377829160968</v>
      </c>
      <c r="F8" s="3"/>
      <c r="G8" s="2">
        <f>MATCH(B8,'Points Summary'!$B$4:$B$1144,0)</f>
        <v>63</v>
      </c>
    </row>
    <row r="9" spans="1:7" x14ac:dyDescent="0.25">
      <c r="A9" s="2">
        <v>51</v>
      </c>
      <c r="B9" s="3" t="s">
        <v>84</v>
      </c>
      <c r="C9" s="28">
        <v>3.6777777777777777E-2</v>
      </c>
      <c r="D9" s="29">
        <f>INDEX('Points Summary'!$F$4:$F$1143,G9)</f>
        <v>99.460903353359868</v>
      </c>
      <c r="E9" s="124">
        <f>(AVERAGE($D$8:$D$11)/100*AVERAGE($C$8:$C$11))/C9</f>
        <v>0.98665508498893617</v>
      </c>
      <c r="F9" s="3"/>
      <c r="G9" s="2">
        <f>MATCH(B9,'Points Summary'!$B$4:$B$1144,0)</f>
        <v>13</v>
      </c>
    </row>
    <row r="10" spans="1:7" x14ac:dyDescent="0.25">
      <c r="A10" s="2">
        <v>66</v>
      </c>
      <c r="B10" s="3" t="s">
        <v>70</v>
      </c>
      <c r="C10" s="28">
        <v>3.7859953703703701E-2</v>
      </c>
      <c r="D10" s="29">
        <f>INDEX('Points Summary'!$F$4:$F$1143,G10)</f>
        <v>95.945007171519649</v>
      </c>
      <c r="E10" s="124">
        <f>(AVERAGE($D$8:$D$11)/100*AVERAGE($C$8:$C$11))/C10</f>
        <v>0.95845287458678841</v>
      </c>
      <c r="F10" s="3"/>
      <c r="G10" s="2">
        <f>MATCH(B10,'Points Summary'!$B$4:$B$1144,0)</f>
        <v>309</v>
      </c>
    </row>
    <row r="11" spans="1:7" x14ac:dyDescent="0.25">
      <c r="A11" s="2">
        <v>44</v>
      </c>
      <c r="B11" s="3" t="s">
        <v>189</v>
      </c>
      <c r="C11" s="28">
        <v>3.6527777777777777E-2</v>
      </c>
      <c r="D11" s="29">
        <f>INDEX('Points Summary'!$F$4:$F$1143,G11)</f>
        <v>98.820210613063381</v>
      </c>
      <c r="E11" s="124">
        <f>(AVERAGE($D$8:$D$11)/100*AVERAGE($C$8:$C$11))/C11</f>
        <v>0.99340785743372739</v>
      </c>
      <c r="F11" s="3"/>
      <c r="G11" s="2">
        <f>MATCH(B11,'Points Summary'!$B$4:$B$1144,0)</f>
        <v>120</v>
      </c>
    </row>
    <row r="12" spans="1:7" x14ac:dyDescent="0.25">
      <c r="A12" s="2"/>
      <c r="B12" s="3"/>
      <c r="C12" s="28"/>
      <c r="D12" s="29"/>
      <c r="E12" s="124"/>
      <c r="F12" s="3"/>
      <c r="G12" s="2"/>
    </row>
    <row r="13" spans="1:7" x14ac:dyDescent="0.25">
      <c r="A13" s="2"/>
      <c r="B13" s="3"/>
      <c r="C13" s="28"/>
      <c r="D13" s="29"/>
      <c r="E13" s="124"/>
      <c r="F13" s="3"/>
      <c r="G13" s="2"/>
    </row>
    <row r="14" spans="1:7" x14ac:dyDescent="0.25">
      <c r="A14" s="2"/>
      <c r="B14" s="3"/>
      <c r="C14" s="28"/>
      <c r="D14" s="29"/>
      <c r="E14" s="124"/>
      <c r="F14" s="3"/>
      <c r="G14" s="2"/>
    </row>
    <row r="15" spans="1:7" x14ac:dyDescent="0.25">
      <c r="A15" s="2"/>
      <c r="B15" s="3"/>
      <c r="C15" s="28"/>
      <c r="D15" s="29"/>
      <c r="E15" s="124"/>
      <c r="F15" s="3"/>
      <c r="G15" s="2"/>
    </row>
    <row r="16" spans="1:7" x14ac:dyDescent="0.25">
      <c r="A16" s="2"/>
      <c r="B16" s="3"/>
      <c r="C16" s="28"/>
      <c r="D16" s="29"/>
      <c r="E16" s="124"/>
      <c r="F16" s="3"/>
      <c r="G16" s="2"/>
    </row>
    <row r="17" spans="1:7" x14ac:dyDescent="0.25">
      <c r="A17" s="2"/>
      <c r="B17" s="3"/>
      <c r="C17" s="28"/>
      <c r="D17" s="29"/>
      <c r="E17" s="124"/>
      <c r="F17" s="3"/>
      <c r="G17" s="2"/>
    </row>
    <row r="18" spans="1:7" x14ac:dyDescent="0.25">
      <c r="A18" s="2"/>
      <c r="B18" s="3"/>
      <c r="C18" s="28"/>
      <c r="D18" s="29"/>
      <c r="E18" s="124"/>
      <c r="F18" s="3"/>
      <c r="G18" s="2"/>
    </row>
    <row r="19" spans="1:7" x14ac:dyDescent="0.25">
      <c r="A19" s="2"/>
      <c r="B19" s="3"/>
      <c r="C19" s="28"/>
      <c r="D19" s="29"/>
      <c r="E19" s="124"/>
      <c r="F19" s="3"/>
      <c r="G19" s="2"/>
    </row>
    <row r="20" spans="1:7" x14ac:dyDescent="0.25">
      <c r="A20" s="2"/>
      <c r="B20" s="3"/>
      <c r="C20" s="28"/>
      <c r="D20" s="29"/>
      <c r="E20" s="124"/>
      <c r="F20" s="3"/>
      <c r="G20" s="2"/>
    </row>
    <row r="21" spans="1:7" x14ac:dyDescent="0.25">
      <c r="A21" s="2"/>
      <c r="B21" s="3"/>
      <c r="C21" s="28"/>
      <c r="D21" s="29"/>
      <c r="E21" s="30"/>
      <c r="F21" s="3"/>
      <c r="G21" s="2"/>
    </row>
    <row r="22" spans="1:7" x14ac:dyDescent="0.25">
      <c r="A22" s="2"/>
      <c r="B22" s="3"/>
      <c r="C22" s="28"/>
      <c r="D22" s="29"/>
      <c r="E22" s="30"/>
      <c r="F22" s="3"/>
      <c r="G22" s="2"/>
    </row>
    <row r="23" spans="1:7" x14ac:dyDescent="0.25">
      <c r="A23" s="2"/>
      <c r="B23" s="3"/>
      <c r="C23" s="28"/>
      <c r="D23" s="29"/>
      <c r="E23" s="30"/>
      <c r="F23" s="3"/>
      <c r="G23" s="2"/>
    </row>
    <row r="24" spans="1:7" x14ac:dyDescent="0.25">
      <c r="A24" s="2"/>
      <c r="B24" s="3"/>
      <c r="C24" s="28"/>
      <c r="D24" s="29"/>
      <c r="E24" s="30"/>
      <c r="F24" s="3"/>
      <c r="G24" s="2"/>
    </row>
    <row r="25" spans="1:7" x14ac:dyDescent="0.25">
      <c r="A25" s="2"/>
      <c r="B25" s="3"/>
      <c r="C25" s="28"/>
      <c r="D25" s="29"/>
      <c r="E25" s="30"/>
      <c r="F25" s="3"/>
      <c r="G25" s="2"/>
    </row>
    <row r="26" spans="1:7" x14ac:dyDescent="0.25">
      <c r="A26" s="2"/>
      <c r="B26" s="3"/>
      <c r="C26" s="28"/>
      <c r="D26" s="29"/>
      <c r="E26" s="30"/>
      <c r="F26" s="3"/>
      <c r="G26" s="2"/>
    </row>
    <row r="27" spans="1:7" x14ac:dyDescent="0.25">
      <c r="A27" s="2"/>
      <c r="B27" s="3"/>
      <c r="C27" s="28"/>
      <c r="D27" s="29"/>
      <c r="E27" s="30"/>
      <c r="F27" s="3"/>
      <c r="G27" s="2"/>
    </row>
    <row r="28" spans="1:7" x14ac:dyDescent="0.25">
      <c r="A28" s="2"/>
      <c r="B28" s="3"/>
      <c r="C28" s="28"/>
      <c r="D28" s="29"/>
      <c r="E28" s="30"/>
      <c r="F28" s="3"/>
      <c r="G28" s="2"/>
    </row>
    <row r="29" spans="1:7" x14ac:dyDescent="0.25">
      <c r="A29" s="2"/>
      <c r="B29" s="3"/>
      <c r="C29" s="28"/>
      <c r="D29" s="29"/>
      <c r="E29" s="30"/>
      <c r="F29" s="3"/>
      <c r="G29" s="2"/>
    </row>
    <row r="30" spans="1:7" x14ac:dyDescent="0.25">
      <c r="A30" s="2"/>
      <c r="B30" s="3"/>
      <c r="C30" s="28"/>
      <c r="D30" s="29"/>
      <c r="E30" s="30"/>
      <c r="F30" s="3"/>
      <c r="G30" s="2"/>
    </row>
    <row r="31" spans="1:7" x14ac:dyDescent="0.25">
      <c r="A31" s="2"/>
      <c r="B31" s="3"/>
      <c r="C31" s="28"/>
      <c r="D31" s="29"/>
      <c r="E31" s="30"/>
      <c r="F31" s="3"/>
      <c r="G31" s="2"/>
    </row>
    <row r="32" spans="1:7" x14ac:dyDescent="0.25">
      <c r="B32" s="3"/>
      <c r="C32" s="28"/>
      <c r="D32" s="29"/>
      <c r="E32" s="30"/>
      <c r="F32" s="3"/>
      <c r="G32" s="2"/>
    </row>
    <row r="33" spans="2:7" x14ac:dyDescent="0.25">
      <c r="B33" s="3"/>
      <c r="C33" s="28"/>
      <c r="D33" s="29"/>
      <c r="E33" s="30"/>
      <c r="F33" s="3"/>
      <c r="G33" s="2"/>
    </row>
    <row r="34" spans="2:7" x14ac:dyDescent="0.25">
      <c r="C34" s="28"/>
      <c r="D34" s="29"/>
      <c r="E34" s="30"/>
      <c r="F34" s="3"/>
      <c r="G34" s="2"/>
    </row>
    <row r="35" spans="2:7" x14ac:dyDescent="0.25">
      <c r="C35" s="28"/>
      <c r="D35" s="29"/>
      <c r="E35" s="30"/>
      <c r="F35" s="3"/>
      <c r="G35" s="2"/>
    </row>
    <row r="36" spans="2:7" x14ac:dyDescent="0.25">
      <c r="C36" s="28"/>
      <c r="D36" s="29"/>
      <c r="E36" s="30"/>
      <c r="F36" s="3"/>
      <c r="G36" s="2"/>
    </row>
    <row r="37" spans="2:7" x14ac:dyDescent="0.25">
      <c r="C37" s="28"/>
      <c r="D37" s="29"/>
      <c r="E37" s="30"/>
      <c r="F37" s="3"/>
      <c r="G37" s="2"/>
    </row>
    <row r="38" spans="2:7" x14ac:dyDescent="0.25">
      <c r="C38" s="28"/>
      <c r="D38" s="29"/>
      <c r="E38" s="30"/>
      <c r="F38" s="3"/>
      <c r="G38" s="2"/>
    </row>
    <row r="39" spans="2:7" x14ac:dyDescent="0.25">
      <c r="C39" s="28"/>
      <c r="D39" s="29"/>
      <c r="E39" s="30"/>
      <c r="F39" s="3"/>
      <c r="G39" s="2"/>
    </row>
    <row r="40" spans="2:7" x14ac:dyDescent="0.25">
      <c r="C40" s="28"/>
      <c r="D40" s="29"/>
      <c r="E40" s="30"/>
      <c r="F40" s="3"/>
      <c r="G40" s="2"/>
    </row>
  </sheetData>
  <sortState ref="A8:G20">
    <sortCondition descending="1" ref="D8:D20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workbookViewId="0">
      <selection activeCell="B1" sqref="B1:B5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11" x14ac:dyDescent="0.25">
      <c r="A1" s="16" t="s">
        <v>22</v>
      </c>
      <c r="B1" s="17" t="s">
        <v>1179</v>
      </c>
      <c r="C1" s="18"/>
      <c r="D1" s="18"/>
      <c r="E1" s="18"/>
      <c r="F1" s="18"/>
      <c r="G1" s="19"/>
    </row>
    <row r="2" spans="1:11" x14ac:dyDescent="0.25">
      <c r="A2" s="20" t="s">
        <v>23</v>
      </c>
      <c r="B2" s="21">
        <v>43148</v>
      </c>
      <c r="C2" s="22"/>
      <c r="D2" s="22"/>
      <c r="E2" s="22"/>
      <c r="F2" s="22"/>
      <c r="G2" s="23"/>
    </row>
    <row r="3" spans="1:11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11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11" x14ac:dyDescent="0.25">
      <c r="A5" s="20" t="s">
        <v>27</v>
      </c>
      <c r="B5" s="24" t="s">
        <v>531</v>
      </c>
      <c r="C5" s="22"/>
      <c r="D5" s="22"/>
      <c r="E5" s="22" t="s">
        <v>55</v>
      </c>
      <c r="F5" s="38">
        <f>AVERAGE(C8:C11)*(AVERAGE(D8:D11)/100)</f>
        <v>1.5293803413475991E-2</v>
      </c>
      <c r="G5" s="23"/>
    </row>
    <row r="6" spans="1:11" x14ac:dyDescent="0.25">
      <c r="A6" s="25" t="s">
        <v>29</v>
      </c>
      <c r="B6" s="26"/>
      <c r="C6" s="26"/>
      <c r="D6" s="26"/>
      <c r="E6" s="26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  <c r="I7" s="3"/>
      <c r="J7" s="28"/>
      <c r="K7" s="30"/>
    </row>
    <row r="8" spans="1:11" x14ac:dyDescent="0.25">
      <c r="A8" s="2">
        <v>1</v>
      </c>
      <c r="B8" s="3" t="s">
        <v>102</v>
      </c>
      <c r="C8" s="51">
        <f>TIME(0,24,49.4)</f>
        <v>1.7233796296296296E-2</v>
      </c>
      <c r="D8" s="29">
        <f>INDEX('Points Summary'!$F$4:$F$1143,G8)</f>
        <v>86.807963708513867</v>
      </c>
      <c r="E8" s="30">
        <f>(AVERAGE($D$8:$D$10)/100*AVERAGE($C$8:$C$10))/C8</f>
        <v>0.88018670648736919</v>
      </c>
      <c r="F8" s="3"/>
      <c r="G8" s="2">
        <f>MATCH(B8,'Points Summary'!$B$4:$B$1144,0)</f>
        <v>128</v>
      </c>
    </row>
    <row r="9" spans="1:11" x14ac:dyDescent="0.25">
      <c r="A9" s="42">
        <v>2</v>
      </c>
      <c r="B9" s="3" t="s">
        <v>173</v>
      </c>
      <c r="C9" s="51">
        <f>TIME(0,25,26)</f>
        <v>1.7662037037037035E-2</v>
      </c>
      <c r="D9" s="29">
        <f>INDEX('Points Summary'!$F$4:$F$1143,G9)</f>
        <v>87.864563738067233</v>
      </c>
      <c r="E9" s="30">
        <f>(AVERAGE($D$8:$D$10)/100*AVERAGE($C$8:$C$10))/C9</f>
        <v>0.85884535121867167</v>
      </c>
      <c r="F9" s="3"/>
      <c r="G9" s="2">
        <f>MATCH(B9,'Points Summary'!$B$4:$B$1144,0)</f>
        <v>47</v>
      </c>
    </row>
    <row r="10" spans="1:11" ht="13.2" customHeight="1" x14ac:dyDescent="0.25">
      <c r="A10" s="42">
        <v>3</v>
      </c>
      <c r="B10" s="84" t="s">
        <v>9</v>
      </c>
      <c r="C10" s="51">
        <f>TIME(0,26,31.6)</f>
        <v>1.8414351851851852E-2</v>
      </c>
      <c r="D10" s="29">
        <f>INDEX('Points Summary'!$F$4:$F$1143,G10)</f>
        <v>81.414794603727941</v>
      </c>
      <c r="E10" s="30">
        <f>(AVERAGE($D$8:$D$10)/100*AVERAGE($C$8:$C$10))/C10</f>
        <v>0.82375738903814755</v>
      </c>
      <c r="F10" s="3"/>
      <c r="G10" s="2">
        <f>MATCH(B10,'Points Summary'!$B$4:$B$1144,0)</f>
        <v>124</v>
      </c>
    </row>
    <row r="11" spans="1:11" x14ac:dyDescent="0.25">
      <c r="A11" s="2">
        <v>4</v>
      </c>
      <c r="B11" s="3" t="s">
        <v>733</v>
      </c>
      <c r="C11" s="51">
        <f>TIME(0,32,26.2)</f>
        <v>2.2523148148148143E-2</v>
      </c>
      <c r="D11" s="29">
        <f>INDEX('Points Summary'!$F$4:$F$1143,G11)</f>
        <v>66.595123596656933</v>
      </c>
      <c r="E11" s="30">
        <f>(AVERAGE($D$8:$D$10)/100*AVERAGE($C$8:$C$10))/C11</f>
        <v>0.67348304520025337</v>
      </c>
      <c r="F11" s="3"/>
      <c r="G11" s="2">
        <f>MATCH(B11,'Points Summary'!$B$4:$B$1144,0)</f>
        <v>33</v>
      </c>
    </row>
    <row r="12" spans="1:11" x14ac:dyDescent="0.25">
      <c r="A12" s="2"/>
      <c r="B12" s="3"/>
      <c r="C12" s="51"/>
      <c r="D12" s="29"/>
      <c r="E12" s="30"/>
      <c r="F12" s="3"/>
      <c r="G12" s="2"/>
    </row>
    <row r="13" spans="1:11" x14ac:dyDescent="0.25">
      <c r="A13" s="42"/>
      <c r="B13" s="3"/>
      <c r="C13" s="51"/>
      <c r="D13" s="51"/>
      <c r="E13" s="28"/>
      <c r="F13" s="51"/>
      <c r="G13" s="2"/>
    </row>
    <row r="14" spans="1:11" x14ac:dyDescent="0.25">
      <c r="A14" s="2"/>
      <c r="B14" s="3"/>
      <c r="C14" s="51"/>
      <c r="D14" s="51"/>
      <c r="E14" s="28"/>
      <c r="F14" s="51"/>
      <c r="G14" s="2"/>
    </row>
    <row r="15" spans="1:11" x14ac:dyDescent="0.25">
      <c r="A15" s="2"/>
      <c r="B15" s="3"/>
      <c r="C15" s="28"/>
      <c r="D15" s="29"/>
      <c r="E15" s="28"/>
      <c r="F15" s="3"/>
      <c r="G15" s="2"/>
    </row>
    <row r="16" spans="1:11" x14ac:dyDescent="0.25">
      <c r="A16" s="42"/>
      <c r="B16" s="3"/>
      <c r="C16" s="28"/>
      <c r="D16" s="29"/>
      <c r="E16" s="30"/>
      <c r="F16" s="3"/>
      <c r="G16" s="2"/>
    </row>
    <row r="17" spans="1:7" x14ac:dyDescent="0.25">
      <c r="A17" s="42"/>
      <c r="B17" s="3"/>
      <c r="C17" s="28"/>
      <c r="D17" s="29"/>
      <c r="E17" s="30"/>
      <c r="F17" s="3"/>
      <c r="G17" s="2"/>
    </row>
    <row r="18" spans="1:7" x14ac:dyDescent="0.25">
      <c r="A18" s="42"/>
      <c r="B18" s="3"/>
      <c r="C18" s="28"/>
      <c r="D18" s="29"/>
      <c r="E18" s="30"/>
      <c r="F18" s="3"/>
      <c r="G18" s="2"/>
    </row>
    <row r="19" spans="1:7" x14ac:dyDescent="0.25">
      <c r="A19" s="2"/>
      <c r="B19" s="3"/>
      <c r="C19" s="28"/>
      <c r="D19" s="29"/>
      <c r="E19" s="30"/>
      <c r="F19" s="3"/>
      <c r="G19" s="2"/>
    </row>
    <row r="20" spans="1:7" x14ac:dyDescent="0.25">
      <c r="A20" s="2"/>
      <c r="B20" s="3"/>
      <c r="C20" s="28"/>
      <c r="D20" s="29"/>
      <c r="E20" s="30"/>
      <c r="F20" s="3"/>
      <c r="G20" s="2"/>
    </row>
    <row r="21" spans="1:7" x14ac:dyDescent="0.25">
      <c r="A21" s="42"/>
      <c r="B21" s="3"/>
      <c r="C21" s="28"/>
      <c r="D21" s="29"/>
      <c r="E21" s="30"/>
      <c r="F21" s="3"/>
      <c r="G21" s="2"/>
    </row>
    <row r="22" spans="1:7" x14ac:dyDescent="0.25">
      <c r="A22" s="2"/>
      <c r="B22" s="3"/>
      <c r="C22" s="28"/>
      <c r="D22" s="29"/>
      <c r="E22" s="30"/>
      <c r="F22" s="3"/>
      <c r="G22" s="2"/>
    </row>
    <row r="23" spans="1:7" x14ac:dyDescent="0.25">
      <c r="A23" s="42"/>
      <c r="B23" s="3"/>
      <c r="C23" s="28"/>
      <c r="D23" s="29"/>
      <c r="E23" s="30"/>
      <c r="F23" s="3"/>
      <c r="G23" s="2"/>
    </row>
    <row r="24" spans="1:7" x14ac:dyDescent="0.25">
      <c r="A24" s="42"/>
      <c r="B24" s="68"/>
      <c r="C24" s="28"/>
      <c r="D24" s="29"/>
      <c r="E24" s="30"/>
      <c r="F24" s="3"/>
      <c r="G24" s="2"/>
    </row>
    <row r="25" spans="1:7" x14ac:dyDescent="0.25">
      <c r="A25" s="42"/>
      <c r="B25" s="68"/>
      <c r="C25" s="28"/>
      <c r="D25" s="29"/>
      <c r="E25" s="30"/>
      <c r="F25" s="3"/>
      <c r="G25" s="2"/>
    </row>
    <row r="26" spans="1:7" ht="13.2" customHeight="1" x14ac:dyDescent="0.25">
      <c r="A26" s="42"/>
      <c r="B26" s="68"/>
      <c r="C26" s="28"/>
      <c r="D26" s="29"/>
      <c r="E26" s="30"/>
      <c r="F26" s="3"/>
      <c r="G26" s="2"/>
    </row>
    <row r="27" spans="1:7" x14ac:dyDescent="0.25">
      <c r="A27" s="42"/>
      <c r="B27" s="68"/>
      <c r="C27" s="28"/>
      <c r="D27" s="29"/>
      <c r="E27" s="30"/>
      <c r="F27" s="3"/>
      <c r="G27" s="2"/>
    </row>
    <row r="28" spans="1:7" x14ac:dyDescent="0.25">
      <c r="A28" s="42"/>
      <c r="B28" s="68"/>
      <c r="C28" s="28"/>
      <c r="D28" s="29"/>
      <c r="E28" s="30"/>
      <c r="F28" s="3"/>
      <c r="G28" s="2"/>
    </row>
    <row r="29" spans="1:7" x14ac:dyDescent="0.25">
      <c r="A29" s="42"/>
      <c r="B29" s="68"/>
      <c r="C29" s="28"/>
      <c r="D29" s="29"/>
      <c r="E29" s="30"/>
      <c r="F29" s="3"/>
      <c r="G29" s="2"/>
    </row>
    <row r="30" spans="1:7" x14ac:dyDescent="0.25">
      <c r="A30" s="42"/>
      <c r="B30" s="68"/>
      <c r="C30" s="28"/>
      <c r="D30" s="29"/>
      <c r="E30" s="30"/>
      <c r="F30" s="3"/>
      <c r="G30" s="2"/>
    </row>
    <row r="31" spans="1:7" x14ac:dyDescent="0.25">
      <c r="A31" s="42"/>
      <c r="B31" s="68"/>
      <c r="C31" s="28"/>
      <c r="D31" s="29"/>
      <c r="E31" s="30"/>
      <c r="F31" s="3"/>
      <c r="G31" s="2"/>
    </row>
    <row r="32" spans="1:7" x14ac:dyDescent="0.25">
      <c r="A32" s="42"/>
      <c r="B32" s="68"/>
      <c r="C32" s="28"/>
      <c r="D32" s="29"/>
      <c r="E32" s="30"/>
      <c r="F32" s="3"/>
      <c r="G32" s="2"/>
    </row>
    <row r="33" spans="1:5" x14ac:dyDescent="0.25">
      <c r="A33" s="42"/>
      <c r="B33" s="68"/>
      <c r="C33" s="28"/>
      <c r="D33" s="29"/>
      <c r="E33" s="30"/>
    </row>
    <row r="34" spans="1:5" x14ac:dyDescent="0.25">
      <c r="A34" s="42"/>
      <c r="B34" s="68"/>
      <c r="C34" s="28"/>
      <c r="D34" s="29"/>
      <c r="E34" s="30"/>
    </row>
    <row r="35" spans="1:5" x14ac:dyDescent="0.25">
      <c r="A35" s="42"/>
      <c r="B35" s="68"/>
      <c r="C35" s="28"/>
      <c r="D35" s="29"/>
      <c r="E35" s="30"/>
    </row>
    <row r="36" spans="1:5" x14ac:dyDescent="0.25">
      <c r="A36" s="42"/>
      <c r="B36" s="68"/>
      <c r="C36" s="28"/>
      <c r="D36" s="29"/>
      <c r="E36" s="30"/>
    </row>
    <row r="37" spans="1:5" x14ac:dyDescent="0.25">
      <c r="A37" s="42"/>
      <c r="B37" s="68"/>
      <c r="C37" s="28"/>
      <c r="D37" s="29"/>
      <c r="E37" s="30"/>
    </row>
    <row r="38" spans="1:5" x14ac:dyDescent="0.25">
      <c r="A38" s="42"/>
      <c r="B38" s="68"/>
      <c r="C38" s="28"/>
      <c r="D38" s="29"/>
      <c r="E38" s="30"/>
    </row>
    <row r="39" spans="1:5" x14ac:dyDescent="0.25">
      <c r="A39" s="42"/>
      <c r="B39" s="68"/>
      <c r="C39" s="28"/>
      <c r="D39" s="29"/>
      <c r="E39" s="30"/>
    </row>
    <row r="40" spans="1:5" x14ac:dyDescent="0.25">
      <c r="A40" s="42"/>
      <c r="B40" s="68"/>
      <c r="C40" s="28"/>
      <c r="D40" s="29"/>
      <c r="E40" s="30"/>
    </row>
    <row r="41" spans="1:5" x14ac:dyDescent="0.25">
      <c r="A41" s="42"/>
      <c r="B41" s="68"/>
      <c r="C41" s="28"/>
      <c r="D41" s="29"/>
      <c r="E41" s="30"/>
    </row>
  </sheetData>
  <sortState ref="A8:D22">
    <sortCondition descending="1" ref="D8:D22"/>
  </sortState>
  <phoneticPr fontId="0" type="noConversion"/>
  <hyperlinks>
    <hyperlink ref="B8" r:id="rId1" display="http://services.biathlonresults.com/athletes.aspx?IbuId=BTUSA11702199701"/>
  </hyperlinks>
  <printOptions horizontalCentered="1"/>
  <pageMargins left="0.75" right="0.75" top="1" bottom="1" header="0.5" footer="0.5"/>
  <pageSetup orientation="portrait" horizontalDpi="4294967292" verticalDpi="1200" r:id="rId2"/>
  <headerFooter alignWithMargins="0">
    <oddHeader>&amp;L&amp;"Tahoma,Bold"&amp;11U.S. Biathlon Association&amp;R&amp;"Tahoma,Bold"&amp;11 2018 Race Points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workbookViewId="0">
      <selection activeCell="B12" sqref="B12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11" x14ac:dyDescent="0.25">
      <c r="A1" s="16" t="s">
        <v>22</v>
      </c>
      <c r="B1" s="17" t="s">
        <v>1179</v>
      </c>
      <c r="C1" s="18"/>
      <c r="D1" s="18"/>
      <c r="E1" s="18"/>
      <c r="F1" s="18"/>
      <c r="G1" s="19"/>
    </row>
    <row r="2" spans="1:11" x14ac:dyDescent="0.25">
      <c r="A2" s="20" t="s">
        <v>23</v>
      </c>
      <c r="B2" s="21">
        <v>43148</v>
      </c>
      <c r="C2" s="22"/>
      <c r="D2" s="22"/>
      <c r="E2" s="22"/>
      <c r="F2" s="22"/>
      <c r="G2" s="23"/>
    </row>
    <row r="3" spans="1:11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11" x14ac:dyDescent="0.25">
      <c r="A4" s="20" t="s">
        <v>1</v>
      </c>
      <c r="B4" s="24" t="s">
        <v>893</v>
      </c>
      <c r="C4" s="22"/>
      <c r="D4" s="22"/>
      <c r="E4" s="22"/>
      <c r="F4" s="22"/>
      <c r="G4" s="23"/>
    </row>
    <row r="5" spans="1:11" x14ac:dyDescent="0.25">
      <c r="A5" s="20" t="s">
        <v>27</v>
      </c>
      <c r="B5" s="24" t="s">
        <v>531</v>
      </c>
      <c r="C5" s="22"/>
      <c r="D5" s="22"/>
      <c r="E5" s="22" t="s">
        <v>55</v>
      </c>
      <c r="F5" s="38">
        <f>AVERAGE(C8:C10)*(AVERAGE(D8:D10)/100)</f>
        <v>1.1874523643954853E-2</v>
      </c>
      <c r="G5" s="23"/>
    </row>
    <row r="6" spans="1:11" x14ac:dyDescent="0.25">
      <c r="A6" s="25" t="s">
        <v>29</v>
      </c>
      <c r="B6" s="26"/>
      <c r="C6" s="26"/>
      <c r="D6" s="26"/>
      <c r="E6" s="26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  <c r="I7" s="3"/>
      <c r="J7" s="28"/>
      <c r="K7" s="30"/>
    </row>
    <row r="8" spans="1:11" x14ac:dyDescent="0.25">
      <c r="A8" s="2">
        <v>1</v>
      </c>
      <c r="B8" s="3" t="s">
        <v>772</v>
      </c>
      <c r="C8" s="28">
        <f>TIME(0,20,54.4)</f>
        <v>1.4513888888888889E-2</v>
      </c>
      <c r="D8" s="29">
        <f>INDEX('Points Summary'!$F$4:$F$1143,G8)</f>
        <v>81.785334346671192</v>
      </c>
      <c r="E8" s="30">
        <f>(AVERAGE($D$8:$D$10)/100*AVERAGE($C$8:$C$10))/C8</f>
        <v>0.81814899747822911</v>
      </c>
      <c r="F8" s="3"/>
      <c r="G8" s="2">
        <f>MATCH(B8,'Points Summary'!$B$4:$B$1144,0)</f>
        <v>90</v>
      </c>
      <c r="I8" s="3"/>
      <c r="J8" s="28"/>
      <c r="K8" s="30"/>
    </row>
    <row r="9" spans="1:11" x14ac:dyDescent="0.25">
      <c r="A9" s="2">
        <v>5</v>
      </c>
      <c r="B9" s="3" t="s">
        <v>774</v>
      </c>
      <c r="C9" s="28">
        <f>TIME(0,24,43.2)</f>
        <v>1.7164351851851851E-2</v>
      </c>
      <c r="D9" s="29">
        <f>INDEX('Points Summary'!$F$4:$F$1143,G9)</f>
        <v>71.319535937863435</v>
      </c>
      <c r="E9" s="30">
        <f>(AVERAGE($D$8:$D$10)/100*AVERAGE($C$8:$C$10))/C9</f>
        <v>0.69181311047720795</v>
      </c>
      <c r="F9" s="3"/>
      <c r="G9" s="2">
        <f>MATCH(B9,'Points Summary'!$B$4:$B$1144,0)</f>
        <v>258</v>
      </c>
      <c r="I9" s="3"/>
      <c r="J9" s="28"/>
      <c r="K9" s="30"/>
    </row>
    <row r="10" spans="1:11" x14ac:dyDescent="0.25">
      <c r="A10" s="2">
        <v>4</v>
      </c>
      <c r="B10" s="3" t="s">
        <v>1104</v>
      </c>
      <c r="C10" s="28">
        <f>TIME(0,24,13.1)</f>
        <v>1.681712962962963E-2</v>
      </c>
      <c r="D10" s="29">
        <f>INDEX('Points Summary'!$F$4:$F$1143,G10)</f>
        <v>67.26815085005471</v>
      </c>
      <c r="E10" s="30">
        <f>(AVERAGE($D$8:$D$10)/100*AVERAGE($C$8:$C$10))/C10</f>
        <v>0.70609693244163751</v>
      </c>
      <c r="F10" s="3"/>
      <c r="G10" s="2">
        <f>MATCH(B10,'Points Summary'!$B$4:$B$1144,0)</f>
        <v>149</v>
      </c>
      <c r="I10" s="3"/>
      <c r="J10" s="28"/>
      <c r="K10" s="30"/>
    </row>
    <row r="11" spans="1:11" x14ac:dyDescent="0.25">
      <c r="A11" s="2">
        <v>2</v>
      </c>
      <c r="B11" s="3" t="s">
        <v>1105</v>
      </c>
      <c r="C11" s="28">
        <f>TIME(0,23,32.2)</f>
        <v>1.6342592592592593E-2</v>
      </c>
      <c r="D11" s="29">
        <f>INDEX('Points Summary'!$F$4:$F$1143,G11)</f>
        <v>62.925723271706111</v>
      </c>
      <c r="E11" s="30">
        <f>(AVERAGE($D$8:$D$10)/100*AVERAGE($C$8:$C$10))/C11</f>
        <v>0.72659974705219499</v>
      </c>
      <c r="F11" s="3"/>
      <c r="G11" s="2">
        <f>MATCH(B11,'Points Summary'!$B$4:$B$1144,0)</f>
        <v>248</v>
      </c>
      <c r="I11" s="3"/>
      <c r="J11" s="28"/>
      <c r="K11" s="30"/>
    </row>
    <row r="12" spans="1:11" x14ac:dyDescent="0.25">
      <c r="A12" s="2">
        <v>3</v>
      </c>
      <c r="B12" s="3" t="s">
        <v>1180</v>
      </c>
      <c r="C12" s="28">
        <f>TIME(0,24,2.9)</f>
        <v>1.6689814814814817E-2</v>
      </c>
      <c r="D12" s="29">
        <f>INDEX('Points Summary'!$F$4:$F$1143,G12)</f>
        <v>61.780631029579666</v>
      </c>
      <c r="E12" s="30">
        <f>(AVERAGE($D$8:$D$10)/100*AVERAGE($C$8:$C$10))/C12</f>
        <v>0.71148324746026292</v>
      </c>
      <c r="F12" s="3"/>
      <c r="G12" s="2">
        <f>MATCH(B12,'Points Summary'!$B$4:$B$1144,0)</f>
        <v>83</v>
      </c>
      <c r="I12" s="3"/>
      <c r="J12" s="28"/>
      <c r="K12" s="30"/>
    </row>
    <row r="13" spans="1:11" x14ac:dyDescent="0.25">
      <c r="A13" s="2"/>
      <c r="B13" s="3"/>
      <c r="C13" s="28"/>
      <c r="D13" s="29"/>
      <c r="E13" s="30"/>
      <c r="F13" s="3"/>
      <c r="G13" s="2"/>
      <c r="I13" s="3"/>
      <c r="J13" s="28"/>
      <c r="K13" s="30"/>
    </row>
    <row r="14" spans="1:11" x14ac:dyDescent="0.25">
      <c r="A14" s="2"/>
      <c r="B14" s="3"/>
      <c r="C14" s="28"/>
      <c r="D14" s="29"/>
      <c r="E14" s="30"/>
      <c r="F14" s="3"/>
      <c r="G14" s="2"/>
      <c r="I14" s="3"/>
      <c r="J14" s="28"/>
      <c r="K14" s="30"/>
    </row>
    <row r="15" spans="1:11" x14ac:dyDescent="0.25">
      <c r="A15" s="2"/>
      <c r="B15" s="3"/>
      <c r="C15" s="28"/>
      <c r="D15" s="29"/>
      <c r="E15" s="30"/>
      <c r="F15" s="3"/>
      <c r="G15" s="2"/>
      <c r="I15" s="3"/>
      <c r="J15" s="28"/>
      <c r="K15" s="30"/>
    </row>
    <row r="16" spans="1:11" x14ac:dyDescent="0.25">
      <c r="A16" s="2"/>
      <c r="B16" s="3"/>
      <c r="C16" s="28"/>
      <c r="D16" s="29"/>
      <c r="E16" s="30"/>
      <c r="F16" s="3"/>
      <c r="G16" s="2"/>
    </row>
    <row r="17" spans="1:7" x14ac:dyDescent="0.25">
      <c r="A17" s="2"/>
      <c r="B17" s="3"/>
      <c r="C17" s="28"/>
      <c r="D17" s="29"/>
      <c r="E17" s="30"/>
      <c r="F17" s="3"/>
      <c r="G17" s="2"/>
    </row>
    <row r="18" spans="1:7" x14ac:dyDescent="0.25">
      <c r="A18" s="2"/>
      <c r="B18" s="3"/>
      <c r="C18" s="28"/>
      <c r="D18" s="29"/>
      <c r="E18" s="30"/>
      <c r="F18" s="3"/>
      <c r="G18" s="2"/>
    </row>
    <row r="19" spans="1:7" x14ac:dyDescent="0.25">
      <c r="A19" s="2"/>
      <c r="B19" s="3"/>
      <c r="C19" s="28"/>
      <c r="D19" s="29"/>
      <c r="E19" s="30"/>
      <c r="F19" s="3"/>
      <c r="G19" s="2"/>
    </row>
    <row r="20" spans="1:7" x14ac:dyDescent="0.25">
      <c r="A20" s="2"/>
      <c r="B20" s="3"/>
      <c r="C20" s="28"/>
      <c r="D20" s="29"/>
      <c r="E20" s="30"/>
      <c r="F20" s="3"/>
      <c r="G20" s="2"/>
    </row>
    <row r="21" spans="1:7" x14ac:dyDescent="0.25">
      <c r="A21" s="2"/>
      <c r="B21" s="3"/>
      <c r="C21" s="28"/>
      <c r="D21" s="29"/>
      <c r="E21" s="30"/>
      <c r="F21" s="3"/>
      <c r="G21" s="2"/>
    </row>
    <row r="22" spans="1:7" x14ac:dyDescent="0.25">
      <c r="A22" s="2"/>
      <c r="B22" s="3"/>
      <c r="C22" s="28"/>
      <c r="D22" s="29"/>
      <c r="E22" s="30"/>
      <c r="F22" s="3"/>
      <c r="G22" s="2"/>
    </row>
    <row r="23" spans="1:7" x14ac:dyDescent="0.25">
      <c r="A23" s="2"/>
      <c r="B23" s="3"/>
      <c r="C23" s="28"/>
      <c r="D23" s="29"/>
      <c r="E23" s="30"/>
      <c r="F23" s="3"/>
      <c r="G23" s="2"/>
    </row>
    <row r="24" spans="1:7" x14ac:dyDescent="0.25">
      <c r="A24" s="2"/>
      <c r="B24" s="3"/>
      <c r="C24" s="28"/>
      <c r="D24" s="29"/>
      <c r="E24" s="30"/>
      <c r="F24" s="3"/>
      <c r="G24" s="2"/>
    </row>
    <row r="25" spans="1:7" x14ac:dyDescent="0.25">
      <c r="A25" s="2"/>
      <c r="B25" s="3"/>
      <c r="C25" s="28"/>
      <c r="D25" s="29"/>
      <c r="E25" s="30"/>
      <c r="F25" s="3"/>
      <c r="G25" s="2"/>
    </row>
    <row r="26" spans="1:7" x14ac:dyDescent="0.25">
      <c r="A26" s="2"/>
      <c r="B26" s="3"/>
      <c r="C26" s="28"/>
      <c r="D26" s="29"/>
      <c r="E26" s="30"/>
      <c r="F26" s="3"/>
      <c r="G26" s="2"/>
    </row>
    <row r="27" spans="1:7" x14ac:dyDescent="0.25">
      <c r="A27" s="2"/>
      <c r="B27" s="3"/>
      <c r="C27" s="28"/>
      <c r="D27" s="29"/>
      <c r="E27" s="30"/>
      <c r="F27" s="3"/>
      <c r="G27" s="2"/>
    </row>
    <row r="28" spans="1:7" x14ac:dyDescent="0.25">
      <c r="A28" s="2"/>
      <c r="B28" s="3"/>
      <c r="C28" s="28"/>
      <c r="D28" s="29"/>
      <c r="E28" s="30"/>
      <c r="F28" s="3"/>
      <c r="G28" s="2"/>
    </row>
    <row r="29" spans="1:7" x14ac:dyDescent="0.25">
      <c r="A29" s="2"/>
      <c r="B29" s="3"/>
      <c r="C29" s="28"/>
      <c r="D29" s="29"/>
      <c r="E29" s="30"/>
      <c r="F29" s="3"/>
      <c r="G29" s="2"/>
    </row>
    <row r="30" spans="1:7" x14ac:dyDescent="0.25">
      <c r="A30" s="2"/>
      <c r="B30" s="3"/>
      <c r="C30" s="28"/>
      <c r="D30" s="29"/>
      <c r="E30" s="30"/>
      <c r="F30" s="3"/>
      <c r="G30" s="2"/>
    </row>
    <row r="31" spans="1:7" x14ac:dyDescent="0.25">
      <c r="A31" s="2"/>
      <c r="B31" s="3"/>
      <c r="C31" s="28"/>
      <c r="D31" s="29"/>
      <c r="E31" s="30"/>
      <c r="F31" s="3"/>
      <c r="G31" s="2"/>
    </row>
    <row r="32" spans="1:7" x14ac:dyDescent="0.25">
      <c r="A32" s="2"/>
      <c r="B32" s="3"/>
      <c r="C32" s="28"/>
      <c r="D32" s="29"/>
      <c r="E32" s="30"/>
      <c r="F32" s="3"/>
      <c r="G32" s="2"/>
    </row>
    <row r="33" spans="1:7" x14ac:dyDescent="0.25">
      <c r="A33" s="2"/>
      <c r="B33" s="3"/>
      <c r="C33" s="28"/>
      <c r="D33" s="29"/>
      <c r="E33" s="30"/>
      <c r="F33" s="3"/>
      <c r="G33" s="2"/>
    </row>
    <row r="34" spans="1:7" x14ac:dyDescent="0.25">
      <c r="A34" s="2"/>
      <c r="C34" s="28"/>
      <c r="D34" s="29"/>
      <c r="E34" s="30"/>
      <c r="F34" s="3"/>
      <c r="G34" s="2"/>
    </row>
    <row r="35" spans="1:7" x14ac:dyDescent="0.25">
      <c r="A35" s="2"/>
      <c r="C35" s="28"/>
      <c r="D35" s="29"/>
      <c r="E35" s="30"/>
      <c r="F35" s="3"/>
      <c r="G35" s="2"/>
    </row>
    <row r="36" spans="1:7" x14ac:dyDescent="0.25">
      <c r="A36" s="2"/>
      <c r="C36" s="28"/>
      <c r="D36" s="29"/>
      <c r="E36" s="30"/>
      <c r="F36" s="3"/>
      <c r="G36" s="2"/>
    </row>
    <row r="37" spans="1:7" x14ac:dyDescent="0.25">
      <c r="A37" s="2"/>
      <c r="C37" s="28"/>
      <c r="D37" s="29"/>
      <c r="E37" s="30"/>
      <c r="F37" s="3"/>
      <c r="G37" s="2"/>
    </row>
    <row r="38" spans="1:7" x14ac:dyDescent="0.25">
      <c r="A38" s="2"/>
      <c r="C38" s="28"/>
      <c r="D38" s="29"/>
      <c r="E38" s="30"/>
      <c r="F38" s="3"/>
      <c r="G38" s="2"/>
    </row>
    <row r="39" spans="1:7" x14ac:dyDescent="0.25">
      <c r="A39" s="2"/>
      <c r="C39" s="28"/>
      <c r="D39" s="29"/>
      <c r="E39" s="30"/>
      <c r="F39" s="3"/>
      <c r="G39" s="2"/>
    </row>
    <row r="40" spans="1:7" x14ac:dyDescent="0.25">
      <c r="A40" s="2"/>
      <c r="C40" s="28"/>
      <c r="D40" s="29"/>
      <c r="E40" s="30"/>
      <c r="F40" s="3"/>
      <c r="G40" s="2"/>
    </row>
    <row r="41" spans="1:7" x14ac:dyDescent="0.25">
      <c r="A41" s="2"/>
      <c r="B41" s="77"/>
      <c r="C41" s="28"/>
      <c r="D41" s="29"/>
      <c r="E41" s="30"/>
      <c r="F41" s="3"/>
      <c r="G41" s="2"/>
    </row>
    <row r="42" spans="1:7" x14ac:dyDescent="0.25">
      <c r="A42" s="2"/>
      <c r="B42" s="77"/>
      <c r="C42" s="28"/>
      <c r="D42" s="29"/>
      <c r="E42" s="30"/>
      <c r="F42" s="3"/>
      <c r="G42" s="2"/>
    </row>
    <row r="43" spans="1:7" x14ac:dyDescent="0.25">
      <c r="A43" s="2"/>
      <c r="B43" s="77"/>
      <c r="C43" s="28"/>
      <c r="D43" s="29"/>
      <c r="E43" s="30"/>
      <c r="F43" s="3"/>
      <c r="G43" s="2"/>
    </row>
    <row r="44" spans="1:7" x14ac:dyDescent="0.25">
      <c r="A44" s="2"/>
      <c r="B44" s="77"/>
      <c r="C44" s="28"/>
      <c r="D44" s="29"/>
      <c r="E44" s="30"/>
      <c r="F44" s="3"/>
      <c r="G44" s="2"/>
    </row>
    <row r="45" spans="1:7" x14ac:dyDescent="0.25">
      <c r="A45" s="2"/>
      <c r="B45" s="77"/>
      <c r="C45" s="28"/>
      <c r="D45" s="29"/>
      <c r="E45" s="30"/>
      <c r="F45" s="3"/>
      <c r="G45" s="2"/>
    </row>
    <row r="46" spans="1:7" x14ac:dyDescent="0.25">
      <c r="A46" s="2"/>
      <c r="B46" s="77"/>
      <c r="C46" s="28"/>
      <c r="D46" s="29"/>
      <c r="E46" s="30"/>
      <c r="F46" s="3"/>
      <c r="G46" s="2"/>
    </row>
    <row r="47" spans="1:7" x14ac:dyDescent="0.25">
      <c r="A47" s="2"/>
      <c r="B47" s="77"/>
      <c r="C47" s="28"/>
      <c r="D47" s="29"/>
      <c r="E47" s="30"/>
      <c r="F47" s="3"/>
      <c r="G47" s="2"/>
    </row>
    <row r="48" spans="1:7" x14ac:dyDescent="0.25">
      <c r="A48" s="2"/>
      <c r="B48" s="77"/>
      <c r="C48" s="28"/>
      <c r="D48" s="29"/>
      <c r="E48" s="30"/>
      <c r="F48" s="3"/>
      <c r="G48" s="2"/>
    </row>
    <row r="49" spans="1:7" x14ac:dyDescent="0.25">
      <c r="A49" s="2"/>
      <c r="B49" s="77"/>
      <c r="C49" s="28"/>
      <c r="D49" s="29"/>
      <c r="E49" s="30"/>
      <c r="F49" s="3"/>
      <c r="G49" s="2"/>
    </row>
    <row r="50" spans="1:7" x14ac:dyDescent="0.25">
      <c r="A50" s="2"/>
      <c r="B50" s="77"/>
      <c r="C50" s="28"/>
      <c r="D50" s="29"/>
      <c r="E50" s="30"/>
      <c r="F50" s="3"/>
      <c r="G50" s="2"/>
    </row>
    <row r="51" spans="1:7" x14ac:dyDescent="0.25">
      <c r="A51" s="2"/>
      <c r="B51" s="77"/>
      <c r="C51" s="28"/>
      <c r="D51" s="29"/>
      <c r="E51" s="30"/>
      <c r="F51" s="3"/>
      <c r="G51" s="2"/>
    </row>
    <row r="52" spans="1:7" x14ac:dyDescent="0.25">
      <c r="A52" s="2"/>
      <c r="B52" s="77"/>
      <c r="C52" s="28"/>
      <c r="D52" s="29"/>
      <c r="E52" s="30"/>
      <c r="F52" s="3"/>
      <c r="G52" s="2"/>
    </row>
    <row r="53" spans="1:7" x14ac:dyDescent="0.25">
      <c r="A53" s="2"/>
      <c r="B53" s="77"/>
      <c r="C53" s="28"/>
      <c r="D53" s="29"/>
      <c r="E53" s="30"/>
      <c r="F53" s="3"/>
      <c r="G53" s="2"/>
    </row>
    <row r="54" spans="1:7" x14ac:dyDescent="0.25">
      <c r="A54" s="2"/>
      <c r="B54" s="77"/>
      <c r="C54" s="28"/>
      <c r="D54" s="29"/>
      <c r="E54" s="30"/>
      <c r="F54" s="3"/>
      <c r="G54" s="2"/>
    </row>
    <row r="55" spans="1:7" x14ac:dyDescent="0.25">
      <c r="A55" s="2"/>
      <c r="B55" s="77"/>
      <c r="C55" s="28"/>
      <c r="D55" s="29"/>
      <c r="E55" s="30"/>
      <c r="F55" s="3"/>
      <c r="G55" s="2"/>
    </row>
    <row r="56" spans="1:7" x14ac:dyDescent="0.25">
      <c r="A56" s="2"/>
      <c r="B56" s="77"/>
      <c r="C56" s="28"/>
      <c r="D56" s="29"/>
      <c r="E56" s="30"/>
      <c r="F56" s="3"/>
      <c r="G56" s="2"/>
    </row>
    <row r="57" spans="1:7" x14ac:dyDescent="0.25">
      <c r="A57" s="2"/>
      <c r="B57" s="77"/>
      <c r="C57" s="28"/>
      <c r="D57" s="29"/>
      <c r="E57" s="30"/>
      <c r="F57" s="3"/>
      <c r="G57" s="2"/>
    </row>
    <row r="58" spans="1:7" x14ac:dyDescent="0.25">
      <c r="A58" s="2"/>
      <c r="B58" s="77"/>
      <c r="C58" s="28"/>
      <c r="D58" s="29"/>
      <c r="E58" s="30"/>
      <c r="F58" s="3"/>
      <c r="G58" s="2"/>
    </row>
    <row r="59" spans="1:7" x14ac:dyDescent="0.25">
      <c r="A59" s="2"/>
      <c r="B59" s="77"/>
      <c r="C59" s="28"/>
      <c r="D59" s="29"/>
      <c r="E59" s="30"/>
      <c r="F59" s="3"/>
      <c r="G59" s="2"/>
    </row>
    <row r="60" spans="1:7" x14ac:dyDescent="0.25">
      <c r="A60" s="2"/>
      <c r="B60" s="77"/>
      <c r="C60" s="28"/>
      <c r="D60" s="29"/>
      <c r="E60" s="30"/>
      <c r="F60" s="3"/>
      <c r="G60" s="2"/>
    </row>
    <row r="61" spans="1:7" x14ac:dyDescent="0.25">
      <c r="A61" s="2"/>
      <c r="B61" s="77"/>
      <c r="C61" s="28"/>
      <c r="D61" s="29"/>
      <c r="E61" s="30"/>
      <c r="F61" s="3"/>
      <c r="G61" s="2"/>
    </row>
    <row r="62" spans="1:7" x14ac:dyDescent="0.25">
      <c r="A62" s="2"/>
      <c r="B62" s="77"/>
      <c r="C62" s="28"/>
      <c r="D62" s="29"/>
      <c r="E62" s="30"/>
      <c r="F62" s="3"/>
      <c r="G62" s="2"/>
    </row>
    <row r="63" spans="1:7" x14ac:dyDescent="0.25">
      <c r="A63" s="2"/>
      <c r="B63" s="77"/>
      <c r="C63" s="28"/>
      <c r="D63" s="29"/>
      <c r="E63" s="30"/>
      <c r="F63" s="3"/>
      <c r="G63" s="2"/>
    </row>
    <row r="64" spans="1:7" x14ac:dyDescent="0.25">
      <c r="A64" s="2"/>
      <c r="B64" s="77"/>
      <c r="C64" s="28"/>
      <c r="D64" s="29"/>
      <c r="E64" s="30"/>
      <c r="F64" s="3"/>
      <c r="G64" s="2"/>
    </row>
    <row r="65" spans="1:7" x14ac:dyDescent="0.25">
      <c r="A65" s="2"/>
      <c r="B65" s="77"/>
      <c r="C65" s="28"/>
      <c r="D65" s="29"/>
      <c r="E65" s="30"/>
      <c r="F65" s="3"/>
      <c r="G65" s="2"/>
    </row>
    <row r="66" spans="1:7" x14ac:dyDescent="0.25">
      <c r="A66" s="2"/>
      <c r="B66" s="77"/>
      <c r="C66" s="28"/>
      <c r="D66" s="29"/>
      <c r="E66" s="30"/>
      <c r="F66" s="3"/>
      <c r="G66" s="2"/>
    </row>
  </sheetData>
  <sortState ref="A8:G12">
    <sortCondition descending="1" ref="D8:D12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"/>
  <sheetViews>
    <sheetView workbookViewId="0">
      <selection activeCell="B12" sqref="B12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8" x14ac:dyDescent="0.25">
      <c r="A1" s="16" t="s">
        <v>22</v>
      </c>
      <c r="B1" s="17" t="s">
        <v>1179</v>
      </c>
      <c r="C1" s="18"/>
      <c r="D1" s="18"/>
      <c r="E1" s="18"/>
      <c r="F1" s="18"/>
      <c r="G1" s="19"/>
    </row>
    <row r="2" spans="1:8" x14ac:dyDescent="0.25">
      <c r="A2" s="20" t="s">
        <v>23</v>
      </c>
      <c r="B2" s="21">
        <v>43148</v>
      </c>
      <c r="C2" s="22"/>
      <c r="D2" s="22"/>
      <c r="E2" s="22"/>
      <c r="F2" s="22"/>
      <c r="G2" s="23"/>
    </row>
    <row r="3" spans="1:8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8" x14ac:dyDescent="0.25">
      <c r="A4" s="20" t="s">
        <v>1</v>
      </c>
      <c r="B4" s="24" t="s">
        <v>466</v>
      </c>
      <c r="C4" s="22"/>
      <c r="D4" s="22"/>
      <c r="E4" s="22"/>
      <c r="F4" s="22"/>
      <c r="G4" s="23"/>
    </row>
    <row r="5" spans="1:8" x14ac:dyDescent="0.25">
      <c r="A5" s="20" t="s">
        <v>27</v>
      </c>
      <c r="B5" s="24" t="s">
        <v>531</v>
      </c>
      <c r="C5" s="22"/>
      <c r="D5" s="22"/>
      <c r="E5" s="22" t="s">
        <v>55</v>
      </c>
      <c r="F5" s="38">
        <f>AVERAGE(C8:C12)*(AVERAGE(D8:D12)/100)</f>
        <v>1.1571459904097463E-2</v>
      </c>
      <c r="G5" s="23"/>
    </row>
    <row r="6" spans="1:8" x14ac:dyDescent="0.25">
      <c r="A6" s="25" t="s">
        <v>29</v>
      </c>
      <c r="B6" s="26"/>
      <c r="C6" s="26"/>
      <c r="D6" s="26"/>
      <c r="E6" s="26"/>
      <c r="F6" s="26"/>
      <c r="G6" s="27"/>
    </row>
    <row r="7" spans="1:8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8" x14ac:dyDescent="0.25">
      <c r="A8" s="2">
        <v>1</v>
      </c>
      <c r="B8" s="3" t="s">
        <v>13</v>
      </c>
      <c r="C8" s="51">
        <f>TIME(0,24,43.2)</f>
        <v>1.7164351851851851E-2</v>
      </c>
      <c r="D8" s="29">
        <f>INDEX('Points Summary'!$F$4:$F$1143,G8)</f>
        <v>65.133504013378101</v>
      </c>
      <c r="E8" s="124">
        <f>(AVERAGE($D$8:$D$12)/100*AVERAGE($C$8:$C$12))/C8</f>
        <v>0.6741565311625225</v>
      </c>
      <c r="F8" s="3"/>
      <c r="G8" s="2">
        <f>MATCH(B8,'Points Summary'!$B$4:$B$1144,0)</f>
        <v>184</v>
      </c>
      <c r="H8" s="3"/>
    </row>
    <row r="9" spans="1:8" x14ac:dyDescent="0.25">
      <c r="A9" s="2">
        <v>3</v>
      </c>
      <c r="B9" s="3" t="s">
        <v>892</v>
      </c>
      <c r="C9" s="51">
        <f>TIME(0,30,24.6)</f>
        <v>2.1111111111111108E-2</v>
      </c>
      <c r="D9" s="29">
        <f>INDEX('Points Summary'!$F$4:$F$1143,G9)</f>
        <v>55.834358374180702</v>
      </c>
      <c r="E9" s="124">
        <f>(AVERAGE($D$8:$D$12)/100*AVERAGE($C$8:$C$12))/C9</f>
        <v>0.54812178493093255</v>
      </c>
      <c r="F9" s="3"/>
      <c r="G9" s="2">
        <f>MATCH(B9,'Points Summary'!$B$4:$B$1144,0)</f>
        <v>403</v>
      </c>
      <c r="H9" s="3"/>
    </row>
    <row r="10" spans="1:8" x14ac:dyDescent="0.25">
      <c r="A10" s="2">
        <v>6</v>
      </c>
      <c r="B10" s="3" t="s">
        <v>773</v>
      </c>
      <c r="C10" s="28">
        <f>TIME(0,33,24.4)</f>
        <v>2.3194444444444445E-2</v>
      </c>
      <c r="D10" s="29">
        <f>INDEX('Points Summary'!$F$4:$F$1143,G10)</f>
        <v>52.599685351480908</v>
      </c>
      <c r="E10" s="124">
        <f>(AVERAGE($D$8:$D$12)/100*AVERAGE($C$8:$C$12))/C10</f>
        <v>0.4988892892784535</v>
      </c>
      <c r="F10" s="3"/>
      <c r="G10" s="2">
        <f>MATCH(B10,'Points Summary'!$B$4:$B$1144,0)</f>
        <v>123</v>
      </c>
      <c r="H10" s="3"/>
    </row>
    <row r="11" spans="1:8" x14ac:dyDescent="0.25">
      <c r="A11" s="2">
        <v>5</v>
      </c>
      <c r="B11" s="3" t="s">
        <v>362</v>
      </c>
      <c r="C11" s="51">
        <f>TIME(0,32,54.9)</f>
        <v>2.2847222222222224E-2</v>
      </c>
      <c r="D11" s="29">
        <f>INDEX('Points Summary'!$F$4:$F$1143,G11)</f>
        <v>51.583230225978319</v>
      </c>
      <c r="E11" s="124">
        <f>(AVERAGE($D$8:$D$12)/100*AVERAGE($C$8:$C$12))/C11</f>
        <v>0.50647119337083113</v>
      </c>
      <c r="F11" s="3"/>
      <c r="G11" s="2">
        <f>MATCH(B11,'Points Summary'!$B$4:$B$1144,0)</f>
        <v>452</v>
      </c>
      <c r="H11" s="3"/>
    </row>
    <row r="12" spans="1:8" x14ac:dyDescent="0.25">
      <c r="A12" s="2">
        <v>4</v>
      </c>
      <c r="B12" s="3" t="s">
        <v>662</v>
      </c>
      <c r="C12" s="51">
        <f>TIME(0,30,24.6)</f>
        <v>2.1111111111111108E-2</v>
      </c>
      <c r="D12" s="29">
        <f>INDEX('Points Summary'!$F$4:$F$1143,G12)</f>
        <v>49.241069579723636</v>
      </c>
      <c r="E12" s="124">
        <f>(AVERAGE($D$8:$D$12)/100*AVERAGE($C$8:$C$12))/C12</f>
        <v>0.54812178493093255</v>
      </c>
      <c r="F12" s="3"/>
      <c r="G12" s="2">
        <f>MATCH(B12,'Points Summary'!$B$4:$B$1144,0)</f>
        <v>105</v>
      </c>
      <c r="H12" s="3"/>
    </row>
    <row r="13" spans="1:8" x14ac:dyDescent="0.25">
      <c r="A13" s="2"/>
      <c r="B13" s="3"/>
      <c r="C13" s="28"/>
      <c r="D13" s="29"/>
      <c r="E13" s="30"/>
      <c r="F13" s="3"/>
      <c r="G13" s="2"/>
      <c r="H13" s="3"/>
    </row>
    <row r="14" spans="1:8" x14ac:dyDescent="0.25">
      <c r="A14" s="2"/>
      <c r="B14" s="3"/>
      <c r="C14" s="28"/>
      <c r="D14" s="29"/>
      <c r="E14" s="30"/>
      <c r="F14" s="3"/>
      <c r="G14" s="2"/>
      <c r="H14" s="3"/>
    </row>
    <row r="15" spans="1:8" x14ac:dyDescent="0.25">
      <c r="A15" s="2"/>
      <c r="B15" s="3"/>
      <c r="C15" s="28"/>
      <c r="D15" s="29"/>
      <c r="E15" s="30"/>
      <c r="F15" s="3"/>
      <c r="G15" s="2"/>
      <c r="H15" s="3"/>
    </row>
    <row r="16" spans="1:8" x14ac:dyDescent="0.25">
      <c r="A16" s="2"/>
      <c r="B16" s="3"/>
      <c r="C16" s="28"/>
      <c r="D16" s="29"/>
      <c r="E16" s="30"/>
      <c r="F16" s="3"/>
      <c r="G16" s="2"/>
      <c r="H16" s="3"/>
    </row>
    <row r="17" spans="1:8" x14ac:dyDescent="0.25">
      <c r="A17" s="2"/>
      <c r="B17" s="3"/>
      <c r="C17" s="28"/>
      <c r="D17" s="29"/>
      <c r="E17" s="30"/>
      <c r="F17" s="3"/>
      <c r="G17" s="2"/>
      <c r="H17" s="3"/>
    </row>
    <row r="18" spans="1:8" x14ac:dyDescent="0.25">
      <c r="A18" s="2"/>
      <c r="B18" s="3"/>
      <c r="C18" s="28"/>
      <c r="D18" s="29"/>
      <c r="E18" s="30"/>
      <c r="F18" s="3"/>
      <c r="G18" s="2"/>
      <c r="H18" s="3"/>
    </row>
    <row r="19" spans="1:8" x14ac:dyDescent="0.25">
      <c r="A19" s="2"/>
      <c r="B19" s="3"/>
      <c r="C19" s="28"/>
      <c r="D19" s="29"/>
      <c r="E19" s="30"/>
      <c r="F19" s="3"/>
      <c r="G19" s="2"/>
      <c r="H19" s="3"/>
    </row>
    <row r="20" spans="1:8" x14ac:dyDescent="0.25">
      <c r="A20" s="2"/>
      <c r="B20" s="3"/>
      <c r="C20" s="28"/>
      <c r="D20" s="29"/>
      <c r="E20" s="30"/>
      <c r="F20" s="3"/>
      <c r="G20" s="2"/>
      <c r="H20" s="3"/>
    </row>
    <row r="21" spans="1:8" x14ac:dyDescent="0.25">
      <c r="A21" s="2"/>
      <c r="B21" s="3"/>
      <c r="C21" s="28"/>
      <c r="D21" s="29"/>
      <c r="E21" s="30"/>
      <c r="F21" s="3"/>
      <c r="G21" s="2"/>
      <c r="H21" s="3"/>
    </row>
    <row r="22" spans="1:8" x14ac:dyDescent="0.25">
      <c r="A22" s="2"/>
      <c r="B22" s="3"/>
      <c r="C22" s="28"/>
      <c r="D22" s="29"/>
      <c r="E22" s="30"/>
      <c r="F22" s="3"/>
      <c r="G22" s="2"/>
      <c r="H22" s="3"/>
    </row>
    <row r="23" spans="1:8" x14ac:dyDescent="0.25">
      <c r="A23" s="2"/>
      <c r="B23" s="3"/>
      <c r="C23" s="28"/>
      <c r="D23" s="29"/>
      <c r="E23" s="30"/>
      <c r="F23" s="3"/>
      <c r="G23" s="2"/>
      <c r="H23" s="3"/>
    </row>
    <row r="24" spans="1:8" x14ac:dyDescent="0.25">
      <c r="A24" s="2"/>
      <c r="B24" s="3"/>
      <c r="C24" s="28"/>
      <c r="D24" s="29"/>
      <c r="E24" s="30"/>
      <c r="F24" s="3"/>
      <c r="G24" s="2"/>
      <c r="H24" s="3"/>
    </row>
    <row r="25" spans="1:8" x14ac:dyDescent="0.25">
      <c r="A25" s="2"/>
      <c r="B25" s="3"/>
      <c r="C25" s="28"/>
      <c r="D25" s="29"/>
      <c r="E25" s="30"/>
      <c r="F25" s="3"/>
      <c r="G25" s="2"/>
      <c r="H25" s="3"/>
    </row>
    <row r="26" spans="1:8" x14ac:dyDescent="0.25">
      <c r="A26" s="2"/>
      <c r="B26" s="3"/>
      <c r="C26" s="28"/>
      <c r="D26" s="29"/>
      <c r="E26" s="30"/>
      <c r="F26" s="3"/>
      <c r="G26" s="2"/>
      <c r="H26" s="3"/>
    </row>
    <row r="27" spans="1:8" x14ac:dyDescent="0.25">
      <c r="A27" s="2"/>
      <c r="B27" s="3"/>
      <c r="C27" s="28"/>
      <c r="D27" s="29"/>
      <c r="E27" s="30"/>
      <c r="F27" s="3"/>
      <c r="G27" s="2"/>
      <c r="H27" s="3"/>
    </row>
    <row r="28" spans="1:8" x14ac:dyDescent="0.25">
      <c r="A28" s="2"/>
      <c r="B28" s="3"/>
      <c r="C28" s="28"/>
      <c r="D28" s="29"/>
      <c r="E28" s="30"/>
      <c r="F28" s="3"/>
      <c r="G28" s="2"/>
      <c r="H28" s="3"/>
    </row>
    <row r="29" spans="1:8" x14ac:dyDescent="0.25">
      <c r="A29" s="2"/>
      <c r="B29" s="3"/>
      <c r="C29" s="28"/>
      <c r="D29" s="29"/>
      <c r="E29" s="30"/>
      <c r="F29" s="3"/>
      <c r="G29" s="2"/>
      <c r="H29" s="3"/>
    </row>
    <row r="30" spans="1:8" x14ac:dyDescent="0.25">
      <c r="A30" s="2"/>
      <c r="B30" s="3"/>
      <c r="C30" s="28"/>
      <c r="D30" s="29"/>
      <c r="E30" s="30"/>
      <c r="F30" s="3"/>
      <c r="G30" s="2"/>
      <c r="H30" s="3"/>
    </row>
    <row r="31" spans="1:8" x14ac:dyDescent="0.25">
      <c r="A31" s="2"/>
      <c r="B31" s="3"/>
      <c r="C31" s="28"/>
      <c r="D31" s="29"/>
      <c r="E31" s="30"/>
      <c r="F31" s="3"/>
      <c r="G31" s="2"/>
      <c r="H31" s="3"/>
    </row>
    <row r="32" spans="1:8" x14ac:dyDescent="0.25">
      <c r="A32" s="2"/>
      <c r="B32" s="3"/>
      <c r="C32" s="28"/>
      <c r="D32" s="29"/>
      <c r="E32" s="30"/>
      <c r="F32" s="3"/>
      <c r="G32" s="2"/>
      <c r="H32" s="3"/>
    </row>
    <row r="33" spans="1:8" x14ac:dyDescent="0.25">
      <c r="A33" s="2"/>
      <c r="B33" s="3"/>
      <c r="C33" s="28"/>
      <c r="D33" s="29"/>
      <c r="E33" s="30"/>
      <c r="F33" s="3"/>
      <c r="G33" s="2"/>
      <c r="H33" s="3"/>
    </row>
    <row r="34" spans="1:8" x14ac:dyDescent="0.25">
      <c r="A34" s="2"/>
      <c r="B34" s="3"/>
      <c r="C34" s="28"/>
      <c r="D34" s="29"/>
      <c r="E34" s="30"/>
      <c r="F34" s="3"/>
      <c r="G34" s="2"/>
      <c r="H34" s="3"/>
    </row>
    <row r="35" spans="1:8" x14ac:dyDescent="0.25">
      <c r="A35" s="2"/>
      <c r="B35" s="3"/>
      <c r="C35" s="28"/>
      <c r="D35" s="29"/>
      <c r="E35" s="30"/>
      <c r="F35" s="3"/>
      <c r="G35" s="2"/>
      <c r="H35" s="3"/>
    </row>
    <row r="36" spans="1:8" x14ac:dyDescent="0.25">
      <c r="A36" s="2"/>
      <c r="B36" s="3"/>
      <c r="C36" s="28"/>
      <c r="D36" s="29"/>
      <c r="E36" s="30"/>
      <c r="F36" s="3"/>
      <c r="G36" s="2"/>
    </row>
    <row r="37" spans="1:8" x14ac:dyDescent="0.25">
      <c r="A37" s="2"/>
      <c r="B37" s="3"/>
      <c r="C37" s="28"/>
      <c r="D37" s="29"/>
      <c r="E37" s="30"/>
      <c r="F37" s="3"/>
      <c r="G37" s="2"/>
    </row>
    <row r="38" spans="1:8" x14ac:dyDescent="0.25">
      <c r="A38" s="2"/>
      <c r="B38" s="3"/>
      <c r="C38" s="28"/>
      <c r="D38" s="29"/>
      <c r="E38" s="30"/>
      <c r="F38" s="3"/>
      <c r="G38" s="2"/>
    </row>
    <row r="39" spans="1:8" x14ac:dyDescent="0.25">
      <c r="A39" s="2"/>
      <c r="B39" s="3"/>
      <c r="C39" s="28"/>
      <c r="D39" s="29"/>
      <c r="E39" s="30"/>
      <c r="F39" s="3"/>
      <c r="G39" s="2"/>
    </row>
    <row r="40" spans="1:8" x14ac:dyDescent="0.25">
      <c r="A40" s="2"/>
      <c r="B40" s="3"/>
      <c r="C40" s="28"/>
      <c r="D40" s="29"/>
      <c r="E40" s="30"/>
      <c r="F40" s="3"/>
      <c r="G40" s="2"/>
    </row>
    <row r="41" spans="1:8" x14ac:dyDescent="0.25">
      <c r="A41" s="2"/>
      <c r="B41" s="3"/>
      <c r="C41" s="28"/>
      <c r="D41" s="29"/>
      <c r="E41" s="30"/>
      <c r="F41" s="3"/>
      <c r="G41" s="2"/>
    </row>
    <row r="42" spans="1:8" x14ac:dyDescent="0.25">
      <c r="A42" s="2"/>
      <c r="B42" s="3"/>
      <c r="C42" s="28"/>
      <c r="D42" s="29"/>
      <c r="E42" s="30"/>
      <c r="F42" s="3"/>
      <c r="G42" s="2"/>
    </row>
    <row r="43" spans="1:8" x14ac:dyDescent="0.25">
      <c r="A43" s="2"/>
      <c r="B43" s="3"/>
      <c r="C43" s="28"/>
      <c r="D43" s="29"/>
      <c r="E43" s="30"/>
      <c r="F43" s="3"/>
      <c r="G43" s="2"/>
    </row>
    <row r="44" spans="1:8" x14ac:dyDescent="0.25">
      <c r="A44" s="2"/>
      <c r="B44" s="3"/>
      <c r="C44" s="28"/>
      <c r="D44" s="29"/>
      <c r="E44" s="30"/>
      <c r="F44" s="3"/>
      <c r="G44" s="2"/>
    </row>
    <row r="45" spans="1:8" x14ac:dyDescent="0.25">
      <c r="A45" s="2"/>
      <c r="B45" s="3"/>
      <c r="C45" s="28"/>
      <c r="D45" s="29"/>
      <c r="E45" s="30"/>
      <c r="F45" s="3"/>
      <c r="G45" s="2"/>
    </row>
    <row r="46" spans="1:8" x14ac:dyDescent="0.25">
      <c r="A46" s="2"/>
      <c r="B46" s="3"/>
      <c r="C46" s="28"/>
      <c r="D46" s="29"/>
      <c r="E46" s="30"/>
      <c r="F46" s="3"/>
      <c r="G46" s="2"/>
    </row>
    <row r="47" spans="1:8" x14ac:dyDescent="0.25">
      <c r="A47" s="2"/>
      <c r="B47" s="3"/>
      <c r="C47" s="28"/>
      <c r="D47" s="29"/>
      <c r="E47" s="30"/>
      <c r="F47" s="3"/>
      <c r="G47" s="2"/>
    </row>
    <row r="48" spans="1:8" x14ac:dyDescent="0.25">
      <c r="A48" s="2"/>
      <c r="B48" s="3"/>
      <c r="C48" s="28"/>
      <c r="D48" s="29"/>
      <c r="E48" s="30"/>
      <c r="F48" s="3"/>
      <c r="G48" s="2"/>
    </row>
    <row r="49" spans="1:7" x14ac:dyDescent="0.25">
      <c r="A49" s="2"/>
      <c r="B49" s="3"/>
      <c r="C49" s="28"/>
      <c r="D49" s="29"/>
      <c r="E49" s="30"/>
      <c r="F49" s="3"/>
      <c r="G49" s="2"/>
    </row>
    <row r="50" spans="1:7" x14ac:dyDescent="0.25">
      <c r="A50" s="2"/>
      <c r="B50" s="3"/>
      <c r="C50" s="28"/>
      <c r="D50" s="29"/>
      <c r="E50" s="30"/>
      <c r="F50" s="3"/>
      <c r="G50" s="2"/>
    </row>
    <row r="51" spans="1:7" x14ac:dyDescent="0.25">
      <c r="A51" s="2"/>
      <c r="B51" s="3"/>
      <c r="C51" s="28"/>
      <c r="D51" s="29"/>
      <c r="E51" s="30"/>
      <c r="F51" s="3"/>
      <c r="G51" s="2"/>
    </row>
    <row r="52" spans="1:7" x14ac:dyDescent="0.25">
      <c r="A52" s="2"/>
      <c r="B52" s="3"/>
      <c r="C52" s="28"/>
      <c r="D52" s="29"/>
      <c r="E52" s="30"/>
      <c r="F52" s="3"/>
      <c r="G52" s="2"/>
    </row>
    <row r="53" spans="1:7" x14ac:dyDescent="0.25">
      <c r="A53" s="2"/>
      <c r="B53" s="3"/>
      <c r="C53" s="28"/>
      <c r="D53" s="29"/>
      <c r="E53" s="30"/>
      <c r="F53" s="3"/>
      <c r="G53" s="2"/>
    </row>
    <row r="54" spans="1:7" x14ac:dyDescent="0.25">
      <c r="A54" s="2"/>
      <c r="B54" s="3"/>
      <c r="C54" s="28"/>
      <c r="D54" s="29"/>
      <c r="E54" s="30"/>
      <c r="F54" s="3"/>
      <c r="G54" s="2"/>
    </row>
    <row r="55" spans="1:7" x14ac:dyDescent="0.25">
      <c r="A55" s="2"/>
      <c r="B55" s="3"/>
      <c r="C55" s="28"/>
      <c r="D55" s="29"/>
      <c r="E55" s="30"/>
      <c r="F55" s="3"/>
      <c r="G55" s="2"/>
    </row>
    <row r="56" spans="1:7" x14ac:dyDescent="0.25">
      <c r="A56" s="2"/>
      <c r="B56" s="3"/>
      <c r="C56" s="28"/>
      <c r="D56" s="29"/>
      <c r="E56" s="30"/>
      <c r="F56" s="3"/>
      <c r="G56" s="2"/>
    </row>
    <row r="57" spans="1:7" x14ac:dyDescent="0.25">
      <c r="A57" s="2"/>
      <c r="B57" s="3"/>
      <c r="C57" s="28"/>
      <c r="D57" s="29"/>
      <c r="E57" s="30"/>
      <c r="F57" s="3"/>
      <c r="G57" s="2"/>
    </row>
    <row r="58" spans="1:7" x14ac:dyDescent="0.25">
      <c r="A58" s="2"/>
      <c r="B58" s="3"/>
      <c r="C58" s="28"/>
      <c r="D58" s="29"/>
      <c r="E58" s="30"/>
      <c r="F58" s="3"/>
      <c r="G58" s="2"/>
    </row>
    <row r="59" spans="1:7" x14ac:dyDescent="0.25">
      <c r="A59" s="2"/>
      <c r="B59" s="3"/>
      <c r="C59" s="28"/>
      <c r="D59" s="29"/>
      <c r="E59" s="30"/>
      <c r="F59" s="3"/>
      <c r="G59" s="2"/>
    </row>
    <row r="60" spans="1:7" x14ac:dyDescent="0.25">
      <c r="A60" s="2"/>
      <c r="B60" s="3"/>
      <c r="C60" s="28"/>
      <c r="D60" s="29"/>
      <c r="E60" s="30"/>
      <c r="F60" s="3"/>
      <c r="G60" s="2"/>
    </row>
    <row r="61" spans="1:7" x14ac:dyDescent="0.25">
      <c r="A61" s="2"/>
      <c r="B61" s="3"/>
      <c r="C61" s="28"/>
      <c r="D61" s="29"/>
      <c r="E61" s="30"/>
      <c r="F61" s="3"/>
      <c r="G61" s="2"/>
    </row>
    <row r="62" spans="1:7" x14ac:dyDescent="0.25">
      <c r="A62" s="2"/>
      <c r="B62" s="3"/>
      <c r="C62" s="28"/>
      <c r="D62" s="29"/>
      <c r="E62" s="30"/>
      <c r="F62" s="3"/>
      <c r="G62" s="2"/>
    </row>
    <row r="63" spans="1:7" x14ac:dyDescent="0.25">
      <c r="A63" s="2"/>
      <c r="B63" s="3"/>
      <c r="C63" s="28"/>
      <c r="D63" s="29"/>
      <c r="E63" s="30"/>
      <c r="F63" s="3"/>
      <c r="G63" s="2"/>
    </row>
    <row r="64" spans="1:7" x14ac:dyDescent="0.25">
      <c r="A64" s="2"/>
      <c r="B64" s="3"/>
      <c r="C64" s="28"/>
      <c r="D64" s="29"/>
      <c r="E64" s="30"/>
      <c r="F64" s="3"/>
      <c r="G64" s="2"/>
    </row>
    <row r="65" spans="1:7" x14ac:dyDescent="0.25">
      <c r="A65" s="2"/>
      <c r="B65" s="3"/>
      <c r="C65" s="28"/>
      <c r="D65" s="29"/>
      <c r="E65" s="30"/>
      <c r="F65" s="3"/>
      <c r="G65" s="2"/>
    </row>
    <row r="66" spans="1:7" x14ac:dyDescent="0.25">
      <c r="A66" s="2"/>
      <c r="B66" s="3"/>
      <c r="C66" s="28"/>
      <c r="D66" s="29"/>
      <c r="E66" s="30"/>
      <c r="F66" s="3"/>
      <c r="G66" s="2"/>
    </row>
    <row r="67" spans="1:7" x14ac:dyDescent="0.25">
      <c r="A67" s="2"/>
      <c r="B67" s="3"/>
      <c r="C67" s="28"/>
      <c r="D67" s="29"/>
      <c r="E67" s="30"/>
      <c r="F67" s="3"/>
      <c r="G67" s="2"/>
    </row>
    <row r="68" spans="1:7" x14ac:dyDescent="0.25">
      <c r="A68" s="2"/>
      <c r="B68" s="3"/>
      <c r="C68" s="28"/>
      <c r="D68" s="29"/>
      <c r="E68" s="30"/>
      <c r="F68" s="3"/>
      <c r="G68" s="2"/>
    </row>
  </sheetData>
  <sortState ref="A8:G12">
    <sortCondition descending="1" ref="D8:D12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>
      <selection activeCell="B1" sqref="B1:B5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8" x14ac:dyDescent="0.25">
      <c r="A1" s="16" t="s">
        <v>22</v>
      </c>
      <c r="B1" s="17" t="s">
        <v>1179</v>
      </c>
      <c r="C1" s="18"/>
      <c r="D1" s="18"/>
      <c r="E1" s="18"/>
      <c r="F1" s="18"/>
      <c r="G1" s="19"/>
    </row>
    <row r="2" spans="1:8" x14ac:dyDescent="0.25">
      <c r="A2" s="20" t="s">
        <v>23</v>
      </c>
      <c r="B2" s="21">
        <v>43149</v>
      </c>
      <c r="C2" s="22"/>
      <c r="D2" s="22"/>
      <c r="E2" s="22"/>
      <c r="F2" s="22"/>
      <c r="G2" s="23"/>
    </row>
    <row r="3" spans="1:8" x14ac:dyDescent="0.25">
      <c r="A3" s="20" t="s">
        <v>24</v>
      </c>
      <c r="B3" s="24" t="s">
        <v>421</v>
      </c>
      <c r="C3" s="22" t="s">
        <v>29</v>
      </c>
      <c r="D3" s="22"/>
      <c r="E3" s="22"/>
      <c r="F3" s="22"/>
      <c r="G3" s="23"/>
    </row>
    <row r="4" spans="1:8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8" x14ac:dyDescent="0.25">
      <c r="A5" s="20" t="s">
        <v>27</v>
      </c>
      <c r="B5" s="24" t="s">
        <v>531</v>
      </c>
      <c r="C5" s="22"/>
      <c r="D5" s="22"/>
      <c r="E5" s="22" t="s">
        <v>55</v>
      </c>
      <c r="F5" s="38">
        <f>AVERAGE(C8:C12)*(AVERAGE(D8:D12)/100)</f>
        <v>2.4370575394546321E-2</v>
      </c>
      <c r="G5" s="23"/>
    </row>
    <row r="6" spans="1:8" x14ac:dyDescent="0.25">
      <c r="A6" s="25" t="s">
        <v>29</v>
      </c>
      <c r="B6" s="26"/>
      <c r="C6" s="26"/>
      <c r="D6" s="26"/>
      <c r="E6" s="26"/>
      <c r="F6" s="26"/>
      <c r="G6" s="27"/>
    </row>
    <row r="7" spans="1:8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8" x14ac:dyDescent="0.25">
      <c r="A8" s="2">
        <v>1</v>
      </c>
      <c r="B8" s="3" t="s">
        <v>173</v>
      </c>
      <c r="C8" s="28">
        <f>TIME(0,39,21)</f>
        <v>2.732638888888889E-2</v>
      </c>
      <c r="D8" s="29">
        <f>INDEX('Points Summary'!$F$4:$F$1143,G8)</f>
        <v>87.864563738067233</v>
      </c>
      <c r="E8" s="30">
        <f>(AVERAGE($D$8:$D$12)/100*AVERAGE($C$8:$C$12))/C8</f>
        <v>0.89183300046116143</v>
      </c>
      <c r="F8" s="3"/>
      <c r="G8" s="2">
        <f>MATCH(B8,'Points Summary'!$B$4:$B$1144,0)</f>
        <v>47</v>
      </c>
      <c r="H8" s="67"/>
    </row>
    <row r="9" spans="1:8" x14ac:dyDescent="0.25">
      <c r="A9" s="2">
        <v>2</v>
      </c>
      <c r="B9" s="3" t="s">
        <v>102</v>
      </c>
      <c r="C9" s="28">
        <f>TIME(0,39,47)</f>
        <v>2.7627314814814813E-2</v>
      </c>
      <c r="D9" s="29">
        <f>INDEX('Points Summary'!$F$4:$F$1143,G9)</f>
        <v>86.807963708513867</v>
      </c>
      <c r="E9" s="30">
        <f>(AVERAGE($D$8:$D$12)/100*AVERAGE($C$8:$C$12))/C9</f>
        <v>0.88211885801793144</v>
      </c>
      <c r="F9" s="3"/>
      <c r="G9" s="2">
        <f>MATCH(B9,'Points Summary'!$B$4:$B$1144,0)</f>
        <v>128</v>
      </c>
      <c r="H9" s="67"/>
    </row>
    <row r="10" spans="1:8" x14ac:dyDescent="0.25">
      <c r="A10" s="2">
        <v>1</v>
      </c>
      <c r="B10" s="3" t="s">
        <v>1034</v>
      </c>
      <c r="C10" s="28">
        <f>TIME(0,40,51.7)</f>
        <v>2.836805555555556E-2</v>
      </c>
      <c r="D10" s="29">
        <f>INDEX('Points Summary'!$F$4:$F$1143,G10)</f>
        <v>84.278844281290986</v>
      </c>
      <c r="E10" s="30">
        <f>(AVERAGE($D$8:$D$12)/100*AVERAGE($C$8:$C$12))/C10</f>
        <v>0.85908515466699387</v>
      </c>
      <c r="F10" s="3"/>
      <c r="G10" s="2">
        <f>MATCH(B10,'Points Summary'!$B$4:$B$1144,0)</f>
        <v>103</v>
      </c>
      <c r="H10" s="67"/>
    </row>
    <row r="11" spans="1:8" x14ac:dyDescent="0.25">
      <c r="A11" s="2">
        <v>3</v>
      </c>
      <c r="B11" s="3" t="s">
        <v>9</v>
      </c>
      <c r="C11" s="28">
        <f>TIME(0,45,43.9)</f>
        <v>3.1747685185185184E-2</v>
      </c>
      <c r="D11" s="29">
        <f>INDEX('Points Summary'!$F$4:$F$1143,G11)</f>
        <v>81.414794603727941</v>
      </c>
      <c r="E11" s="30">
        <f>(AVERAGE($D$8:$D$12)/100*AVERAGE($C$8:$C$12))/C11</f>
        <v>0.76763314403529059</v>
      </c>
      <c r="F11" s="3"/>
      <c r="G11" s="2">
        <f>MATCH(B11,'Points Summary'!$B$4:$B$1144,0)</f>
        <v>124</v>
      </c>
      <c r="H11" s="67"/>
    </row>
    <row r="12" spans="1:8" x14ac:dyDescent="0.25">
      <c r="A12" s="2">
        <v>4</v>
      </c>
      <c r="B12" s="3" t="s">
        <v>733</v>
      </c>
      <c r="C12" s="28">
        <f>TIME(0,49,53.9)</f>
        <v>3.4641203703703702E-2</v>
      </c>
      <c r="D12" s="29">
        <f>INDEX('Points Summary'!$F$4:$F$1143,G12)</f>
        <v>66.595123596656933</v>
      </c>
      <c r="E12" s="30">
        <f>(AVERAGE($D$8:$D$12)/100*AVERAGE($C$8:$C$12))/C12</f>
        <v>0.70351410427290417</v>
      </c>
      <c r="F12" s="3"/>
      <c r="G12" s="2">
        <f>MATCH(B12,'Points Summary'!$B$4:$B$1144,0)</f>
        <v>33</v>
      </c>
      <c r="H12" s="67"/>
    </row>
    <row r="13" spans="1:8" x14ac:dyDescent="0.25">
      <c r="A13" s="2"/>
      <c r="B13" s="3"/>
      <c r="C13" s="28"/>
      <c r="D13" s="29"/>
      <c r="E13" s="30"/>
      <c r="F13" s="3"/>
      <c r="G13" s="2"/>
      <c r="H13" s="67"/>
    </row>
    <row r="14" spans="1:8" x14ac:dyDescent="0.25">
      <c r="A14" s="2"/>
      <c r="B14" s="3"/>
      <c r="C14" s="28"/>
      <c r="D14" s="29"/>
      <c r="E14" s="30"/>
      <c r="F14" s="3"/>
      <c r="G14" s="2"/>
      <c r="H14" s="67"/>
    </row>
    <row r="15" spans="1:8" x14ac:dyDescent="0.25">
      <c r="A15" s="2"/>
      <c r="B15" s="3"/>
      <c r="C15" s="28"/>
      <c r="D15" s="29"/>
      <c r="E15" s="30"/>
      <c r="F15" s="3"/>
      <c r="G15" s="2"/>
      <c r="H15" s="67"/>
    </row>
    <row r="16" spans="1:8" x14ac:dyDescent="0.25">
      <c r="A16" s="2"/>
      <c r="B16" s="3"/>
      <c r="C16" s="28"/>
      <c r="D16" s="29"/>
      <c r="E16" s="30"/>
      <c r="F16" s="3"/>
      <c r="G16" s="2"/>
      <c r="H16" s="67"/>
    </row>
    <row r="17" spans="1:8" x14ac:dyDescent="0.25">
      <c r="A17" s="2"/>
      <c r="B17" s="3"/>
      <c r="C17" s="28"/>
      <c r="D17" s="29"/>
      <c r="E17" s="30"/>
      <c r="F17" s="3"/>
      <c r="G17" s="2"/>
      <c r="H17" s="67"/>
    </row>
    <row r="18" spans="1:8" x14ac:dyDescent="0.25">
      <c r="A18" s="2"/>
      <c r="B18" s="3"/>
      <c r="C18" s="28"/>
      <c r="D18" s="29"/>
      <c r="E18" s="30"/>
      <c r="F18" s="3"/>
      <c r="G18" s="2"/>
      <c r="H18" s="67"/>
    </row>
    <row r="19" spans="1:8" x14ac:dyDescent="0.25">
      <c r="A19" s="2"/>
      <c r="B19" s="3"/>
      <c r="C19" s="28"/>
      <c r="D19" s="29"/>
      <c r="E19" s="30"/>
      <c r="F19" s="3"/>
      <c r="G19" s="2"/>
      <c r="H19" s="67"/>
    </row>
    <row r="20" spans="1:8" x14ac:dyDescent="0.25">
      <c r="A20" s="2"/>
      <c r="B20" s="3"/>
      <c r="C20" s="28"/>
      <c r="D20" s="29"/>
      <c r="E20" s="30"/>
      <c r="F20" s="3"/>
      <c r="G20" s="2"/>
      <c r="H20" s="67"/>
    </row>
    <row r="21" spans="1:8" x14ac:dyDescent="0.25">
      <c r="A21" s="2"/>
      <c r="B21" s="3"/>
      <c r="C21" s="28"/>
      <c r="D21" s="29"/>
      <c r="E21" s="30"/>
      <c r="F21" s="3"/>
      <c r="G21" s="2"/>
      <c r="H21" s="67"/>
    </row>
    <row r="22" spans="1:8" x14ac:dyDescent="0.25">
      <c r="A22" s="2"/>
      <c r="B22" s="3"/>
      <c r="C22" s="28"/>
      <c r="D22" s="29"/>
      <c r="E22" s="30"/>
      <c r="F22" s="3"/>
      <c r="G22" s="2"/>
      <c r="H22" s="67"/>
    </row>
    <row r="23" spans="1:8" x14ac:dyDescent="0.25">
      <c r="A23" s="2"/>
      <c r="B23" s="3"/>
      <c r="C23" s="28"/>
      <c r="D23" s="29"/>
      <c r="E23" s="30"/>
      <c r="F23" s="3"/>
      <c r="G23" s="2"/>
      <c r="H23" s="67"/>
    </row>
    <row r="24" spans="1:8" x14ac:dyDescent="0.25">
      <c r="A24" s="2"/>
      <c r="B24" s="3"/>
      <c r="C24" s="28"/>
      <c r="D24" s="29"/>
      <c r="E24" s="30"/>
      <c r="F24" s="3"/>
      <c r="G24" s="2"/>
      <c r="H24" s="67"/>
    </row>
    <row r="25" spans="1:8" x14ac:dyDescent="0.25">
      <c r="A25" s="2"/>
      <c r="B25" s="3"/>
      <c r="C25" s="28"/>
      <c r="D25" s="29"/>
      <c r="E25" s="30"/>
      <c r="F25" s="3"/>
      <c r="G25" s="2"/>
      <c r="H25" s="67"/>
    </row>
    <row r="26" spans="1:8" x14ac:dyDescent="0.25">
      <c r="A26" s="2"/>
      <c r="B26" s="3"/>
      <c r="C26" s="28"/>
      <c r="D26" s="29"/>
      <c r="E26" s="30"/>
      <c r="F26" s="3"/>
      <c r="G26" s="2"/>
      <c r="H26" s="67"/>
    </row>
    <row r="27" spans="1:8" x14ac:dyDescent="0.25">
      <c r="A27" s="2"/>
      <c r="B27" s="3"/>
      <c r="C27" s="28"/>
      <c r="D27" s="29"/>
      <c r="E27" s="30"/>
      <c r="F27" s="3"/>
      <c r="G27" s="2"/>
      <c r="H27" s="67"/>
    </row>
    <row r="28" spans="1:8" x14ac:dyDescent="0.25">
      <c r="A28" s="2"/>
      <c r="B28" s="3"/>
      <c r="C28" s="28"/>
      <c r="D28" s="29"/>
      <c r="E28" s="30"/>
      <c r="F28" s="3"/>
      <c r="G28" s="2"/>
      <c r="H28" s="67"/>
    </row>
    <row r="29" spans="1:8" x14ac:dyDescent="0.25">
      <c r="A29" s="2"/>
      <c r="B29" s="3"/>
      <c r="C29" s="28"/>
      <c r="D29" s="29"/>
      <c r="E29" s="30"/>
      <c r="F29" s="3"/>
      <c r="G29" s="2"/>
    </row>
    <row r="30" spans="1:8" x14ac:dyDescent="0.25">
      <c r="A30" s="2"/>
      <c r="B30" s="3"/>
      <c r="C30" s="28"/>
      <c r="D30" s="29"/>
      <c r="E30" s="30"/>
      <c r="F30" s="3"/>
      <c r="G30" s="2"/>
    </row>
    <row r="31" spans="1:8" x14ac:dyDescent="0.25">
      <c r="A31" s="2"/>
      <c r="B31" s="3"/>
      <c r="C31" s="28"/>
      <c r="D31" s="29"/>
      <c r="E31" s="30"/>
      <c r="F31" s="3"/>
      <c r="G31" s="2"/>
    </row>
  </sheetData>
  <sortState ref="A8:G12">
    <sortCondition descending="1" ref="D8:D12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 xml:space="preserve">&amp;L&amp;"Tahoma,Bold"&amp;11U.S. Biathlon Association&amp;R&amp;"Tahoma,Bold"&amp;11 2018 Race Points 
 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workbookViewId="0">
      <selection activeCell="F14" sqref="F14"/>
    </sheetView>
  </sheetViews>
  <sheetFormatPr defaultRowHeight="13.2" x14ac:dyDescent="0.25"/>
  <cols>
    <col min="2" max="2" width="20.6640625" customWidth="1"/>
    <col min="3" max="7" width="9.6640625" customWidth="1"/>
  </cols>
  <sheetData>
    <row r="1" spans="1:7" x14ac:dyDescent="0.25">
      <c r="A1" s="16" t="s">
        <v>22</v>
      </c>
      <c r="B1" s="17" t="s">
        <v>1014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43072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43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656</v>
      </c>
      <c r="C5" s="22"/>
      <c r="D5" s="22"/>
      <c r="E5" s="22" t="s">
        <v>55</v>
      </c>
      <c r="F5" s="38">
        <f>AVERAGE(C8:C9)*(AVERAGE(D8:D9)/100)</f>
        <v>2.2352804574600416E-2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17</v>
      </c>
      <c r="B8" s="114" t="s">
        <v>84</v>
      </c>
      <c r="C8" s="156">
        <v>2.2120370370370374E-2</v>
      </c>
      <c r="D8" s="29">
        <f>INDEX('Points Summary'!$H$4:$H$1143,G8)</f>
        <v>100.00430567075759</v>
      </c>
      <c r="E8" s="30">
        <f>(AVERAGE($D$8:$D$11)/100*AVERAGE($C$8:$C$11))/C8</f>
        <v>1.0105076994796336</v>
      </c>
      <c r="F8" s="3"/>
      <c r="G8" s="2">
        <f>MATCH(B8,'Points Summary'!$B$4:$B$1144,0)</f>
        <v>13</v>
      </c>
    </row>
    <row r="9" spans="1:7" x14ac:dyDescent="0.25">
      <c r="A9" s="2">
        <v>48</v>
      </c>
      <c r="B9" s="114" t="s">
        <v>7</v>
      </c>
      <c r="C9" s="156">
        <v>2.3648148148148151E-2</v>
      </c>
      <c r="D9" s="29">
        <f>INDEX('Points Summary'!$H$4:$H$1143,G9)</f>
        <v>95.350976065584277</v>
      </c>
      <c r="E9" s="30">
        <f>(AVERAGE($D$8:$D$11)/100*AVERAGE($C$8:$C$11))/C9</f>
        <v>0.94522431247331429</v>
      </c>
      <c r="F9" s="3"/>
      <c r="G9" s="2">
        <f>MATCH(B9,'Points Summary'!$B$4:$B$1144,0)</f>
        <v>63</v>
      </c>
    </row>
    <row r="10" spans="1:7" x14ac:dyDescent="0.25">
      <c r="A10" s="2"/>
      <c r="B10" s="114"/>
      <c r="C10" s="156"/>
      <c r="D10" s="29"/>
      <c r="E10" s="30"/>
      <c r="F10" s="3"/>
      <c r="G10" s="2"/>
    </row>
    <row r="11" spans="1:7" x14ac:dyDescent="0.25">
      <c r="A11" s="2"/>
      <c r="B11" s="115"/>
      <c r="C11" s="38"/>
      <c r="D11" s="29"/>
      <c r="E11" s="30"/>
      <c r="F11" s="3"/>
      <c r="G11" s="2"/>
    </row>
    <row r="12" spans="1:7" x14ac:dyDescent="0.25">
      <c r="A12" s="2"/>
      <c r="B12" s="114"/>
      <c r="C12" s="38">
        <v>2.0962962962962964E-2</v>
      </c>
      <c r="D12" s="156">
        <f>TIME(0,1,40.2)</f>
        <v>1.1574074074074073E-3</v>
      </c>
      <c r="E12" s="156">
        <f>C12+D12</f>
        <v>2.2120370370370374E-2</v>
      </c>
      <c r="F12" s="3"/>
      <c r="G12" s="2"/>
    </row>
    <row r="13" spans="1:7" x14ac:dyDescent="0.25">
      <c r="A13" s="2"/>
      <c r="B13" s="114"/>
      <c r="C13" s="28">
        <v>2.0962962962962964E-2</v>
      </c>
      <c r="D13" s="156">
        <f>TIME(0,3,52.7)</f>
        <v>2.685185185185185E-3</v>
      </c>
      <c r="E13" s="156">
        <f>C13+D13</f>
        <v>2.3648148148148151E-2</v>
      </c>
      <c r="F13" s="3"/>
      <c r="G13" s="2"/>
    </row>
    <row r="14" spans="1:7" x14ac:dyDescent="0.25">
      <c r="A14" s="2"/>
      <c r="B14" s="114"/>
      <c r="C14" s="38"/>
      <c r="D14" s="29"/>
      <c r="E14" s="30"/>
      <c r="F14" s="3"/>
      <c r="G14" s="2"/>
    </row>
    <row r="15" spans="1:7" x14ac:dyDescent="0.25">
      <c r="A15" s="2"/>
      <c r="B15" s="115"/>
      <c r="C15" s="38"/>
      <c r="D15" s="29"/>
      <c r="E15" s="30"/>
      <c r="F15" s="3"/>
      <c r="G15" s="2"/>
    </row>
    <row r="16" spans="1:7" x14ac:dyDescent="0.25">
      <c r="A16" s="42"/>
      <c r="B16" s="3"/>
      <c r="C16" s="28"/>
      <c r="D16" s="29"/>
      <c r="E16" s="30"/>
      <c r="F16" s="3"/>
      <c r="G16" s="2"/>
    </row>
    <row r="17" spans="1:7" x14ac:dyDescent="0.25">
      <c r="A17" s="42"/>
      <c r="B17" s="3"/>
      <c r="C17" s="28"/>
      <c r="D17" s="29"/>
      <c r="E17" s="30"/>
      <c r="F17" s="3"/>
      <c r="G17" s="2"/>
    </row>
    <row r="18" spans="1:7" x14ac:dyDescent="0.25">
      <c r="A18" s="42"/>
      <c r="B18" s="3"/>
      <c r="C18" s="28"/>
      <c r="D18" s="29"/>
      <c r="E18" s="30"/>
      <c r="F18" s="3"/>
      <c r="G18" s="2"/>
    </row>
    <row r="19" spans="1:7" x14ac:dyDescent="0.25">
      <c r="A19" s="42"/>
      <c r="B19" s="39"/>
      <c r="C19" s="28"/>
      <c r="D19" s="29"/>
      <c r="E19" s="30"/>
      <c r="F19" s="3"/>
      <c r="G19" s="2"/>
    </row>
    <row r="20" spans="1:7" x14ac:dyDescent="0.25">
      <c r="A20" s="42"/>
      <c r="B20" s="3"/>
      <c r="C20" s="28"/>
      <c r="D20" s="29"/>
      <c r="E20" s="30"/>
      <c r="F20" s="3"/>
      <c r="G20" s="2"/>
    </row>
    <row r="21" spans="1:7" x14ac:dyDescent="0.25">
      <c r="B21" s="3"/>
      <c r="C21" s="28"/>
      <c r="D21" s="29"/>
      <c r="E21" s="30"/>
      <c r="F21" s="3"/>
      <c r="G21" s="2"/>
    </row>
    <row r="22" spans="1:7" x14ac:dyDescent="0.25">
      <c r="B22" s="3"/>
      <c r="C22" s="28"/>
      <c r="D22" s="29"/>
      <c r="E22" s="30"/>
      <c r="F22" s="3"/>
      <c r="G22" s="2"/>
    </row>
    <row r="23" spans="1:7" x14ac:dyDescent="0.25">
      <c r="B23" s="3"/>
      <c r="C23" s="28"/>
      <c r="D23" s="29"/>
      <c r="E23" s="30"/>
      <c r="F23" s="3"/>
      <c r="G23" s="2"/>
    </row>
    <row r="24" spans="1:7" x14ac:dyDescent="0.25">
      <c r="B24" s="3"/>
      <c r="C24" s="28"/>
      <c r="D24" s="29"/>
      <c r="E24" s="30"/>
      <c r="F24" s="3"/>
      <c r="G24" s="2"/>
    </row>
    <row r="25" spans="1:7" x14ac:dyDescent="0.25">
      <c r="B25" s="3"/>
      <c r="C25" s="28"/>
      <c r="D25" s="29"/>
      <c r="E25" s="30"/>
      <c r="F25" s="3"/>
      <c r="G25" s="2"/>
    </row>
    <row r="26" spans="1:7" x14ac:dyDescent="0.25">
      <c r="B26" s="3"/>
      <c r="C26" s="28"/>
      <c r="D26" s="29"/>
      <c r="E26" s="30"/>
      <c r="F26" s="3"/>
      <c r="G26" s="2"/>
    </row>
    <row r="27" spans="1:7" x14ac:dyDescent="0.25">
      <c r="B27" s="3"/>
      <c r="C27" s="28"/>
      <c r="D27" s="29"/>
      <c r="E27" s="30"/>
      <c r="F27" s="3"/>
      <c r="G27" s="2"/>
    </row>
    <row r="28" spans="1:7" x14ac:dyDescent="0.25">
      <c r="B28" s="3"/>
      <c r="C28" s="28"/>
      <c r="D28" s="29"/>
      <c r="E28" s="30"/>
      <c r="F28" s="3"/>
      <c r="G28" s="2"/>
    </row>
    <row r="29" spans="1:7" x14ac:dyDescent="0.25">
      <c r="B29" s="3"/>
      <c r="C29" s="28"/>
      <c r="D29" s="29"/>
      <c r="E29" s="30"/>
      <c r="F29" s="3"/>
      <c r="G29" s="2"/>
    </row>
    <row r="30" spans="1:7" x14ac:dyDescent="0.25">
      <c r="B30" s="3"/>
      <c r="C30" s="28"/>
      <c r="D30" s="29"/>
      <c r="E30" s="30"/>
      <c r="F30" s="3"/>
      <c r="G30" s="2"/>
    </row>
    <row r="31" spans="1:7" x14ac:dyDescent="0.25">
      <c r="B31" s="3"/>
      <c r="C31" s="28"/>
      <c r="D31" s="29"/>
      <c r="E31" s="30"/>
      <c r="F31" s="3"/>
      <c r="G31" s="2"/>
    </row>
    <row r="32" spans="1:7" x14ac:dyDescent="0.25">
      <c r="B32" s="3"/>
      <c r="C32" s="28"/>
      <c r="D32" s="29"/>
      <c r="E32" s="30"/>
      <c r="F32" s="3"/>
      <c r="G32" s="2"/>
    </row>
    <row r="33" spans="2:7" x14ac:dyDescent="0.25">
      <c r="B33" s="3"/>
      <c r="C33" s="28"/>
      <c r="D33" s="29"/>
      <c r="E33" s="30"/>
      <c r="F33" s="3"/>
      <c r="G33" s="2"/>
    </row>
    <row r="34" spans="2:7" x14ac:dyDescent="0.25">
      <c r="B34" s="3"/>
      <c r="C34" s="28"/>
      <c r="D34" s="29"/>
      <c r="E34" s="30"/>
      <c r="F34" s="3"/>
      <c r="G34" s="2"/>
    </row>
    <row r="35" spans="2:7" x14ac:dyDescent="0.25">
      <c r="B35" s="3"/>
      <c r="C35" s="28"/>
      <c r="D35" s="29"/>
      <c r="E35" s="30"/>
      <c r="F35" s="3"/>
      <c r="G35" s="2"/>
    </row>
    <row r="36" spans="2:7" x14ac:dyDescent="0.25">
      <c r="B36" s="3"/>
      <c r="C36" s="28"/>
      <c r="D36" s="29"/>
      <c r="E36" s="30"/>
      <c r="F36" s="3"/>
      <c r="G36" s="2"/>
    </row>
    <row r="37" spans="2:7" x14ac:dyDescent="0.25">
      <c r="B37" s="3"/>
      <c r="C37" s="28"/>
      <c r="D37" s="29"/>
      <c r="E37" s="30"/>
      <c r="F37" s="3"/>
      <c r="G37" s="2"/>
    </row>
    <row r="39" spans="2:7" x14ac:dyDescent="0.25">
      <c r="B39" s="3"/>
      <c r="C39" s="28"/>
      <c r="D39" s="29"/>
      <c r="E39" s="30"/>
      <c r="F39" s="3"/>
      <c r="G39" s="2"/>
    </row>
    <row r="40" spans="2:7" x14ac:dyDescent="0.25">
      <c r="B40" s="3"/>
      <c r="C40" s="28"/>
      <c r="D40" s="29"/>
      <c r="E40" s="30"/>
      <c r="F40" s="3"/>
      <c r="G40" s="2"/>
    </row>
    <row r="41" spans="2:7" x14ac:dyDescent="0.25">
      <c r="B41" s="3"/>
      <c r="C41" s="28"/>
      <c r="D41" s="29"/>
      <c r="E41" s="30"/>
      <c r="F41" s="3"/>
      <c r="G41" s="2"/>
    </row>
    <row r="42" spans="2:7" x14ac:dyDescent="0.25">
      <c r="B42" s="3"/>
      <c r="C42" s="28"/>
      <c r="D42" s="29"/>
      <c r="E42" s="30"/>
      <c r="F42" s="3"/>
      <c r="G42" s="2"/>
    </row>
    <row r="43" spans="2:7" x14ac:dyDescent="0.25">
      <c r="B43" s="3"/>
      <c r="C43" s="28"/>
      <c r="D43" s="29"/>
      <c r="E43" s="30"/>
      <c r="F43" s="3"/>
      <c r="G43" s="2"/>
    </row>
  </sheetData>
  <sortState ref="A8:D11">
    <sortCondition descending="1" ref="D8:D11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2018 Race Points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workbookViewId="0">
      <selection activeCell="B6" sqref="B6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1179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43149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421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833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531</v>
      </c>
      <c r="C5" s="22"/>
      <c r="D5" s="22"/>
      <c r="E5" s="22" t="s">
        <v>55</v>
      </c>
      <c r="F5" s="38">
        <f>AVERAGE(C8:C11)*(AVERAGE(D8:D11)/100)</f>
        <v>2.0361515851083183E-2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2</v>
      </c>
      <c r="B8" s="3" t="s">
        <v>774</v>
      </c>
      <c r="C8" s="28">
        <f>TIME(0,40,0.4)</f>
        <v>2.7777777777777776E-2</v>
      </c>
      <c r="D8" s="29">
        <f>INDEX('Points Summary'!$F$4:$F$1143,G8)</f>
        <v>71.319535937863435</v>
      </c>
      <c r="E8" s="30">
        <f t="shared" ref="E8:E16" si="0">(AVERAGE($D$8:$D$11)/100*AVERAGE($C$8:$C$11))/C8</f>
        <v>0.73301457063899467</v>
      </c>
      <c r="F8" s="3"/>
      <c r="G8" s="2">
        <f>MATCH(B8,'Points Summary'!$B$4:$B$1144,0)</f>
        <v>258</v>
      </c>
    </row>
    <row r="9" spans="1:7" x14ac:dyDescent="0.25">
      <c r="A9" s="2">
        <v>1</v>
      </c>
      <c r="B9" s="3" t="s">
        <v>13</v>
      </c>
      <c r="C9" s="28">
        <f>TIME(0,49,25.8)</f>
        <v>3.4317129629629628E-2</v>
      </c>
      <c r="D9" s="29">
        <f>INDEX('Points Summary'!$F$4:$F$1143,G9)</f>
        <v>65.133504013378101</v>
      </c>
      <c r="E9" s="30">
        <f t="shared" si="0"/>
        <v>0.59333388517153018</v>
      </c>
      <c r="F9" s="3"/>
      <c r="G9" s="2">
        <f>MATCH(B9,'Points Summary'!$B$4:$B$1144,0)</f>
        <v>184</v>
      </c>
    </row>
    <row r="10" spans="1:7" x14ac:dyDescent="0.25">
      <c r="A10" s="2">
        <v>3</v>
      </c>
      <c r="B10" s="3" t="s">
        <v>1105</v>
      </c>
      <c r="C10" s="28">
        <f>TIME(0,46,1.1)</f>
        <v>3.1956018518518516E-2</v>
      </c>
      <c r="D10" s="29">
        <f>INDEX('Points Summary'!$F$4:$F$1143,G10)</f>
        <v>62.925723271706111</v>
      </c>
      <c r="E10" s="30">
        <f t="shared" si="0"/>
        <v>0.6371731146445444</v>
      </c>
      <c r="F10" s="3"/>
      <c r="G10" s="2">
        <f>MATCH(B10,'Points Summary'!$B$4:$B$1144,0)</f>
        <v>248</v>
      </c>
    </row>
    <row r="11" spans="1:7" x14ac:dyDescent="0.25">
      <c r="A11" s="2">
        <v>1</v>
      </c>
      <c r="B11" s="3" t="s">
        <v>1180</v>
      </c>
      <c r="C11" s="28">
        <f>TIME(0,44,12.2)</f>
        <v>3.0694444444444444E-2</v>
      </c>
      <c r="D11" s="29">
        <f>INDEX('Points Summary'!$F$4:$F$1143,G11)</f>
        <v>61.780631029579666</v>
      </c>
      <c r="E11" s="30">
        <f t="shared" si="0"/>
        <v>0.66336160238823039</v>
      </c>
      <c r="F11" s="3"/>
      <c r="G11" s="2">
        <f>MATCH(B11,'Points Summary'!$B$4:$B$1144,0)</f>
        <v>83</v>
      </c>
    </row>
    <row r="12" spans="1:7" x14ac:dyDescent="0.25">
      <c r="A12" s="2">
        <v>5</v>
      </c>
      <c r="B12" s="3" t="s">
        <v>773</v>
      </c>
      <c r="C12" s="28">
        <f>TIME(1,4,31.7)</f>
        <v>4.4803240740740741E-2</v>
      </c>
      <c r="D12" s="29">
        <f>INDEX('Points Summary'!$F$4:$F$1143,G12)</f>
        <v>52.599685351480908</v>
      </c>
      <c r="E12" s="30">
        <f t="shared" si="0"/>
        <v>0.45446524658578846</v>
      </c>
      <c r="F12" s="3"/>
      <c r="G12" s="2">
        <f>MATCH(B12,'Points Summary'!$B$4:$B$1144,0)</f>
        <v>123</v>
      </c>
    </row>
    <row r="13" spans="1:7" x14ac:dyDescent="0.25">
      <c r="A13" s="2">
        <v>3</v>
      </c>
      <c r="B13" s="3" t="s">
        <v>362</v>
      </c>
      <c r="C13" s="28">
        <f>TIME(0,57,9.3)</f>
        <v>3.9687500000000001E-2</v>
      </c>
      <c r="D13" s="29">
        <f>INDEX('Points Summary'!$F$4:$F$1143,G13)</f>
        <v>51.583230225978319</v>
      </c>
      <c r="E13" s="30">
        <f t="shared" si="0"/>
        <v>0.51304606868871017</v>
      </c>
      <c r="F13" s="3"/>
      <c r="G13" s="2">
        <f>MATCH(B13,'Points Summary'!$B$4:$B$1144,0)</f>
        <v>452</v>
      </c>
    </row>
    <row r="14" spans="1:7" x14ac:dyDescent="0.25">
      <c r="A14" s="2">
        <v>4</v>
      </c>
      <c r="B14" s="3" t="s">
        <v>662</v>
      </c>
      <c r="C14" s="28">
        <f>TIME(0,58,11.9)</f>
        <v>4.040509259259259E-2</v>
      </c>
      <c r="D14" s="29">
        <f>INDEX('Points Summary'!$F$4:$F$1143,G14)</f>
        <v>49.241069579723636</v>
      </c>
      <c r="E14" s="30">
        <f t="shared" si="0"/>
        <v>0.50393439402279783</v>
      </c>
      <c r="F14" s="3"/>
      <c r="G14" s="2">
        <f>MATCH(B14,'Points Summary'!$B$4:$B$1144,0)</f>
        <v>105</v>
      </c>
    </row>
    <row r="15" spans="1:7" x14ac:dyDescent="0.25">
      <c r="A15" s="2">
        <v>1</v>
      </c>
      <c r="B15" s="3" t="s">
        <v>1109</v>
      </c>
      <c r="C15" s="28">
        <f>TIME(1,4,37.6)</f>
        <v>4.4872685185185189E-2</v>
      </c>
      <c r="D15" s="29">
        <f>INDEX('Points Summary'!$F$4:$F$1143,G15)</f>
        <v>48.948958192586247</v>
      </c>
      <c r="E15" s="30">
        <f t="shared" si="0"/>
        <v>0.45376192146855476</v>
      </c>
      <c r="F15" s="3"/>
      <c r="G15" s="2">
        <f>MATCH(B15,'Points Summary'!$B$4:$B$1144,0)</f>
        <v>227</v>
      </c>
    </row>
    <row r="16" spans="1:7" x14ac:dyDescent="0.25">
      <c r="A16" s="2">
        <v>4</v>
      </c>
      <c r="B16" s="3" t="s">
        <v>1181</v>
      </c>
      <c r="C16" s="28">
        <f>TIME(0,49,41.3)</f>
        <v>3.4502314814814812E-2</v>
      </c>
      <c r="D16" s="29">
        <f>INDEX('Points Summary'!$F$4:$F$1143,G16)</f>
        <v>0</v>
      </c>
      <c r="E16" s="30">
        <f t="shared" si="0"/>
        <v>0.59014926854531602</v>
      </c>
      <c r="F16" s="3"/>
      <c r="G16" s="2">
        <f>MATCH(B16,'Points Summary'!$B$4:$B$1144,0)</f>
        <v>359</v>
      </c>
    </row>
    <row r="17" spans="1:7" x14ac:dyDescent="0.25">
      <c r="A17" s="2"/>
      <c r="B17" s="3"/>
      <c r="C17" s="28"/>
      <c r="D17" s="29"/>
      <c r="E17" s="30"/>
      <c r="F17" s="3"/>
      <c r="G17" s="2"/>
    </row>
    <row r="18" spans="1:7" x14ac:dyDescent="0.25">
      <c r="A18" s="2"/>
      <c r="B18" s="3"/>
      <c r="C18" s="28"/>
      <c r="D18" s="29"/>
      <c r="E18" s="30"/>
      <c r="F18" s="3"/>
      <c r="G18" s="2"/>
    </row>
    <row r="19" spans="1:7" x14ac:dyDescent="0.25">
      <c r="A19" s="2"/>
      <c r="B19" s="3"/>
      <c r="C19" s="28"/>
      <c r="D19" s="29"/>
      <c r="E19" s="30"/>
      <c r="F19" s="3"/>
      <c r="G19" s="2"/>
    </row>
    <row r="20" spans="1:7" x14ac:dyDescent="0.25">
      <c r="A20" s="2"/>
      <c r="B20" s="3"/>
      <c r="C20" s="28"/>
      <c r="D20" s="29"/>
      <c r="E20" s="30"/>
      <c r="F20" s="3"/>
      <c r="G20" s="2"/>
    </row>
    <row r="21" spans="1:7" x14ac:dyDescent="0.25">
      <c r="A21" s="2"/>
      <c r="B21" s="3"/>
      <c r="C21" s="28"/>
      <c r="D21" s="29"/>
      <c r="E21" s="30"/>
      <c r="F21" s="3"/>
      <c r="G21" s="2"/>
    </row>
    <row r="22" spans="1:7" x14ac:dyDescent="0.25">
      <c r="A22" s="42"/>
      <c r="B22" s="3"/>
      <c r="C22" s="28"/>
      <c r="D22" s="29"/>
      <c r="E22" s="30"/>
      <c r="F22" s="3"/>
      <c r="G22" s="2"/>
    </row>
    <row r="23" spans="1:7" x14ac:dyDescent="0.25">
      <c r="A23" s="42"/>
      <c r="B23" s="3"/>
      <c r="C23" s="28"/>
      <c r="D23" s="29"/>
      <c r="E23" s="30"/>
      <c r="F23" s="3"/>
      <c r="G23" s="2"/>
    </row>
    <row r="24" spans="1:7" x14ac:dyDescent="0.25">
      <c r="A24" s="42"/>
      <c r="B24" s="3"/>
      <c r="C24" s="28"/>
      <c r="D24" s="29"/>
      <c r="E24" s="30"/>
      <c r="F24" s="3"/>
      <c r="G24" s="2"/>
    </row>
    <row r="25" spans="1:7" x14ac:dyDescent="0.25">
      <c r="A25" s="42"/>
      <c r="B25" s="3"/>
      <c r="C25" s="28"/>
      <c r="D25" s="29"/>
      <c r="E25" s="30"/>
      <c r="F25" s="3"/>
      <c r="G25" s="2"/>
    </row>
    <row r="26" spans="1:7" x14ac:dyDescent="0.25">
      <c r="A26" s="42"/>
      <c r="B26" s="3"/>
      <c r="C26" s="28"/>
      <c r="D26" s="29"/>
      <c r="E26" s="30"/>
      <c r="F26" s="3"/>
      <c r="G26" s="2"/>
    </row>
    <row r="27" spans="1:7" x14ac:dyDescent="0.25">
      <c r="A27" s="42"/>
      <c r="B27" s="3"/>
      <c r="C27" s="28"/>
      <c r="D27" s="29"/>
      <c r="E27" s="30"/>
      <c r="F27" s="3"/>
      <c r="G27" s="2"/>
    </row>
    <row r="28" spans="1:7" x14ac:dyDescent="0.25">
      <c r="B28" s="3"/>
      <c r="C28" s="28"/>
      <c r="D28" s="29"/>
      <c r="E28" s="30"/>
      <c r="F28" s="3"/>
      <c r="G28" s="2"/>
    </row>
    <row r="29" spans="1:7" x14ac:dyDescent="0.25">
      <c r="B29" s="3"/>
      <c r="C29" s="28"/>
      <c r="D29" s="29"/>
      <c r="E29" s="30"/>
      <c r="F29" s="3"/>
      <c r="G29" s="2"/>
    </row>
    <row r="30" spans="1:7" x14ac:dyDescent="0.25">
      <c r="B30" s="3"/>
    </row>
    <row r="31" spans="1:7" x14ac:dyDescent="0.25">
      <c r="B31" s="3"/>
    </row>
    <row r="32" spans="1:7" x14ac:dyDescent="0.25">
      <c r="B32" s="3"/>
    </row>
    <row r="33" spans="2:2" x14ac:dyDescent="0.25">
      <c r="B33" s="3"/>
    </row>
  </sheetData>
  <sortState ref="A8:G16">
    <sortCondition descending="1" ref="D8:D16"/>
  </sortState>
  <phoneticPr fontId="0" type="noConversion"/>
  <hyperlinks>
    <hyperlink ref="B11" r:id="rId1" display="http://services.biathlonresults.com/athletes.aspx?IbuId=BTUSA11702199701"/>
  </hyperlinks>
  <printOptions horizontalCentered="1"/>
  <pageMargins left="0.75" right="0.75" top="1" bottom="1" header="0.5" footer="0.5"/>
  <pageSetup orientation="portrait" horizontalDpi="4294967292" verticalDpi="1200" r:id="rId2"/>
  <headerFooter alignWithMargins="0">
    <oddHeader>&amp;L&amp;"Tahoma,Bold"&amp;11U.S. Biathlon Association&amp;R&amp;"Tahoma,Bold"&amp;11 2018 Race Points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workbookViewId="0">
      <selection activeCell="B6" sqref="B6"/>
    </sheetView>
  </sheetViews>
  <sheetFormatPr defaultRowHeight="13.2" x14ac:dyDescent="0.25"/>
  <cols>
    <col min="2" max="2" width="24.6640625" customWidth="1"/>
  </cols>
  <sheetData>
    <row r="1" spans="1:11" x14ac:dyDescent="0.25">
      <c r="A1" s="16" t="s">
        <v>22</v>
      </c>
      <c r="B1" s="17" t="s">
        <v>1182</v>
      </c>
      <c r="C1" s="18"/>
      <c r="D1" s="18"/>
      <c r="E1" s="18"/>
      <c r="F1" s="18"/>
      <c r="G1" s="19"/>
    </row>
    <row r="2" spans="1:11" x14ac:dyDescent="0.25">
      <c r="A2" s="20" t="s">
        <v>23</v>
      </c>
      <c r="B2" s="21">
        <v>43149</v>
      </c>
      <c r="C2" s="22"/>
      <c r="D2" s="22"/>
      <c r="E2" s="22"/>
      <c r="F2" s="22"/>
      <c r="G2" s="23"/>
    </row>
    <row r="3" spans="1:11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11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11" x14ac:dyDescent="0.25">
      <c r="A5" s="20" t="s">
        <v>27</v>
      </c>
      <c r="B5" s="24" t="s">
        <v>1183</v>
      </c>
      <c r="C5" s="22"/>
      <c r="D5" s="22"/>
      <c r="E5" s="22" t="s">
        <v>55</v>
      </c>
      <c r="F5" s="38">
        <f>AVERAGE(C8:C12)*(AVERAGE(D8:D12)/100)</f>
        <v>3.3358103196016835E-2</v>
      </c>
      <c r="G5" s="23"/>
    </row>
    <row r="6" spans="1:11" x14ac:dyDescent="0.25">
      <c r="A6" s="25" t="s">
        <v>29</v>
      </c>
      <c r="B6" s="119"/>
      <c r="C6" s="26"/>
      <c r="D6" s="26"/>
      <c r="E6" s="26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11" x14ac:dyDescent="0.25">
      <c r="A8" s="2">
        <v>2</v>
      </c>
      <c r="B8" s="3" t="s">
        <v>907</v>
      </c>
      <c r="C8" s="28">
        <f>TIME(1,27,24.8)</f>
        <v>6.069444444444444E-2</v>
      </c>
      <c r="D8" s="29">
        <f>INDEX('Points Summary'!$F$4:$F$1143,G8)</f>
        <v>55.901532955447941</v>
      </c>
      <c r="E8" s="30">
        <f t="shared" ref="E8:E24" si="0">(AVERAGE($D$8:$D$12)/100*AVERAGE($C$8:$C$12))/C8</f>
        <v>0.5496071922455863</v>
      </c>
      <c r="F8" s="3"/>
      <c r="G8" s="2">
        <f>MATCH(B8,'Points Summary'!$B$4:$B$1144,0)</f>
        <v>250</v>
      </c>
      <c r="I8" s="196"/>
      <c r="K8" s="196"/>
    </row>
    <row r="9" spans="1:11" x14ac:dyDescent="0.25">
      <c r="A9" s="2">
        <v>1</v>
      </c>
      <c r="B9" s="3" t="s">
        <v>1091</v>
      </c>
      <c r="C9" s="28">
        <f>TIME(1,26,45.5)</f>
        <v>6.0243055555555557E-2</v>
      </c>
      <c r="D9" s="29">
        <f>INDEX('Points Summary'!$F$4:$F$1143,G9)</f>
        <v>53.805321991561236</v>
      </c>
      <c r="E9" s="30">
        <f t="shared" si="0"/>
        <v>0.55372528648143216</v>
      </c>
      <c r="F9" s="3"/>
      <c r="G9" s="2">
        <f>MATCH(B9,'Points Summary'!$B$4:$B$1144,0)</f>
        <v>177</v>
      </c>
      <c r="I9" s="196"/>
      <c r="K9" s="196"/>
    </row>
    <row r="10" spans="1:11" x14ac:dyDescent="0.25">
      <c r="A10" s="2">
        <v>3</v>
      </c>
      <c r="B10" s="3" t="s">
        <v>790</v>
      </c>
      <c r="C10" s="28">
        <f>TIME(1,27,19.2)</f>
        <v>6.0636574074074079E-2</v>
      </c>
      <c r="D10" s="29">
        <f>INDEX('Points Summary'!$F$4:$F$1143,G10)</f>
        <v>52.831387637051272</v>
      </c>
      <c r="E10" s="30">
        <f t="shared" si="0"/>
        <v>0.55013172669132548</v>
      </c>
      <c r="F10" s="3"/>
      <c r="G10" s="2">
        <f>MATCH(B10,'Points Summary'!$B$4:$B$1144,0)</f>
        <v>44</v>
      </c>
      <c r="I10" s="196"/>
      <c r="K10" s="196"/>
    </row>
    <row r="11" spans="1:11" x14ac:dyDescent="0.25">
      <c r="A11" s="2">
        <v>10</v>
      </c>
      <c r="B11" s="3" t="s">
        <v>1092</v>
      </c>
      <c r="C11" s="28">
        <f>TIME(1,35,11.6)</f>
        <v>6.609953703703704E-2</v>
      </c>
      <c r="D11" s="29">
        <f>INDEX('Points Summary'!$F$4:$F$1143,G11)</f>
        <v>52.381673963354459</v>
      </c>
      <c r="E11" s="30">
        <f t="shared" si="0"/>
        <v>0.50466470252772799</v>
      </c>
      <c r="F11" s="3"/>
      <c r="G11" s="2">
        <f>MATCH(B11,'Points Summary'!$B$4:$B$1144,0)</f>
        <v>234</v>
      </c>
      <c r="I11" s="196"/>
      <c r="K11" s="196"/>
    </row>
    <row r="12" spans="1:11" x14ac:dyDescent="0.25">
      <c r="A12" s="2">
        <v>9</v>
      </c>
      <c r="B12" s="3" t="s">
        <v>1093</v>
      </c>
      <c r="C12" s="28">
        <f>TIME(1,33,27)</f>
        <v>6.4895833333333333E-2</v>
      </c>
      <c r="D12" s="29">
        <f>INDEX('Points Summary'!$F$4:$F$1143,G12)</f>
        <v>51.885618901731064</v>
      </c>
      <c r="E12" s="30">
        <f t="shared" si="0"/>
        <v>0.51402534619865425</v>
      </c>
      <c r="F12" s="3"/>
      <c r="G12" s="2">
        <f>MATCH(B12,'Points Summary'!$B$4:$B$1144,0)</f>
        <v>176</v>
      </c>
      <c r="I12" s="196"/>
      <c r="K12" s="196"/>
    </row>
    <row r="13" spans="1:11" x14ac:dyDescent="0.25">
      <c r="A13" s="2">
        <v>5</v>
      </c>
      <c r="B13" s="3" t="s">
        <v>1094</v>
      </c>
      <c r="C13" s="28">
        <f>TIME(1,28,46.6)</f>
        <v>6.1643518518518514E-2</v>
      </c>
      <c r="D13" s="29">
        <f>INDEX('Points Summary'!$F$4:$F$1143,G13)</f>
        <v>51.469604847831192</v>
      </c>
      <c r="E13" s="30">
        <f t="shared" si="0"/>
        <v>0.54114534662708502</v>
      </c>
      <c r="F13" s="3"/>
      <c r="G13" s="2">
        <f>MATCH(B13,'Points Summary'!$B$4:$B$1144,0)</f>
        <v>319</v>
      </c>
      <c r="I13" s="196"/>
      <c r="K13" s="196"/>
    </row>
    <row r="14" spans="1:11" x14ac:dyDescent="0.25">
      <c r="A14" s="2">
        <v>6</v>
      </c>
      <c r="B14" s="3" t="s">
        <v>816</v>
      </c>
      <c r="C14" s="28">
        <f>TIME(1,30,59.4)</f>
        <v>6.3182870370370361E-2</v>
      </c>
      <c r="D14" s="29">
        <f>INDEX('Points Summary'!$F$4:$F$1143,G14)</f>
        <v>50.696736747366344</v>
      </c>
      <c r="E14" s="30">
        <f t="shared" si="0"/>
        <v>0.52796118632274314</v>
      </c>
      <c r="F14" s="3"/>
      <c r="G14" s="2">
        <f>MATCH(B14,'Points Summary'!$B$4:$B$1144,0)</f>
        <v>410</v>
      </c>
      <c r="I14" s="196"/>
      <c r="K14" s="196"/>
    </row>
    <row r="15" spans="1:11" x14ac:dyDescent="0.25">
      <c r="A15" s="2">
        <v>7</v>
      </c>
      <c r="B15" s="3" t="s">
        <v>793</v>
      </c>
      <c r="C15" s="28">
        <f>TIME(1,34,46.3)</f>
        <v>6.581018518518518E-2</v>
      </c>
      <c r="D15" s="29">
        <f>INDEX('Points Summary'!$F$4:$F$1143,G15)</f>
        <v>50.281684136132554</v>
      </c>
      <c r="E15" s="30">
        <f t="shared" si="0"/>
        <v>0.50688359411464201</v>
      </c>
      <c r="F15" s="3"/>
      <c r="G15" s="2">
        <f>MATCH(B15,'Points Summary'!$B$4:$B$1144,0)</f>
        <v>170</v>
      </c>
      <c r="I15" s="196"/>
      <c r="K15" s="196"/>
    </row>
    <row r="16" spans="1:11" x14ac:dyDescent="0.25">
      <c r="A16" s="2">
        <v>14</v>
      </c>
      <c r="B16" s="3" t="s">
        <v>752</v>
      </c>
      <c r="C16" s="28">
        <f>TIME(1,36,36.4)</f>
        <v>6.7083333333333328E-2</v>
      </c>
      <c r="D16" s="29">
        <f>INDEX('Points Summary'!$F$4:$F$1143,G16)</f>
        <v>47.579363425109044</v>
      </c>
      <c r="E16" s="30">
        <f t="shared" si="0"/>
        <v>0.49726365012695906</v>
      </c>
      <c r="F16" s="3"/>
      <c r="G16" s="2">
        <f>MATCH(B16,'Points Summary'!$B$4:$B$1144,0)</f>
        <v>6</v>
      </c>
      <c r="I16" s="196"/>
      <c r="K16" s="196"/>
    </row>
    <row r="17" spans="1:11" x14ac:dyDescent="0.25">
      <c r="A17" s="2">
        <v>11</v>
      </c>
      <c r="B17" s="3" t="s">
        <v>750</v>
      </c>
      <c r="C17" s="28">
        <f>TIME(1,37,7.7)</f>
        <v>6.744212962962963E-2</v>
      </c>
      <c r="D17" s="29">
        <f>INDEX('Points Summary'!$F$4:$F$1143,G17)</f>
        <v>47.294153385554111</v>
      </c>
      <c r="E17" s="30">
        <f t="shared" si="0"/>
        <v>0.4946181767866577</v>
      </c>
      <c r="F17" s="3"/>
      <c r="G17" s="2">
        <f>MATCH(B17,'Points Summary'!$B$4:$B$1144,0)</f>
        <v>244</v>
      </c>
      <c r="I17" s="196"/>
      <c r="K17" s="196"/>
    </row>
    <row r="18" spans="1:11" x14ac:dyDescent="0.25">
      <c r="A18" s="2">
        <v>8</v>
      </c>
      <c r="B18" s="3" t="s">
        <v>824</v>
      </c>
      <c r="C18" s="28">
        <f>TIME(1,34,40)</f>
        <v>6.5740740740740738E-2</v>
      </c>
      <c r="D18" s="29">
        <f>INDEX('Points Summary'!$F$4:$F$1143,G18)</f>
        <v>45.662834399900476</v>
      </c>
      <c r="E18" s="30">
        <f t="shared" si="0"/>
        <v>0.50741903453096027</v>
      </c>
      <c r="F18" s="3"/>
      <c r="G18" s="2">
        <f>MATCH(B18,'Points Summary'!$B$4:$B$1144,0)</f>
        <v>160</v>
      </c>
      <c r="I18" s="196"/>
      <c r="K18" s="196"/>
    </row>
    <row r="19" spans="1:11" x14ac:dyDescent="0.25">
      <c r="A19" s="2">
        <v>13</v>
      </c>
      <c r="B19" s="3" t="s">
        <v>1172</v>
      </c>
      <c r="C19" s="28">
        <f>TIME(1,37,1.4)</f>
        <v>6.7372685185185188E-2</v>
      </c>
      <c r="D19" s="29">
        <f>INDEX('Points Summary'!$F$4:$F$1143,G19)</f>
        <v>43.87461929889286</v>
      </c>
      <c r="E19" s="30">
        <f t="shared" si="0"/>
        <v>0.49512800483350872</v>
      </c>
      <c r="F19" s="3"/>
      <c r="G19" s="2">
        <f>MATCH(B19,'Points Summary'!$B$4:$B$1144,0)</f>
        <v>312</v>
      </c>
      <c r="I19" s="196"/>
      <c r="K19" s="196"/>
    </row>
    <row r="20" spans="1:11" x14ac:dyDescent="0.25">
      <c r="A20" s="2">
        <v>16</v>
      </c>
      <c r="B20" s="3" t="s">
        <v>817</v>
      </c>
      <c r="C20" s="28">
        <f>TIME(1,50,31.8)</f>
        <v>7.6747685185185183E-2</v>
      </c>
      <c r="D20" s="29">
        <f>INDEX('Points Summary'!$F$4:$F$1143,G20)</f>
        <v>38.386646967874427</v>
      </c>
      <c r="E20" s="30">
        <f t="shared" si="0"/>
        <v>0.43464637552946078</v>
      </c>
      <c r="F20" s="3"/>
      <c r="G20" s="2">
        <f>MATCH(B20,'Points Summary'!$B$4:$B$1144,0)</f>
        <v>420</v>
      </c>
      <c r="I20" s="196"/>
      <c r="K20" s="196"/>
    </row>
    <row r="21" spans="1:11" x14ac:dyDescent="0.25">
      <c r="A21" s="2">
        <v>12</v>
      </c>
      <c r="B21" s="3" t="s">
        <v>1171</v>
      </c>
      <c r="C21" s="28">
        <f>TIME(1,36,24.7)</f>
        <v>6.6944444444444445E-2</v>
      </c>
      <c r="D21" s="29">
        <f>INDEX('Points Summary'!$F$4:$F$1143,G21)</f>
        <v>0</v>
      </c>
      <c r="E21" s="30">
        <f t="shared" si="0"/>
        <v>0.49829531745087385</v>
      </c>
      <c r="F21" s="3"/>
      <c r="G21" s="2">
        <f>MATCH(B21,'Points Summary'!$B$4:$B$1144,0)</f>
        <v>423</v>
      </c>
      <c r="I21" s="196"/>
      <c r="K21" s="196"/>
    </row>
    <row r="22" spans="1:11" x14ac:dyDescent="0.25">
      <c r="A22" s="2">
        <v>4</v>
      </c>
      <c r="B22" s="3" t="s">
        <v>1184</v>
      </c>
      <c r="C22" s="28">
        <f>TIME(1,17,16.3)</f>
        <v>5.3657407407407404E-2</v>
      </c>
      <c r="D22" s="29">
        <f>INDEX('Points Summary'!$F$4:$F$1143,G22)</f>
        <v>0</v>
      </c>
      <c r="E22" s="30">
        <f t="shared" si="0"/>
        <v>0.62168682401549924</v>
      </c>
      <c r="F22" s="3"/>
      <c r="G22" s="2">
        <f>MATCH(B22,'Points Summary'!$B$4:$B$1144,0)</f>
        <v>411</v>
      </c>
      <c r="I22" s="196"/>
      <c r="K22" s="196"/>
    </row>
    <row r="23" spans="1:11" x14ac:dyDescent="0.25">
      <c r="A23" s="2">
        <v>15</v>
      </c>
      <c r="B23" s="3" t="s">
        <v>1185</v>
      </c>
      <c r="C23" s="28">
        <f>TIME(1,51,2.5)</f>
        <v>7.7106481481481484E-2</v>
      </c>
      <c r="D23" s="29">
        <f>INDEX('Points Summary'!$F$4:$F$1143,G23)</f>
        <v>0</v>
      </c>
      <c r="E23" s="30">
        <f t="shared" si="0"/>
        <v>0.43262385411826093</v>
      </c>
      <c r="F23" s="3"/>
      <c r="G23" s="2">
        <f>MATCH(B23,'Points Summary'!$B$4:$B$1144,0)</f>
        <v>397</v>
      </c>
      <c r="I23" s="196"/>
      <c r="K23" s="196"/>
    </row>
    <row r="24" spans="1:11" x14ac:dyDescent="0.25">
      <c r="A24" s="2">
        <v>17</v>
      </c>
      <c r="B24" s="3" t="s">
        <v>1186</v>
      </c>
      <c r="C24" s="28">
        <f>TIME(1,32,31.5)</f>
        <v>6.4247685185185185E-2</v>
      </c>
      <c r="D24" s="29">
        <f>INDEX('Points Summary'!$F$4:$F$1143,G24)</f>
        <v>0</v>
      </c>
      <c r="E24" s="30">
        <f t="shared" si="0"/>
        <v>0.51921097390305426</v>
      </c>
      <c r="F24" s="3"/>
      <c r="G24" s="2">
        <f>MATCH(B24,'Points Summary'!$B$4:$B$1144,0)</f>
        <v>329</v>
      </c>
      <c r="I24" s="196"/>
      <c r="K24" s="196"/>
    </row>
    <row r="25" spans="1:11" x14ac:dyDescent="0.25">
      <c r="A25" s="2"/>
      <c r="B25" s="3"/>
      <c r="C25" s="28"/>
      <c r="D25" s="29"/>
      <c r="E25" s="30"/>
      <c r="F25" s="3"/>
      <c r="G25" s="2"/>
    </row>
    <row r="26" spans="1:11" x14ac:dyDescent="0.25">
      <c r="A26" s="2"/>
      <c r="B26" s="3"/>
      <c r="C26" s="28"/>
      <c r="D26" s="29"/>
      <c r="E26" s="30"/>
      <c r="F26" s="3"/>
      <c r="G26" s="2"/>
    </row>
    <row r="27" spans="1:11" x14ac:dyDescent="0.25">
      <c r="A27" s="2"/>
      <c r="B27" s="3"/>
      <c r="C27" s="28"/>
      <c r="D27" s="29"/>
      <c r="E27" s="30"/>
      <c r="F27" s="3"/>
      <c r="G27" s="2"/>
    </row>
    <row r="28" spans="1:11" x14ac:dyDescent="0.25">
      <c r="A28" s="2"/>
      <c r="B28" s="3"/>
      <c r="C28" s="28"/>
      <c r="D28" s="29"/>
      <c r="E28" s="30"/>
      <c r="F28" s="3"/>
      <c r="G28" s="2"/>
    </row>
    <row r="29" spans="1:11" x14ac:dyDescent="0.25">
      <c r="A29" s="2"/>
      <c r="B29" s="3"/>
      <c r="C29" s="28"/>
      <c r="D29" s="29"/>
      <c r="E29" s="30"/>
      <c r="F29" s="3"/>
      <c r="G29" s="2"/>
    </row>
    <row r="30" spans="1:11" x14ac:dyDescent="0.25">
      <c r="A30" s="2"/>
      <c r="B30" s="3"/>
      <c r="C30" s="28"/>
      <c r="D30" s="29"/>
      <c r="E30" s="30"/>
      <c r="F30" s="3"/>
      <c r="G30" s="2"/>
    </row>
    <row r="31" spans="1:11" x14ac:dyDescent="0.25">
      <c r="A31" s="2"/>
      <c r="B31" s="3"/>
      <c r="C31" s="28"/>
      <c r="D31" s="29"/>
      <c r="E31" s="30"/>
      <c r="F31" s="3"/>
      <c r="G31" s="2"/>
    </row>
    <row r="32" spans="1:11" x14ac:dyDescent="0.25">
      <c r="A32" s="2"/>
      <c r="B32" s="3"/>
      <c r="C32" s="28"/>
      <c r="D32" s="29"/>
      <c r="E32" s="30"/>
      <c r="F32" s="3"/>
      <c r="G32" s="2"/>
    </row>
    <row r="33" spans="1:7" x14ac:dyDescent="0.25">
      <c r="A33" s="2"/>
      <c r="B33" s="3"/>
      <c r="C33" s="28"/>
      <c r="D33" s="29"/>
      <c r="E33" s="30"/>
      <c r="F33" s="3"/>
      <c r="G33" s="2"/>
    </row>
    <row r="34" spans="1:7" x14ac:dyDescent="0.25">
      <c r="C34" s="28"/>
    </row>
    <row r="35" spans="1:7" x14ac:dyDescent="0.25">
      <c r="C35" s="28"/>
    </row>
    <row r="36" spans="1:7" x14ac:dyDescent="0.25">
      <c r="C36" s="28"/>
    </row>
    <row r="37" spans="1:7" x14ac:dyDescent="0.25">
      <c r="C37" s="28"/>
    </row>
    <row r="38" spans="1:7" x14ac:dyDescent="0.25">
      <c r="C38" s="28"/>
    </row>
  </sheetData>
  <sortState ref="A8:G24">
    <sortCondition descending="1" ref="D8:D24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workbookViewId="0">
      <selection activeCell="E8" sqref="E8"/>
    </sheetView>
  </sheetViews>
  <sheetFormatPr defaultRowHeight="13.2" x14ac:dyDescent="0.25"/>
  <cols>
    <col min="2" max="2" width="24.6640625" customWidth="1"/>
    <col min="3" max="4" width="9.6640625" customWidth="1"/>
    <col min="5" max="5" width="9.6640625" style="42" customWidth="1"/>
    <col min="6" max="7" width="9.6640625" customWidth="1"/>
  </cols>
  <sheetData>
    <row r="1" spans="1:11" x14ac:dyDescent="0.25">
      <c r="A1" s="16" t="s">
        <v>22</v>
      </c>
      <c r="B1" s="17" t="s">
        <v>1161</v>
      </c>
      <c r="C1" s="18"/>
      <c r="D1" s="18"/>
      <c r="E1" s="133"/>
      <c r="F1" s="18"/>
      <c r="G1" s="19"/>
    </row>
    <row r="2" spans="1:11" x14ac:dyDescent="0.25">
      <c r="A2" s="20" t="s">
        <v>23</v>
      </c>
      <c r="B2" s="21">
        <v>43139</v>
      </c>
      <c r="C2" s="22"/>
      <c r="D2" s="22"/>
      <c r="E2" s="56"/>
      <c r="F2" s="22"/>
      <c r="G2" s="23"/>
    </row>
    <row r="3" spans="1:11" x14ac:dyDescent="0.25">
      <c r="A3" s="20" t="s">
        <v>24</v>
      </c>
      <c r="B3" s="24" t="s">
        <v>42</v>
      </c>
      <c r="C3" s="22"/>
      <c r="D3" s="22"/>
      <c r="E3" s="56"/>
      <c r="F3" s="22"/>
      <c r="G3" s="23"/>
    </row>
    <row r="4" spans="1:11" x14ac:dyDescent="0.25">
      <c r="A4" s="20" t="s">
        <v>1</v>
      </c>
      <c r="B4" s="24" t="s">
        <v>26</v>
      </c>
      <c r="C4" s="22"/>
      <c r="D4" s="22"/>
      <c r="E4" s="56"/>
      <c r="F4" s="22"/>
      <c r="G4" s="23"/>
    </row>
    <row r="5" spans="1:11" x14ac:dyDescent="0.25">
      <c r="A5" s="20" t="s">
        <v>27</v>
      </c>
      <c r="B5" s="24" t="s">
        <v>885</v>
      </c>
      <c r="C5" s="22"/>
      <c r="D5" s="22"/>
      <c r="E5" s="56" t="s">
        <v>55</v>
      </c>
      <c r="F5" s="38">
        <f>AVERAGE(C8:C12)*(AVERAGE(D8:D12)/100)</f>
        <v>1.2281283313285499E-2</v>
      </c>
      <c r="G5" s="23"/>
    </row>
    <row r="6" spans="1:11" x14ac:dyDescent="0.25">
      <c r="A6" s="25" t="s">
        <v>29</v>
      </c>
      <c r="B6" s="119"/>
      <c r="C6" s="26"/>
      <c r="D6" s="26"/>
      <c r="E6" s="134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11" x14ac:dyDescent="0.25">
      <c r="A8" s="2">
        <v>1</v>
      </c>
      <c r="B8" s="3" t="s">
        <v>808</v>
      </c>
      <c r="C8" s="28">
        <f>TIME(0,23,7)</f>
        <v>1.6053240740740739E-2</v>
      </c>
      <c r="D8" s="29">
        <f>INDEX('Points Summary'!$F$4:$F$1143,G8)</f>
        <v>80.557714578078887</v>
      </c>
      <c r="E8" s="124">
        <f t="shared" ref="E8:E18" si="0">(AVERAGE($D$8:$D$12)/100*AVERAGE($C$8:$C$12))/C8</f>
        <v>0.76503451929911115</v>
      </c>
      <c r="F8" s="3"/>
      <c r="G8" s="2">
        <f>MATCH(B8,'Points Summary'!$B$4:$B$1144,0)</f>
        <v>441</v>
      </c>
      <c r="H8" s="65"/>
      <c r="I8" s="28"/>
      <c r="J8" s="28"/>
      <c r="K8" s="28"/>
    </row>
    <row r="9" spans="1:11" x14ac:dyDescent="0.25">
      <c r="A9" s="2">
        <v>1</v>
      </c>
      <c r="B9" s="3" t="s">
        <v>888</v>
      </c>
      <c r="C9" s="28">
        <f>TIME(0,27,27)</f>
        <v>1.90625E-2</v>
      </c>
      <c r="D9" s="29">
        <f>INDEX('Points Summary'!$F$4:$F$1143,G9)</f>
        <v>57.730080619711707</v>
      </c>
      <c r="E9" s="124">
        <f t="shared" si="0"/>
        <v>0.64426404266415738</v>
      </c>
      <c r="F9" s="3"/>
      <c r="G9" s="2">
        <f>MATCH(B9,'Points Summary'!$B$4:$B$1144,0)</f>
        <v>422</v>
      </c>
      <c r="H9" s="65"/>
      <c r="I9" s="28"/>
      <c r="J9" s="28"/>
      <c r="K9" s="28"/>
    </row>
    <row r="10" spans="1:11" x14ac:dyDescent="0.25">
      <c r="A10" s="2">
        <v>2</v>
      </c>
      <c r="B10" s="3" t="s">
        <v>773</v>
      </c>
      <c r="C10" s="28">
        <f>TIME(0,35,56)</f>
        <v>2.49537037037037E-2</v>
      </c>
      <c r="D10" s="29">
        <f>INDEX('Points Summary'!$F$4:$F$1143,G10)</f>
        <v>52.599685351480908</v>
      </c>
      <c r="E10" s="124">
        <f t="shared" si="0"/>
        <v>0.49216274502220186</v>
      </c>
      <c r="F10" s="3"/>
      <c r="G10" s="2">
        <f>MATCH(B10,'Points Summary'!$B$4:$B$1144,0)</f>
        <v>123</v>
      </c>
      <c r="H10" s="65"/>
      <c r="I10" s="28"/>
      <c r="J10" s="28"/>
      <c r="K10" s="28"/>
    </row>
    <row r="11" spans="1:11" x14ac:dyDescent="0.25">
      <c r="A11" s="2">
        <v>1</v>
      </c>
      <c r="B11" s="3" t="s">
        <v>362</v>
      </c>
      <c r="C11" s="28">
        <f>TIME(0,31,37)</f>
        <v>2.1956018518518517E-2</v>
      </c>
      <c r="D11" s="29">
        <f>INDEX('Points Summary'!$F$4:$F$1143,G11)</f>
        <v>51.583230225978319</v>
      </c>
      <c r="E11" s="124">
        <f t="shared" si="0"/>
        <v>0.55935839655659836</v>
      </c>
      <c r="F11" s="3"/>
      <c r="G11" s="2">
        <f>MATCH(B11,'Points Summary'!$B$4:$B$1144,0)</f>
        <v>452</v>
      </c>
      <c r="H11" s="65"/>
      <c r="I11" s="28"/>
      <c r="J11" s="28"/>
      <c r="K11" s="28"/>
    </row>
    <row r="12" spans="1:11" x14ac:dyDescent="0.25">
      <c r="A12" s="2">
        <v>1</v>
      </c>
      <c r="B12" s="3" t="s">
        <v>939</v>
      </c>
      <c r="C12" s="28">
        <f>TIME(0,32,34)</f>
        <v>2.2615740740740742E-2</v>
      </c>
      <c r="D12" s="29">
        <f>INDEX('Points Summary'!$F$4:$F$1143,G12)</f>
        <v>50.943424350252634</v>
      </c>
      <c r="E12" s="124">
        <f t="shared" si="0"/>
        <v>0.54304139112992167</v>
      </c>
      <c r="F12" s="3"/>
      <c r="G12" s="2">
        <f>MATCH(B12,'Points Summary'!$B$4:$B$1144,0)</f>
        <v>147</v>
      </c>
      <c r="H12" s="65"/>
    </row>
    <row r="13" spans="1:11" x14ac:dyDescent="0.25">
      <c r="A13" s="2">
        <v>1</v>
      </c>
      <c r="B13" s="3" t="s">
        <v>1109</v>
      </c>
      <c r="C13" s="28">
        <f>TIME(0,34,34)</f>
        <v>2.4004629629629629E-2</v>
      </c>
      <c r="D13" s="29">
        <f>INDEX('Points Summary'!$F$4:$F$1143,G13)</f>
        <v>48.948958192586247</v>
      </c>
      <c r="E13" s="124">
        <f t="shared" si="0"/>
        <v>0.51162144564506606</v>
      </c>
      <c r="F13" s="3"/>
      <c r="G13" s="2">
        <f>MATCH(B13,'Points Summary'!$B$4:$B$1144,0)</f>
        <v>227</v>
      </c>
      <c r="H13" s="65"/>
    </row>
    <row r="14" spans="1:11" x14ac:dyDescent="0.25">
      <c r="A14" s="2">
        <v>2</v>
      </c>
      <c r="B14" s="3" t="s">
        <v>1112</v>
      </c>
      <c r="C14" s="28">
        <f>TIME(0,38,23)</f>
        <v>2.6655092592592591E-2</v>
      </c>
      <c r="D14" s="29">
        <f>INDEX('Points Summary'!$F$4:$F$1143,G14)</f>
        <v>47.147598821615667</v>
      </c>
      <c r="E14" s="124">
        <f t="shared" si="0"/>
        <v>0.46074810172291236</v>
      </c>
      <c r="F14" s="3"/>
      <c r="G14" s="2">
        <f>MATCH(B14,'Points Summary'!$B$4:$B$1144,0)</f>
        <v>194</v>
      </c>
      <c r="H14" s="65"/>
    </row>
    <row r="15" spans="1:11" x14ac:dyDescent="0.25">
      <c r="A15" s="2">
        <v>4</v>
      </c>
      <c r="B15" s="3" t="s">
        <v>329</v>
      </c>
      <c r="C15" s="28">
        <f>TIME(0,46,30)</f>
        <v>3.229166666666667E-2</v>
      </c>
      <c r="D15" s="29">
        <f>INDEX('Points Summary'!$F$4:$F$1143,G15)</f>
        <v>43.417973722279548</v>
      </c>
      <c r="E15" s="124">
        <f t="shared" si="0"/>
        <v>0.38032361228238959</v>
      </c>
      <c r="F15" s="3"/>
      <c r="G15" s="2">
        <f>MATCH(B15,'Points Summary'!$B$4:$B$1144,0)</f>
        <v>245</v>
      </c>
      <c r="H15" s="65"/>
    </row>
    <row r="16" spans="1:11" x14ac:dyDescent="0.25">
      <c r="A16" s="2">
        <v>2</v>
      </c>
      <c r="B16" s="3" t="s">
        <v>1189</v>
      </c>
      <c r="C16" s="28">
        <f>TIME(0,24,19)</f>
        <v>1.6886574074074075E-2</v>
      </c>
      <c r="D16" s="29">
        <f>INDEX('Points Summary'!$F$4:$F$1143,G16)</f>
        <v>0</v>
      </c>
      <c r="E16" s="124">
        <f t="shared" si="0"/>
        <v>0.72728093095809943</v>
      </c>
      <c r="F16" s="3"/>
      <c r="G16" s="2">
        <f>MATCH(B16,'Points Summary'!$B$4:$B$1144,0)</f>
        <v>117</v>
      </c>
      <c r="H16" s="65"/>
    </row>
    <row r="17" spans="1:8" x14ac:dyDescent="0.25">
      <c r="A17" s="2">
        <v>3</v>
      </c>
      <c r="B17" s="3" t="s">
        <v>1162</v>
      </c>
      <c r="C17" s="28">
        <f>TIME(0,41,6)</f>
        <v>2.854166666666667E-2</v>
      </c>
      <c r="D17" s="29">
        <f>INDEX('Points Summary'!$F$4:$F$1143,G17)</f>
        <v>0</v>
      </c>
      <c r="E17" s="124">
        <f t="shared" si="0"/>
        <v>0.43029313798372543</v>
      </c>
      <c r="F17" s="3"/>
      <c r="G17" s="2">
        <f>MATCH(B17,'Points Summary'!$B$4:$B$1144,0)</f>
        <v>357</v>
      </c>
      <c r="H17" s="65"/>
    </row>
    <row r="18" spans="1:8" x14ac:dyDescent="0.25">
      <c r="A18" s="2">
        <v>5</v>
      </c>
      <c r="B18" s="3" t="s">
        <v>1187</v>
      </c>
      <c r="C18" s="28">
        <f>TIME(0,49,24)</f>
        <v>3.4305555555555554E-2</v>
      </c>
      <c r="D18" s="29">
        <f>INDEX('Points Summary'!$F$4:$F$1143,G18)</f>
        <v>0</v>
      </c>
      <c r="E18" s="124">
        <f t="shared" si="0"/>
        <v>0.35799692249253279</v>
      </c>
      <c r="F18" s="3"/>
      <c r="G18" s="2">
        <f>MATCH(B18,'Points Summary'!$B$4:$B$1144,0)</f>
        <v>10</v>
      </c>
      <c r="H18" s="65"/>
    </row>
    <row r="19" spans="1:8" x14ac:dyDescent="0.25">
      <c r="A19" s="2"/>
      <c r="B19" s="3"/>
      <c r="C19" s="28"/>
      <c r="D19" s="29"/>
      <c r="E19" s="124"/>
      <c r="F19" s="3"/>
      <c r="G19" s="2"/>
      <c r="H19" s="65"/>
    </row>
    <row r="20" spans="1:8" x14ac:dyDescent="0.25">
      <c r="A20" s="2"/>
      <c r="B20" s="3"/>
      <c r="C20" s="28"/>
      <c r="D20" s="29"/>
      <c r="E20" s="124"/>
      <c r="F20" s="3"/>
      <c r="G20" s="2"/>
      <c r="H20" s="65"/>
    </row>
    <row r="21" spans="1:8" x14ac:dyDescent="0.25">
      <c r="A21" s="2"/>
      <c r="B21" s="3"/>
      <c r="C21" s="28"/>
      <c r="D21" s="29"/>
      <c r="E21" s="124"/>
      <c r="F21" s="3"/>
      <c r="G21" s="2"/>
      <c r="H21" s="65"/>
    </row>
    <row r="22" spans="1:8" x14ac:dyDescent="0.25">
      <c r="A22" s="2"/>
      <c r="B22" s="3"/>
      <c r="C22" s="28"/>
      <c r="D22" s="29"/>
      <c r="E22" s="124"/>
      <c r="F22" s="3"/>
      <c r="G22" s="2"/>
    </row>
    <row r="23" spans="1:8" x14ac:dyDescent="0.25">
      <c r="A23" s="2"/>
      <c r="B23" s="3"/>
      <c r="C23" s="28"/>
      <c r="D23" s="29"/>
      <c r="E23" s="124"/>
      <c r="F23" s="3"/>
      <c r="G23" s="2"/>
    </row>
    <row r="24" spans="1:8" x14ac:dyDescent="0.25">
      <c r="A24" s="2"/>
      <c r="B24" s="3"/>
      <c r="C24" s="28"/>
      <c r="D24" s="29"/>
      <c r="E24" s="124"/>
      <c r="F24" s="3"/>
      <c r="G24" s="2"/>
    </row>
    <row r="25" spans="1:8" x14ac:dyDescent="0.25">
      <c r="A25" s="2"/>
      <c r="B25" s="3"/>
      <c r="C25" s="28"/>
      <c r="D25" s="29"/>
      <c r="E25" s="124"/>
      <c r="F25" s="3"/>
      <c r="G25" s="2"/>
    </row>
    <row r="26" spans="1:8" x14ac:dyDescent="0.25">
      <c r="A26" s="2"/>
      <c r="B26" s="3"/>
      <c r="C26" s="28"/>
      <c r="D26" s="29"/>
      <c r="E26" s="124"/>
      <c r="F26" s="3"/>
      <c r="G26" s="2"/>
    </row>
    <row r="27" spans="1:8" x14ac:dyDescent="0.25">
      <c r="A27" s="2"/>
      <c r="B27" s="3"/>
      <c r="C27" s="28"/>
      <c r="D27" s="29"/>
      <c r="E27" s="124"/>
      <c r="F27" s="3"/>
      <c r="G27" s="2"/>
    </row>
    <row r="28" spans="1:8" x14ac:dyDescent="0.25">
      <c r="A28" s="2"/>
      <c r="B28" s="3"/>
      <c r="C28" s="28"/>
      <c r="D28" s="29"/>
      <c r="E28" s="124"/>
      <c r="F28" s="3"/>
      <c r="G28" s="2"/>
    </row>
    <row r="29" spans="1:8" x14ac:dyDescent="0.25">
      <c r="A29" s="2"/>
      <c r="B29" s="3"/>
      <c r="C29" s="28"/>
      <c r="D29" s="29"/>
      <c r="E29" s="124"/>
      <c r="F29" s="3"/>
      <c r="G29" s="2"/>
    </row>
    <row r="30" spans="1:8" x14ac:dyDescent="0.25">
      <c r="B30" s="3"/>
      <c r="C30" s="28"/>
      <c r="D30" s="29"/>
      <c r="E30" s="124"/>
      <c r="F30" s="3"/>
      <c r="G30" s="2"/>
    </row>
    <row r="31" spans="1:8" x14ac:dyDescent="0.25">
      <c r="B31" s="3"/>
      <c r="C31" s="28"/>
      <c r="D31" s="29"/>
      <c r="E31" s="124"/>
      <c r="F31" s="3"/>
      <c r="G31" s="2"/>
    </row>
    <row r="32" spans="1:8" x14ac:dyDescent="0.25">
      <c r="B32" s="3"/>
      <c r="C32" s="28"/>
      <c r="D32" s="29"/>
      <c r="E32" s="124"/>
      <c r="F32" s="3"/>
      <c r="G32" s="2"/>
    </row>
    <row r="33" spans="2:7" x14ac:dyDescent="0.25">
      <c r="B33" s="3"/>
      <c r="C33" s="28"/>
      <c r="D33" s="29"/>
      <c r="E33" s="124"/>
      <c r="F33" s="3"/>
      <c r="G33" s="2"/>
    </row>
    <row r="34" spans="2:7" x14ac:dyDescent="0.25">
      <c r="B34" s="3"/>
      <c r="C34" s="28"/>
      <c r="D34" s="29"/>
      <c r="E34" s="124"/>
      <c r="F34" s="3"/>
      <c r="G34" s="2"/>
    </row>
    <row r="35" spans="2:7" x14ac:dyDescent="0.25">
      <c r="B35" s="3"/>
      <c r="C35" s="28"/>
      <c r="D35" s="29"/>
      <c r="E35" s="124"/>
      <c r="F35" s="3"/>
      <c r="G35" s="2"/>
    </row>
    <row r="36" spans="2:7" x14ac:dyDescent="0.25">
      <c r="B36" s="3"/>
      <c r="C36" s="28"/>
      <c r="D36" s="29"/>
      <c r="E36" s="124"/>
      <c r="F36" s="3"/>
      <c r="G36" s="2"/>
    </row>
    <row r="37" spans="2:7" x14ac:dyDescent="0.25">
      <c r="B37" s="3"/>
      <c r="C37" s="28"/>
      <c r="D37" s="29"/>
      <c r="E37" s="124"/>
      <c r="F37" s="3"/>
      <c r="G37" s="2"/>
    </row>
    <row r="38" spans="2:7" x14ac:dyDescent="0.25">
      <c r="B38" s="3"/>
      <c r="C38" s="28"/>
      <c r="D38" s="29"/>
      <c r="E38" s="124"/>
      <c r="F38" s="3"/>
      <c r="G38" s="2"/>
    </row>
    <row r="39" spans="2:7" x14ac:dyDescent="0.25">
      <c r="B39" s="3"/>
      <c r="C39" s="28"/>
      <c r="D39" s="29"/>
      <c r="E39" s="124"/>
      <c r="F39" s="3"/>
      <c r="G39" s="2"/>
    </row>
    <row r="40" spans="2:7" x14ac:dyDescent="0.25">
      <c r="B40" s="34"/>
      <c r="C40" s="28"/>
      <c r="D40" s="29"/>
      <c r="E40" s="124"/>
      <c r="F40" s="3"/>
      <c r="G40" s="2"/>
    </row>
    <row r="41" spans="2:7" x14ac:dyDescent="0.25">
      <c r="B41" s="3"/>
      <c r="C41" s="28"/>
      <c r="D41" s="29"/>
      <c r="E41" s="124"/>
      <c r="F41" s="3"/>
      <c r="G41" s="2"/>
    </row>
    <row r="42" spans="2:7" x14ac:dyDescent="0.25">
      <c r="B42" s="3"/>
      <c r="C42" s="28"/>
      <c r="D42" s="29"/>
      <c r="E42" s="124"/>
      <c r="F42" s="3"/>
      <c r="G42" s="2"/>
    </row>
    <row r="43" spans="2:7" x14ac:dyDescent="0.25">
      <c r="B43" s="3"/>
      <c r="C43" s="28"/>
      <c r="D43" s="29"/>
      <c r="E43" s="124"/>
      <c r="F43" s="3"/>
      <c r="G43" s="2"/>
    </row>
    <row r="44" spans="2:7" x14ac:dyDescent="0.25">
      <c r="B44" s="3"/>
      <c r="C44" s="28"/>
      <c r="D44" s="29"/>
      <c r="E44" s="124"/>
      <c r="F44" s="3"/>
      <c r="G44" s="2"/>
    </row>
    <row r="45" spans="2:7" x14ac:dyDescent="0.25">
      <c r="B45" s="3"/>
      <c r="C45" s="28"/>
      <c r="D45" s="29"/>
      <c r="E45" s="124"/>
      <c r="F45" s="3"/>
      <c r="G45" s="2"/>
    </row>
    <row r="46" spans="2:7" x14ac:dyDescent="0.25">
      <c r="B46" s="3"/>
      <c r="C46" s="28"/>
      <c r="D46" s="29"/>
      <c r="E46" s="124"/>
      <c r="F46" s="3"/>
      <c r="G46" s="2"/>
    </row>
    <row r="47" spans="2:7" x14ac:dyDescent="0.25">
      <c r="B47" s="3"/>
      <c r="C47" s="28"/>
      <c r="D47" s="29"/>
      <c r="E47" s="124"/>
      <c r="F47" s="3"/>
      <c r="G47" s="2"/>
    </row>
    <row r="48" spans="2:7" x14ac:dyDescent="0.25">
      <c r="B48" s="3"/>
      <c r="C48" s="28"/>
      <c r="D48" s="29"/>
      <c r="E48" s="124"/>
      <c r="F48" s="3"/>
      <c r="G48" s="2"/>
    </row>
    <row r="49" spans="2:7" x14ac:dyDescent="0.25">
      <c r="B49" s="3"/>
      <c r="C49" s="28"/>
      <c r="D49" s="29"/>
      <c r="E49" s="124"/>
      <c r="F49" s="3"/>
      <c r="G49" s="2"/>
    </row>
    <row r="50" spans="2:7" x14ac:dyDescent="0.25">
      <c r="B50" s="3"/>
      <c r="C50" s="28"/>
      <c r="D50" s="29"/>
      <c r="E50" s="124"/>
      <c r="F50" s="3"/>
      <c r="G50" s="2"/>
    </row>
    <row r="51" spans="2:7" x14ac:dyDescent="0.25">
      <c r="B51" s="3"/>
      <c r="C51" s="28"/>
      <c r="D51" s="29"/>
      <c r="E51" s="124"/>
      <c r="F51" s="3"/>
      <c r="G51" s="2"/>
    </row>
    <row r="52" spans="2:7" x14ac:dyDescent="0.25">
      <c r="B52" s="3"/>
      <c r="C52" s="28"/>
      <c r="D52" s="29"/>
      <c r="E52" s="124"/>
      <c r="F52" s="3"/>
      <c r="G52" s="2"/>
    </row>
    <row r="53" spans="2:7" x14ac:dyDescent="0.25">
      <c r="B53" s="3"/>
      <c r="C53" s="28"/>
      <c r="D53" s="29"/>
      <c r="E53" s="124"/>
      <c r="F53" s="3"/>
      <c r="G53" s="2"/>
    </row>
    <row r="54" spans="2:7" x14ac:dyDescent="0.25">
      <c r="B54" s="3"/>
      <c r="C54" s="28"/>
      <c r="D54" s="29"/>
      <c r="E54" s="124"/>
      <c r="F54" s="3"/>
      <c r="G54" s="2"/>
    </row>
  </sheetData>
  <sortState ref="A8:G18">
    <sortCondition descending="1" ref="D8:D18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workbookViewId="0">
      <selection activeCell="B13" sqref="B13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10" x14ac:dyDescent="0.25">
      <c r="A1" s="16" t="s">
        <v>22</v>
      </c>
      <c r="B1" s="17" t="s">
        <v>1188</v>
      </c>
      <c r="C1" s="18"/>
      <c r="D1" s="18"/>
      <c r="E1" s="18"/>
      <c r="F1" s="18"/>
      <c r="G1" s="19"/>
    </row>
    <row r="2" spans="1:10" x14ac:dyDescent="0.25">
      <c r="A2" s="20" t="s">
        <v>23</v>
      </c>
      <c r="B2" s="21">
        <v>43146</v>
      </c>
      <c r="C2" s="22"/>
      <c r="D2" s="22"/>
      <c r="E2" s="22"/>
      <c r="F2" s="22"/>
      <c r="G2" s="23"/>
    </row>
    <row r="3" spans="1:10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10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10" x14ac:dyDescent="0.25">
      <c r="A5" s="20" t="s">
        <v>27</v>
      </c>
      <c r="B5" s="24" t="s">
        <v>885</v>
      </c>
      <c r="C5" s="22"/>
      <c r="D5" s="22"/>
      <c r="E5" s="22" t="s">
        <v>55</v>
      </c>
      <c r="F5" s="38">
        <f>AVERAGE(C8:C11)*(AVERAGE(D8:D11)/100)</f>
        <v>8.8934304525736009E-3</v>
      </c>
      <c r="G5" s="23"/>
    </row>
    <row r="6" spans="1:10" x14ac:dyDescent="0.25">
      <c r="A6" s="25" t="s">
        <v>29</v>
      </c>
      <c r="B6" s="26"/>
      <c r="C6" s="26"/>
      <c r="D6" s="26"/>
      <c r="E6" s="26"/>
      <c r="F6" s="26"/>
      <c r="G6" s="27"/>
    </row>
    <row r="7" spans="1:10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10" x14ac:dyDescent="0.25">
      <c r="A8" s="2">
        <v>1</v>
      </c>
      <c r="B8" s="3" t="s">
        <v>808</v>
      </c>
      <c r="C8" s="28">
        <f>TIME(0,21,48)</f>
        <v>1.5138888888888889E-2</v>
      </c>
      <c r="D8" s="29">
        <f>INDEX('Points Summary'!$F$4:$F$1143,G8)</f>
        <v>80.557714578078887</v>
      </c>
      <c r="E8" s="124">
        <f>(AVERAGE($D$8:$D$11)/100*AVERAGE($C$8:$C$11))/C8</f>
        <v>0.58745595650027449</v>
      </c>
      <c r="F8" s="3"/>
      <c r="G8" s="2">
        <f>MATCH(B8,'Points Summary'!$B$4:$B$1144,0)</f>
        <v>441</v>
      </c>
      <c r="J8" s="51"/>
    </row>
    <row r="9" spans="1:10" x14ac:dyDescent="0.25">
      <c r="A9" s="2">
        <v>2</v>
      </c>
      <c r="B9" s="3" t="s">
        <v>1189</v>
      </c>
      <c r="C9" s="28">
        <f>TIME(0,24,54)</f>
        <v>1.7291666666666667E-2</v>
      </c>
      <c r="D9" s="29">
        <f>INDEX('Points Summary'!$F$4:$F$1143,G9)</f>
        <v>0</v>
      </c>
      <c r="E9" s="124">
        <f>(AVERAGE($D$8:$D$11)/100*AVERAGE($C$8:$C$11))/C9</f>
        <v>0.51431886954642514</v>
      </c>
      <c r="F9" s="3"/>
      <c r="G9" s="2">
        <f>MATCH(B9,'Points Summary'!$B$4:$B$1144,0)</f>
        <v>117</v>
      </c>
      <c r="J9" s="51"/>
    </row>
    <row r="10" spans="1:10" x14ac:dyDescent="0.25">
      <c r="A10" s="42">
        <v>1</v>
      </c>
      <c r="B10" s="3" t="s">
        <v>429</v>
      </c>
      <c r="C10" s="28">
        <f>TIME(0,30,30)</f>
        <v>2.1180555555555553E-2</v>
      </c>
      <c r="D10" s="29">
        <f>INDEX('Points Summary'!$F$4:$F$1143,G10)</f>
        <v>60.167059647047935</v>
      </c>
      <c r="E10" s="124">
        <f>(AVERAGE($D$8:$D$11)/100*AVERAGE($C$8:$C$11))/C10</f>
        <v>0.41988655251495038</v>
      </c>
      <c r="F10" s="3"/>
      <c r="G10" s="2">
        <f>MATCH(B10,'Points Summary'!$B$4:$B$1144,0)</f>
        <v>40</v>
      </c>
      <c r="J10" s="51"/>
    </row>
    <row r="11" spans="1:10" x14ac:dyDescent="0.25">
      <c r="A11" s="2">
        <v>1</v>
      </c>
      <c r="B11" s="3" t="s">
        <v>888</v>
      </c>
      <c r="C11" s="28">
        <f>TIME(0,26,3)</f>
        <v>1.8090277777777778E-2</v>
      </c>
      <c r="D11" s="29">
        <f>INDEX('Points Summary'!$F$4:$F$1143,G11)</f>
        <v>57.730080619711707</v>
      </c>
      <c r="E11" s="124">
        <f>(AVERAGE($D$8:$D$11)/100*AVERAGE($C$8:$C$11))/C11</f>
        <v>0.49161381388506659</v>
      </c>
      <c r="F11" s="3"/>
      <c r="G11" s="2">
        <f>MATCH(B11,'Points Summary'!$B$4:$B$1144,0)</f>
        <v>422</v>
      </c>
      <c r="J11" s="51"/>
    </row>
    <row r="12" spans="1:10" x14ac:dyDescent="0.25">
      <c r="A12" s="2">
        <v>1</v>
      </c>
      <c r="B12" s="3" t="s">
        <v>361</v>
      </c>
      <c r="C12" s="28">
        <f>TIME(0,24,59)</f>
        <v>1.7349537037037038E-2</v>
      </c>
      <c r="D12" s="29">
        <f>INDEX('Points Summary'!$F$4:$F$1143,G12)</f>
        <v>58.583301661311417</v>
      </c>
      <c r="E12" s="124">
        <f t="shared" ref="E12:E20" si="0">(AVERAGE($D$8:$D$11)/100*AVERAGE($C$8:$C$11))/C12</f>
        <v>0.51260332962132027</v>
      </c>
      <c r="F12" s="3"/>
      <c r="G12" s="2">
        <f>MATCH(B12,'Points Summary'!$B$4:$B$1144,0)</f>
        <v>82</v>
      </c>
      <c r="J12" s="51"/>
    </row>
    <row r="13" spans="1:10" x14ac:dyDescent="0.25">
      <c r="A13" s="42">
        <v>2</v>
      </c>
      <c r="B13" s="3" t="s">
        <v>1190</v>
      </c>
      <c r="C13" s="28">
        <f>TIME(0,26,20)</f>
        <v>1.8287037037037036E-2</v>
      </c>
      <c r="D13" s="29">
        <f>INDEX('Points Summary'!$F$4:$F$1143,G13)</f>
        <v>0</v>
      </c>
      <c r="E13" s="124">
        <f t="shared" si="0"/>
        <v>0.48632429816605011</v>
      </c>
      <c r="F13" s="3"/>
      <c r="G13" s="2">
        <f>MATCH(B13,'Points Summary'!$B$4:$B$1144,0)</f>
        <v>324</v>
      </c>
      <c r="J13" s="51"/>
    </row>
    <row r="14" spans="1:10" x14ac:dyDescent="0.25">
      <c r="A14" s="42">
        <v>3</v>
      </c>
      <c r="B14" s="3" t="s">
        <v>726</v>
      </c>
      <c r="C14" s="28">
        <f>TIME(0,27,23)</f>
        <v>1.9016203703703705E-2</v>
      </c>
      <c r="D14" s="29">
        <f>INDEX('Points Summary'!$F$4:$F$1143,G14)</f>
        <v>60.110931808965049</v>
      </c>
      <c r="E14" s="124">
        <f t="shared" si="0"/>
        <v>0.46767644011099152</v>
      </c>
      <c r="F14" s="3"/>
      <c r="G14" s="2">
        <f>MATCH(B14,'Points Summary'!$B$4:$B$1144,0)</f>
        <v>51</v>
      </c>
      <c r="J14" s="51"/>
    </row>
    <row r="15" spans="1:10" x14ac:dyDescent="0.25">
      <c r="A15" s="2">
        <v>4</v>
      </c>
      <c r="B15" s="3" t="s">
        <v>717</v>
      </c>
      <c r="C15" s="28">
        <f>TIME(0,28,18)</f>
        <v>1.9652777777777779E-2</v>
      </c>
      <c r="D15" s="29">
        <f>INDEX('Points Summary'!$F$4:$F$1143,G15)</f>
        <v>56.657336543010217</v>
      </c>
      <c r="E15" s="124">
        <f t="shared" si="0"/>
        <v>0.45252790995427505</v>
      </c>
      <c r="F15" s="3"/>
      <c r="G15" s="2">
        <f>MATCH(B15,'Points Summary'!$B$4:$B$1144,0)</f>
        <v>237</v>
      </c>
      <c r="J15" s="51"/>
    </row>
    <row r="16" spans="1:10" x14ac:dyDescent="0.25">
      <c r="A16" s="42">
        <v>5</v>
      </c>
      <c r="B16" s="3" t="s">
        <v>1112</v>
      </c>
      <c r="C16" s="28">
        <f>TIME(0,31,11)</f>
        <v>2.165509259259259E-2</v>
      </c>
      <c r="D16" s="29">
        <f>INDEX('Points Summary'!$F$4:$F$1143,G16)</f>
        <v>47.147598821615667</v>
      </c>
      <c r="E16" s="124">
        <f t="shared" si="0"/>
        <v>0.41068540411670723</v>
      </c>
      <c r="F16" s="3"/>
      <c r="G16" s="2">
        <f>MATCH(B16,'Points Summary'!$B$4:$B$1144,0)</f>
        <v>194</v>
      </c>
      <c r="J16" s="51"/>
    </row>
    <row r="17" spans="1:10" x14ac:dyDescent="0.25">
      <c r="A17" s="42">
        <v>6</v>
      </c>
      <c r="B17" s="3" t="s">
        <v>1109</v>
      </c>
      <c r="C17" s="28">
        <f>TIME(0,31,18)</f>
        <v>2.1736111111111112E-2</v>
      </c>
      <c r="D17" s="29">
        <f>INDEX('Points Summary'!$F$4:$F$1143,G17)</f>
        <v>48.948958192586247</v>
      </c>
      <c r="E17" s="124">
        <f t="shared" si="0"/>
        <v>0.40915462785003148</v>
      </c>
      <c r="F17" s="3"/>
      <c r="G17" s="2">
        <f>MATCH(B17,'Points Summary'!$B$4:$B$1144,0)</f>
        <v>227</v>
      </c>
      <c r="J17" s="51"/>
    </row>
    <row r="18" spans="1:10" x14ac:dyDescent="0.25">
      <c r="A18" s="2">
        <v>1</v>
      </c>
      <c r="B18" s="3" t="s">
        <v>362</v>
      </c>
      <c r="C18" s="28">
        <f>TIME(0,29,19)</f>
        <v>2.0358796296296295E-2</v>
      </c>
      <c r="D18" s="29">
        <f>INDEX('Points Summary'!$F$4:$F$1143,G18)</f>
        <v>51.583230225978319</v>
      </c>
      <c r="E18" s="124">
        <f t="shared" si="0"/>
        <v>0.43683478743738441</v>
      </c>
      <c r="F18" s="3"/>
      <c r="G18" s="2">
        <f>MATCH(B18,'Points Summary'!$B$4:$B$1144,0)</f>
        <v>452</v>
      </c>
      <c r="J18" s="51"/>
    </row>
    <row r="19" spans="1:10" x14ac:dyDescent="0.25">
      <c r="A19" s="42">
        <v>2</v>
      </c>
      <c r="B19" s="3" t="s">
        <v>773</v>
      </c>
      <c r="C19" s="28">
        <f>TIME(0,31,17)</f>
        <v>2.1724537037037039E-2</v>
      </c>
      <c r="D19" s="29">
        <f>INDEX('Points Summary'!$F$4:$F$1143,G19)</f>
        <v>52.599685351480908</v>
      </c>
      <c r="E19" s="124">
        <f t="shared" si="0"/>
        <v>0.40937261113604639</v>
      </c>
      <c r="F19" s="3"/>
      <c r="G19" s="2">
        <f>MATCH(B19,'Points Summary'!$B$4:$B$1144,0)</f>
        <v>123</v>
      </c>
      <c r="J19" s="51"/>
    </row>
    <row r="20" spans="1:10" x14ac:dyDescent="0.25">
      <c r="A20" s="42">
        <v>1</v>
      </c>
      <c r="B20" s="3" t="s">
        <v>939</v>
      </c>
      <c r="C20" s="28">
        <f>TIME(0,30,36)</f>
        <v>2.1250000000000002E-2</v>
      </c>
      <c r="D20" s="29">
        <f>INDEX('Points Summary'!$F$4:$F$1143,G20)</f>
        <v>50.943424350252634</v>
      </c>
      <c r="E20" s="124">
        <f t="shared" si="0"/>
        <v>0.41851437423875765</v>
      </c>
      <c r="F20" s="3"/>
      <c r="G20" s="2">
        <f>MATCH(B20,'Points Summary'!$B$4:$B$1144,0)</f>
        <v>147</v>
      </c>
      <c r="J20" s="51"/>
    </row>
    <row r="21" spans="1:10" x14ac:dyDescent="0.25">
      <c r="A21" s="42"/>
      <c r="B21" s="3"/>
      <c r="C21" s="28"/>
      <c r="D21" s="29"/>
      <c r="E21" s="124"/>
      <c r="F21" s="3"/>
      <c r="G21" s="2"/>
      <c r="J21" s="51"/>
    </row>
    <row r="22" spans="1:10" x14ac:dyDescent="0.25">
      <c r="A22" s="42"/>
      <c r="B22" s="3"/>
      <c r="C22" s="28"/>
      <c r="D22" s="29"/>
      <c r="E22" s="124"/>
      <c r="F22" s="3"/>
      <c r="G22" s="2"/>
      <c r="J22" s="51"/>
    </row>
    <row r="23" spans="1:10" x14ac:dyDescent="0.25">
      <c r="A23" s="2"/>
      <c r="B23" s="3" t="s">
        <v>29</v>
      </c>
      <c r="C23" s="28"/>
      <c r="D23" s="29"/>
      <c r="E23" s="124"/>
      <c r="F23" s="3"/>
      <c r="G23" s="2"/>
      <c r="J23" s="51"/>
    </row>
    <row r="24" spans="1:10" x14ac:dyDescent="0.25">
      <c r="A24" s="42"/>
      <c r="B24" s="3"/>
      <c r="C24" s="28"/>
      <c r="D24" s="29"/>
      <c r="E24" s="124"/>
      <c r="F24" s="3"/>
      <c r="G24" s="2"/>
      <c r="J24" s="51"/>
    </row>
    <row r="25" spans="1:10" x14ac:dyDescent="0.25">
      <c r="A25" s="42"/>
      <c r="B25" s="3"/>
      <c r="C25" s="28"/>
      <c r="D25" s="29"/>
      <c r="E25" s="30"/>
      <c r="F25" s="3"/>
      <c r="G25" s="2"/>
    </row>
    <row r="26" spans="1:10" x14ac:dyDescent="0.25">
      <c r="A26" s="42"/>
      <c r="B26" s="3"/>
      <c r="C26" s="28"/>
      <c r="D26" s="29"/>
      <c r="E26" s="30"/>
      <c r="F26" s="3"/>
      <c r="G26" s="2"/>
    </row>
    <row r="27" spans="1:10" x14ac:dyDescent="0.25">
      <c r="A27" s="2"/>
      <c r="B27" s="3"/>
      <c r="C27" s="28"/>
      <c r="D27" s="29"/>
      <c r="E27" s="30"/>
      <c r="F27" s="3"/>
      <c r="G27" s="2"/>
    </row>
    <row r="28" spans="1:10" x14ac:dyDescent="0.25">
      <c r="A28" s="42"/>
      <c r="B28" s="3"/>
      <c r="C28" s="28"/>
      <c r="D28" s="29"/>
      <c r="E28" s="30"/>
      <c r="F28" s="3"/>
      <c r="G28" s="2"/>
    </row>
    <row r="29" spans="1:10" x14ac:dyDescent="0.25">
      <c r="A29" s="42"/>
      <c r="B29" s="3"/>
      <c r="C29" s="28"/>
      <c r="D29" s="29"/>
      <c r="E29" s="30"/>
      <c r="F29" s="3"/>
      <c r="G29" s="2"/>
    </row>
    <row r="30" spans="1:10" x14ac:dyDescent="0.25">
      <c r="A30" s="42"/>
      <c r="B30" s="3"/>
      <c r="C30" s="28"/>
      <c r="D30" s="29"/>
      <c r="E30" s="30"/>
      <c r="F30" s="3"/>
      <c r="G30" s="2"/>
    </row>
    <row r="31" spans="1:10" x14ac:dyDescent="0.25">
      <c r="A31" s="42"/>
      <c r="B31" s="3"/>
      <c r="C31" s="28"/>
      <c r="D31" s="29"/>
      <c r="E31" s="30"/>
      <c r="F31" s="3"/>
      <c r="G31" s="2"/>
    </row>
  </sheetData>
  <sortState ref="A8:G11">
    <sortCondition descending="1" ref="D8:D11"/>
  </sortState>
  <phoneticPr fontId="0" type="noConversion"/>
  <hyperlinks>
    <hyperlink ref="B8" r:id="rId1" display="http://services.biathlonresults.com/athletes.aspx?IbuId=BTUSA11702199701"/>
  </hyperlinks>
  <printOptions horizontalCentered="1"/>
  <pageMargins left="0.75" right="0.75" top="1" bottom="1" header="0.5" footer="0.5"/>
  <pageSetup orientation="portrait" horizontalDpi="4294967292" verticalDpi="1200" r:id="rId2"/>
  <headerFooter alignWithMargins="0">
    <oddHeader>&amp;L&amp;"Tahoma,Bold"&amp;11U.S Biathlon Association&amp;R&amp;"Tahoma,Bold"&amp;11 2018 Race Points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workbookViewId="0">
      <selection activeCell="C8" sqref="C8"/>
    </sheetView>
  </sheetViews>
  <sheetFormatPr defaultRowHeight="13.2" x14ac:dyDescent="0.25"/>
  <cols>
    <col min="2" max="2" width="24.6640625" customWidth="1"/>
    <col min="3" max="3" width="9.6640625" style="42" customWidth="1"/>
    <col min="4" max="7" width="9.6640625" customWidth="1"/>
  </cols>
  <sheetData>
    <row r="1" spans="1:11" x14ac:dyDescent="0.25">
      <c r="A1" s="16" t="s">
        <v>22</v>
      </c>
      <c r="B1" s="17" t="s">
        <v>1191</v>
      </c>
      <c r="C1" s="133"/>
      <c r="D1" s="18"/>
      <c r="E1" s="18"/>
      <c r="F1" s="18"/>
      <c r="G1" s="19"/>
    </row>
    <row r="2" spans="1:11" x14ac:dyDescent="0.25">
      <c r="A2" s="20" t="s">
        <v>23</v>
      </c>
      <c r="B2" s="21">
        <v>43155</v>
      </c>
      <c r="C2" s="56"/>
      <c r="D2" s="22"/>
      <c r="E2" s="22"/>
      <c r="F2" s="22"/>
      <c r="G2" s="23"/>
    </row>
    <row r="3" spans="1:11" x14ac:dyDescent="0.25">
      <c r="A3" s="20" t="s">
        <v>24</v>
      </c>
      <c r="B3" s="24" t="s">
        <v>42</v>
      </c>
      <c r="C3" s="56"/>
      <c r="D3" s="22"/>
      <c r="E3" s="22"/>
      <c r="F3" s="22"/>
      <c r="G3" s="23"/>
    </row>
    <row r="4" spans="1:11" x14ac:dyDescent="0.25">
      <c r="A4" s="20" t="s">
        <v>1</v>
      </c>
      <c r="B4" s="24" t="s">
        <v>26</v>
      </c>
      <c r="C4" s="56"/>
      <c r="D4" s="22"/>
      <c r="E4" s="22"/>
      <c r="F4" s="22"/>
      <c r="G4" s="23"/>
    </row>
    <row r="5" spans="1:11" x14ac:dyDescent="0.25">
      <c r="A5" s="20" t="s">
        <v>27</v>
      </c>
      <c r="B5" s="24" t="s">
        <v>1100</v>
      </c>
      <c r="C5" s="56"/>
      <c r="D5" s="22"/>
      <c r="E5" s="22" t="s">
        <v>55</v>
      </c>
      <c r="F5" s="38">
        <f>AVERAGE(C8:C12)*(AVERAGE(D8:D12)/100)</f>
        <v>1.4439121884624049E-2</v>
      </c>
      <c r="G5" s="23"/>
    </row>
    <row r="6" spans="1:11" x14ac:dyDescent="0.25">
      <c r="A6" s="25" t="s">
        <v>29</v>
      </c>
      <c r="B6" s="119"/>
      <c r="C6" s="134"/>
      <c r="D6" s="26"/>
      <c r="E6" s="26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11" x14ac:dyDescent="0.25">
      <c r="A8" s="2">
        <v>1</v>
      </c>
      <c r="B8" s="3" t="s">
        <v>292</v>
      </c>
      <c r="C8" s="51">
        <f>TIME(0,27,12)</f>
        <v>1.8888888888888889E-2</v>
      </c>
      <c r="D8" s="29">
        <f>INDEX('Points Summary'!$F$4:$F$1143,G8)</f>
        <v>87.317796744326898</v>
      </c>
      <c r="E8" s="124">
        <f t="shared" ref="E8:E22" si="0">(AVERAGE($D$8:$D$12)/100*AVERAGE($C$8:$C$12))/C8</f>
        <v>0.76442409977421433</v>
      </c>
      <c r="F8" s="3"/>
      <c r="G8" s="2">
        <f>MATCH(B8,'Points Summary'!$B$4:$B$1144,0)</f>
        <v>182</v>
      </c>
      <c r="I8" s="51"/>
      <c r="J8" s="51"/>
      <c r="K8" s="51"/>
    </row>
    <row r="9" spans="1:11" x14ac:dyDescent="0.25">
      <c r="A9" s="2">
        <v>1</v>
      </c>
      <c r="B9" s="3" t="s">
        <v>13</v>
      </c>
      <c r="C9" s="51">
        <f>TIME(0,29,7)</f>
        <v>2.0219907407407409E-2</v>
      </c>
      <c r="D9" s="29">
        <f>INDEX('Points Summary'!$F$4:$F$1143,G9)</f>
        <v>65.133504013378101</v>
      </c>
      <c r="E9" s="124">
        <f t="shared" si="0"/>
        <v>0.71410425348112061</v>
      </c>
      <c r="F9" s="3"/>
      <c r="G9" s="2">
        <f>MATCH(B9,'Points Summary'!$B$4:$B$1144,0)</f>
        <v>184</v>
      </c>
      <c r="I9" s="51"/>
      <c r="J9" s="51"/>
      <c r="K9" s="51"/>
    </row>
    <row r="10" spans="1:11" x14ac:dyDescent="0.25">
      <c r="A10" s="2">
        <v>2</v>
      </c>
      <c r="B10" s="3" t="s">
        <v>81</v>
      </c>
      <c r="C10" s="51">
        <f>TIME(0,33,29)</f>
        <v>2.3252314814814812E-2</v>
      </c>
      <c r="D10" s="29">
        <f>INDEX('Points Summary'!$F$4:$F$1143,G10)</f>
        <v>62.768852945054114</v>
      </c>
      <c r="E10" s="124">
        <f t="shared" si="0"/>
        <v>0.62097567487880434</v>
      </c>
      <c r="F10" s="3"/>
      <c r="G10" s="2">
        <f>MATCH(B10,'Points Summary'!$B$4:$B$1144,0)</f>
        <v>373</v>
      </c>
      <c r="I10" s="51"/>
      <c r="J10" s="51"/>
      <c r="K10" s="51"/>
    </row>
    <row r="11" spans="1:11" x14ac:dyDescent="0.25">
      <c r="A11" s="2">
        <v>3</v>
      </c>
      <c r="B11" s="3" t="s">
        <v>398</v>
      </c>
      <c r="C11" s="51">
        <f>TIME(0,32,20)</f>
        <v>2.2453703703703708E-2</v>
      </c>
      <c r="D11" s="29">
        <f>INDEX('Points Summary'!$F$4:$F$1143,G11)</f>
        <v>62.171754655505893</v>
      </c>
      <c r="E11" s="124">
        <f t="shared" si="0"/>
        <v>0.64306192310902965</v>
      </c>
      <c r="F11" s="3"/>
      <c r="G11" s="2">
        <f>MATCH(B11,'Points Summary'!$B$4:$B$1144,0)</f>
        <v>119</v>
      </c>
      <c r="I11" s="51"/>
      <c r="J11" s="51"/>
      <c r="K11" s="51"/>
    </row>
    <row r="12" spans="1:11" x14ac:dyDescent="0.25">
      <c r="A12" s="2">
        <v>2</v>
      </c>
      <c r="B12" s="3" t="s">
        <v>108</v>
      </c>
      <c r="C12" s="51">
        <f>TIME(0,31,18)</f>
        <v>2.1736111111111112E-2</v>
      </c>
      <c r="D12" s="29">
        <f>INDEX('Points Summary'!$F$4:$F$1143,G12)</f>
        <v>61.392615547752236</v>
      </c>
      <c r="E12" s="124">
        <f t="shared" si="0"/>
        <v>0.66429186945235241</v>
      </c>
      <c r="F12" s="3"/>
      <c r="G12" s="2">
        <f>MATCH(B12,'Points Summary'!$B$4:$B$1144,0)</f>
        <v>48</v>
      </c>
    </row>
    <row r="13" spans="1:11" x14ac:dyDescent="0.25">
      <c r="A13" s="2">
        <v>1</v>
      </c>
      <c r="B13" s="3" t="s">
        <v>12</v>
      </c>
      <c r="C13" s="51">
        <f>TIME(0,32,7)</f>
        <v>2.2303240740740738E-2</v>
      </c>
      <c r="D13" s="29">
        <f>INDEX('Points Summary'!$F$4:$F$1143,G13)</f>
        <v>59.284937701582372</v>
      </c>
      <c r="E13" s="124">
        <f t="shared" si="0"/>
        <v>0.64740017168215769</v>
      </c>
      <c r="F13" s="3"/>
      <c r="G13" s="2">
        <f>MATCH(B13,'Points Summary'!$B$4:$B$1144,0)</f>
        <v>292</v>
      </c>
    </row>
    <row r="14" spans="1:11" x14ac:dyDescent="0.25">
      <c r="A14" s="2">
        <v>4</v>
      </c>
      <c r="B14" s="3" t="s">
        <v>145</v>
      </c>
      <c r="C14" s="51">
        <f>TIME(0,34,47)</f>
        <v>2.4155092592592589E-2</v>
      </c>
      <c r="D14" s="29">
        <f>INDEX('Points Summary'!$F$4:$F$1143,G14)</f>
        <v>58.80339108596209</v>
      </c>
      <c r="E14" s="124">
        <f t="shared" si="0"/>
        <v>0.59776719254025779</v>
      </c>
      <c r="F14" s="3"/>
      <c r="G14" s="2">
        <f>MATCH(B14,'Points Summary'!$B$4:$B$1144,0)</f>
        <v>447</v>
      </c>
    </row>
    <row r="15" spans="1:11" x14ac:dyDescent="0.25">
      <c r="A15" s="2">
        <v>5</v>
      </c>
      <c r="B15" s="3" t="s">
        <v>1071</v>
      </c>
      <c r="C15" s="51">
        <f>TIME(0,35,5)</f>
        <v>2.4363425925925927E-2</v>
      </c>
      <c r="D15" s="29">
        <f>INDEX('Points Summary'!$F$4:$F$1143,G15)</f>
        <v>56.907906436999781</v>
      </c>
      <c r="E15" s="124">
        <f t="shared" si="0"/>
        <v>0.59265564410048344</v>
      </c>
      <c r="F15" s="3"/>
      <c r="G15" s="2">
        <f>MATCH(B15,'Points Summary'!$B$4:$B$1144,0)</f>
        <v>215</v>
      </c>
    </row>
    <row r="16" spans="1:11" x14ac:dyDescent="0.25">
      <c r="A16" s="2">
        <v>2</v>
      </c>
      <c r="B16" s="3" t="s">
        <v>430</v>
      </c>
      <c r="C16" s="51">
        <f>TIME(0,32,4)</f>
        <v>2.2268518518518521E-2</v>
      </c>
      <c r="D16" s="29">
        <f>INDEX('Points Summary'!$F$4:$F$1143,G16)</f>
        <v>56.644741897495145</v>
      </c>
      <c r="E16" s="124">
        <f t="shared" si="0"/>
        <v>0.64840963140931274</v>
      </c>
      <c r="F16" s="3"/>
      <c r="G16" s="2">
        <f>MATCH(B16,'Points Summary'!$B$4:$B$1144,0)</f>
        <v>67</v>
      </c>
    </row>
    <row r="17" spans="1:7" x14ac:dyDescent="0.25">
      <c r="A17" s="2">
        <v>6</v>
      </c>
      <c r="B17" s="3" t="s">
        <v>184</v>
      </c>
      <c r="C17" s="51">
        <f>TIME(0,36,36)</f>
        <v>2.5416666666666667E-2</v>
      </c>
      <c r="D17" s="29">
        <f>INDEX('Points Summary'!$F$4:$F$1143,G17)</f>
        <v>54.64347683246401</v>
      </c>
      <c r="E17" s="124">
        <f t="shared" si="0"/>
        <v>0.56809659873930685</v>
      </c>
      <c r="F17" s="3"/>
      <c r="G17" s="2">
        <f>MATCH(B17,'Points Summary'!$B$4:$B$1144,0)</f>
        <v>346</v>
      </c>
    </row>
    <row r="18" spans="1:7" x14ac:dyDescent="0.25">
      <c r="A18" s="2">
        <v>3</v>
      </c>
      <c r="B18" s="3" t="s">
        <v>422</v>
      </c>
      <c r="C18" s="51">
        <f>TIME(0,39,38)</f>
        <v>2.7523148148148147E-2</v>
      </c>
      <c r="D18" s="29">
        <f>INDEX('Points Summary'!$F$4:$F$1143,G18)</f>
        <v>53.267725340335318</v>
      </c>
      <c r="E18" s="124">
        <f t="shared" si="0"/>
        <v>0.52461738050105877</v>
      </c>
      <c r="F18" s="3"/>
      <c r="G18" s="2">
        <f>MATCH(B18,'Points Summary'!$B$4:$B$1144,0)</f>
        <v>249</v>
      </c>
    </row>
    <row r="19" spans="1:7" x14ac:dyDescent="0.25">
      <c r="A19" s="2">
        <v>7</v>
      </c>
      <c r="B19" s="3" t="s">
        <v>362</v>
      </c>
      <c r="C19" s="51">
        <f>TIME(0,37,35)</f>
        <v>2.6099537037037036E-2</v>
      </c>
      <c r="D19" s="29">
        <f>INDEX('Points Summary'!$F$4:$F$1143,G19)</f>
        <v>51.583230225978319</v>
      </c>
      <c r="E19" s="124">
        <f t="shared" si="0"/>
        <v>0.55323287398293475</v>
      </c>
      <c r="F19" s="3"/>
      <c r="G19" s="2">
        <f>MATCH(B19,'Points Summary'!$B$4:$B$1144,0)</f>
        <v>452</v>
      </c>
    </row>
    <row r="20" spans="1:7" x14ac:dyDescent="0.25">
      <c r="A20" s="2">
        <v>8</v>
      </c>
      <c r="B20" s="3" t="s">
        <v>110</v>
      </c>
      <c r="C20" s="51">
        <f>TIME(0,39,43)</f>
        <v>2.7581018518518519E-2</v>
      </c>
      <c r="D20" s="29">
        <f>INDEX('Points Summary'!$F$4:$F$1143,G20)</f>
        <v>46.935970923567815</v>
      </c>
      <c r="E20" s="124">
        <f t="shared" si="0"/>
        <v>0.52351663064688114</v>
      </c>
      <c r="F20" s="3"/>
      <c r="G20" s="2">
        <f>MATCH(B20,'Points Summary'!$B$4:$B$1144,0)</f>
        <v>385</v>
      </c>
    </row>
    <row r="21" spans="1:7" x14ac:dyDescent="0.25">
      <c r="A21" s="2">
        <v>9</v>
      </c>
      <c r="B21" s="3" t="s">
        <v>1101</v>
      </c>
      <c r="C21" s="51">
        <f>TIME(0,48,5)</f>
        <v>3.3391203703703708E-2</v>
      </c>
      <c r="D21" s="29">
        <f>INDEX('Points Summary'!$F$4:$F$1143,G21)</f>
        <v>39.605289352824414</v>
      </c>
      <c r="E21" s="124">
        <f t="shared" si="0"/>
        <v>0.43242292229861962</v>
      </c>
      <c r="F21" s="3"/>
      <c r="G21" s="2">
        <f>MATCH(B21,'Points Summary'!$B$4:$B$1144,0)</f>
        <v>96</v>
      </c>
    </row>
    <row r="22" spans="1:7" x14ac:dyDescent="0.25">
      <c r="A22" s="2">
        <v>1</v>
      </c>
      <c r="B22" s="3" t="s">
        <v>56</v>
      </c>
      <c r="C22" s="51">
        <f>TIME(0,55,48)</f>
        <v>3.875E-2</v>
      </c>
      <c r="D22" s="29">
        <f>INDEX('Points Summary'!$F$4:$F$1143,G22)</f>
        <v>34.5609862378993</v>
      </c>
      <c r="E22" s="124">
        <f t="shared" si="0"/>
        <v>0.37262250024836252</v>
      </c>
      <c r="F22" s="3"/>
      <c r="G22" s="2">
        <f>MATCH(B22,'Points Summary'!$B$4:$B$1144,0)</f>
        <v>185</v>
      </c>
    </row>
    <row r="23" spans="1:7" x14ac:dyDescent="0.25">
      <c r="A23" s="42"/>
      <c r="B23" s="3"/>
      <c r="C23" s="51"/>
      <c r="D23" s="29"/>
      <c r="E23" s="30"/>
      <c r="F23" s="3"/>
      <c r="G23" s="2"/>
    </row>
    <row r="24" spans="1:7" x14ac:dyDescent="0.25">
      <c r="A24" s="42"/>
      <c r="B24" s="3"/>
      <c r="C24" s="51"/>
      <c r="D24" s="29"/>
      <c r="E24" s="30"/>
      <c r="F24" s="3"/>
      <c r="G24" s="2"/>
    </row>
    <row r="25" spans="1:7" x14ac:dyDescent="0.25">
      <c r="A25" s="42"/>
      <c r="B25" s="3"/>
      <c r="C25" s="51"/>
      <c r="D25" s="29"/>
      <c r="E25" s="30"/>
      <c r="F25" s="3"/>
      <c r="G25" s="2"/>
    </row>
    <row r="26" spans="1:7" x14ac:dyDescent="0.25">
      <c r="A26" s="42"/>
      <c r="B26" s="3"/>
      <c r="C26" s="51"/>
      <c r="D26" s="29"/>
      <c r="E26" s="30"/>
      <c r="F26" s="3"/>
      <c r="G26" s="2"/>
    </row>
    <row r="27" spans="1:7" x14ac:dyDescent="0.25">
      <c r="A27" s="42"/>
      <c r="B27" s="3"/>
      <c r="C27" s="51"/>
      <c r="D27" s="29"/>
      <c r="E27" s="30"/>
      <c r="F27" s="3"/>
      <c r="G27" s="2"/>
    </row>
    <row r="28" spans="1:7" x14ac:dyDescent="0.25">
      <c r="A28" s="42"/>
      <c r="B28" s="3"/>
      <c r="C28" s="51"/>
      <c r="D28" s="29"/>
      <c r="E28" s="30"/>
      <c r="F28" s="3"/>
      <c r="G28" s="2"/>
    </row>
    <row r="29" spans="1:7" x14ac:dyDescent="0.25">
      <c r="A29" s="42"/>
      <c r="B29" s="3"/>
      <c r="C29" s="51"/>
      <c r="D29" s="29"/>
      <c r="E29" s="30"/>
      <c r="F29" s="3"/>
      <c r="G29" s="2"/>
    </row>
    <row r="30" spans="1:7" x14ac:dyDescent="0.25">
      <c r="A30" s="42"/>
      <c r="B30" s="3"/>
      <c r="C30" s="51"/>
      <c r="D30" s="29"/>
      <c r="E30" s="30"/>
      <c r="F30" s="3"/>
      <c r="G30" s="2"/>
    </row>
    <row r="31" spans="1:7" x14ac:dyDescent="0.25">
      <c r="A31" s="42"/>
      <c r="B31" s="3"/>
      <c r="C31" s="51"/>
      <c r="D31" s="29"/>
      <c r="E31" s="30"/>
      <c r="F31" s="3"/>
      <c r="G31" s="2"/>
    </row>
    <row r="32" spans="1:7" x14ac:dyDescent="0.25">
      <c r="A32" s="42"/>
      <c r="B32" s="3"/>
      <c r="C32" s="51"/>
      <c r="D32" s="29"/>
      <c r="E32" s="30"/>
      <c r="F32" s="3"/>
      <c r="G32" s="2"/>
    </row>
    <row r="33" spans="1:7" x14ac:dyDescent="0.25">
      <c r="A33" s="42"/>
      <c r="B33" s="3"/>
      <c r="C33" s="51"/>
      <c r="D33" s="29"/>
      <c r="E33" s="30"/>
      <c r="F33" s="3"/>
      <c r="G33" s="2"/>
    </row>
    <row r="34" spans="1:7" x14ac:dyDescent="0.25">
      <c r="A34" s="42"/>
      <c r="C34" s="51"/>
      <c r="D34" s="29"/>
      <c r="E34" s="30"/>
      <c r="F34" s="3"/>
      <c r="G34" s="2"/>
    </row>
    <row r="35" spans="1:7" x14ac:dyDescent="0.25">
      <c r="A35" s="42"/>
      <c r="C35" s="51"/>
      <c r="D35" s="29"/>
      <c r="E35" s="30"/>
      <c r="F35" s="3"/>
      <c r="G35" s="2"/>
    </row>
    <row r="36" spans="1:7" x14ac:dyDescent="0.25">
      <c r="A36" s="42"/>
      <c r="C36" s="51"/>
      <c r="D36" s="29"/>
      <c r="E36" s="30"/>
      <c r="F36" s="3"/>
      <c r="G36" s="2"/>
    </row>
    <row r="37" spans="1:7" x14ac:dyDescent="0.25">
      <c r="A37" s="42"/>
      <c r="C37" s="51"/>
      <c r="D37" s="29"/>
      <c r="E37" s="30"/>
      <c r="F37" s="3"/>
      <c r="G37" s="2"/>
    </row>
    <row r="38" spans="1:7" x14ac:dyDescent="0.25">
      <c r="A38" s="42"/>
      <c r="C38" s="51"/>
      <c r="D38" s="29"/>
      <c r="E38" s="30"/>
      <c r="F38" s="3"/>
      <c r="G38" s="2"/>
    </row>
    <row r="39" spans="1:7" x14ac:dyDescent="0.25">
      <c r="A39" s="42"/>
      <c r="C39" s="51"/>
      <c r="D39" s="29"/>
      <c r="E39" s="30"/>
      <c r="F39" s="3"/>
      <c r="G39" s="2"/>
    </row>
    <row r="40" spans="1:7" x14ac:dyDescent="0.25">
      <c r="A40" s="42"/>
      <c r="C40" s="51"/>
      <c r="D40" s="29"/>
      <c r="E40" s="30"/>
      <c r="F40" s="3"/>
      <c r="G40" s="2"/>
    </row>
    <row r="41" spans="1:7" x14ac:dyDescent="0.25">
      <c r="A41" s="42"/>
      <c r="C41" s="51"/>
      <c r="D41" s="29"/>
      <c r="E41" s="30"/>
      <c r="F41" s="3"/>
      <c r="G41" s="2"/>
    </row>
    <row r="42" spans="1:7" x14ac:dyDescent="0.25">
      <c r="A42" s="42"/>
      <c r="C42" s="51"/>
      <c r="D42" s="29"/>
      <c r="E42" s="30"/>
      <c r="F42" s="3"/>
      <c r="G42" s="2"/>
    </row>
    <row r="43" spans="1:7" x14ac:dyDescent="0.25">
      <c r="A43" s="42"/>
      <c r="C43" s="51"/>
      <c r="D43" s="29"/>
      <c r="E43" s="30"/>
      <c r="F43" s="3"/>
      <c r="G43" s="2"/>
    </row>
    <row r="44" spans="1:7" x14ac:dyDescent="0.25">
      <c r="A44" s="42"/>
      <c r="C44" s="51"/>
      <c r="D44" s="29"/>
      <c r="E44" s="30"/>
      <c r="F44" s="3"/>
      <c r="G44" s="2"/>
    </row>
    <row r="45" spans="1:7" x14ac:dyDescent="0.25">
      <c r="A45" s="42"/>
      <c r="C45" s="51"/>
      <c r="D45" s="29"/>
      <c r="E45" s="30"/>
      <c r="F45" s="3"/>
      <c r="G45" s="2"/>
    </row>
  </sheetData>
  <sortState ref="A8:G22">
    <sortCondition descending="1" ref="D8:D22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"/>
  <sheetViews>
    <sheetView workbookViewId="0">
      <selection activeCell="B1" sqref="B1:B2"/>
    </sheetView>
  </sheetViews>
  <sheetFormatPr defaultRowHeight="13.2" x14ac:dyDescent="0.25"/>
  <cols>
    <col min="2" max="2" width="24.6640625" customWidth="1"/>
    <col min="3" max="7" width="9.6640625" customWidth="1"/>
    <col min="8" max="8" width="9.88671875" bestFit="1" customWidth="1"/>
  </cols>
  <sheetData>
    <row r="1" spans="1:8" x14ac:dyDescent="0.25">
      <c r="A1" s="16" t="s">
        <v>22</v>
      </c>
      <c r="B1" s="17" t="s">
        <v>1192</v>
      </c>
      <c r="C1" s="18"/>
      <c r="D1" s="18"/>
      <c r="E1" s="18"/>
      <c r="F1" s="18"/>
      <c r="G1" s="19"/>
    </row>
    <row r="2" spans="1:8" x14ac:dyDescent="0.25">
      <c r="A2" s="20" t="s">
        <v>23</v>
      </c>
      <c r="B2" s="21">
        <v>43149</v>
      </c>
      <c r="C2" s="22"/>
      <c r="D2" s="22"/>
      <c r="E2" s="22"/>
      <c r="F2" s="22"/>
      <c r="G2" s="23"/>
    </row>
    <row r="3" spans="1:8" x14ac:dyDescent="0.25">
      <c r="A3" s="20" t="s">
        <v>24</v>
      </c>
      <c r="B3" s="24" t="s">
        <v>421</v>
      </c>
      <c r="C3" s="22"/>
      <c r="D3" s="22"/>
      <c r="E3" s="22"/>
      <c r="F3" s="22"/>
      <c r="G3" s="23"/>
    </row>
    <row r="4" spans="1:8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8" x14ac:dyDescent="0.25">
      <c r="A5" s="20" t="s">
        <v>27</v>
      </c>
      <c r="B5" s="24" t="s">
        <v>1193</v>
      </c>
      <c r="C5" s="22"/>
      <c r="D5" s="22"/>
      <c r="E5" s="22" t="s">
        <v>55</v>
      </c>
      <c r="F5" s="38">
        <f>AVERAGE(C8:C12)*(AVERAGE(D8:D12)/100)</f>
        <v>2.6978755468600162E-2</v>
      </c>
      <c r="G5" s="23"/>
    </row>
    <row r="6" spans="1:8" x14ac:dyDescent="0.25">
      <c r="A6" s="25" t="s">
        <v>29</v>
      </c>
      <c r="B6" s="119"/>
      <c r="C6" s="26"/>
      <c r="D6" s="26"/>
      <c r="E6" s="26"/>
      <c r="F6" s="26"/>
      <c r="G6" s="27"/>
    </row>
    <row r="7" spans="1:8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8" x14ac:dyDescent="0.25">
      <c r="A8" s="2">
        <v>1</v>
      </c>
      <c r="B8" s="3" t="s">
        <v>846</v>
      </c>
      <c r="C8" s="51">
        <v>3.1608796296296295E-2</v>
      </c>
      <c r="D8" s="29">
        <f>INDEX('Points Summary'!$F$4:$F$1143,G8)</f>
        <v>80.041551324306269</v>
      </c>
      <c r="E8" s="124">
        <f>(AVERAGE($D$8:$D$12)/100*AVERAGE($C$8:$C$12))/C8</f>
        <v>0.85352049523509854</v>
      </c>
      <c r="F8" s="3"/>
      <c r="G8" s="2">
        <f>MATCH(B8,'Points Summary'!$B$4:$B$1144,0)</f>
        <v>168</v>
      </c>
      <c r="H8" s="72"/>
    </row>
    <row r="9" spans="1:8" x14ac:dyDescent="0.25">
      <c r="A9" s="2">
        <v>9</v>
      </c>
      <c r="B9" s="3" t="s">
        <v>164</v>
      </c>
      <c r="C9" s="51">
        <v>3.740740740740741E-2</v>
      </c>
      <c r="D9" s="29">
        <f>INDEX('Points Summary'!$F$4:$F$1143,G9)</f>
        <v>79.383543933261251</v>
      </c>
      <c r="E9" s="124">
        <f>(AVERAGE($D$8:$D$12)/100*AVERAGE($C$8:$C$12))/C9</f>
        <v>0.72121425510119241</v>
      </c>
      <c r="F9" s="3"/>
      <c r="G9" s="2">
        <f>MATCH(B9,'Points Summary'!$B$4:$B$1144,0)</f>
        <v>314</v>
      </c>
      <c r="H9" s="72"/>
    </row>
    <row r="10" spans="1:8" x14ac:dyDescent="0.25">
      <c r="A10" s="2">
        <v>3</v>
      </c>
      <c r="B10" s="3" t="s">
        <v>847</v>
      </c>
      <c r="C10" s="51">
        <v>3.246527777777778E-2</v>
      </c>
      <c r="D10" s="29">
        <f>INDEX('Points Summary'!$F$4:$F$1143,G10)</f>
        <v>77.868356934222959</v>
      </c>
      <c r="E10" s="124">
        <f>(AVERAGE($D$8:$D$12)/100*AVERAGE($C$8:$C$12))/C10</f>
        <v>0.83100337700073224</v>
      </c>
      <c r="F10" s="3"/>
      <c r="G10" s="2">
        <f>MATCH(B10,'Points Summary'!$B$4:$B$1144,0)</f>
        <v>446</v>
      </c>
      <c r="H10" s="72"/>
    </row>
    <row r="11" spans="1:8" x14ac:dyDescent="0.25">
      <c r="A11" s="2">
        <v>4</v>
      </c>
      <c r="B11" s="3" t="s">
        <v>165</v>
      </c>
      <c r="C11" s="51">
        <v>3.3981481481481481E-2</v>
      </c>
      <c r="D11" s="29">
        <f>INDEX('Points Summary'!$F$4:$F$1143,G11)</f>
        <v>73.043560901441296</v>
      </c>
      <c r="E11" s="124">
        <f>(AVERAGE($D$8:$D$12)/100*AVERAGE($C$8:$C$12))/C11</f>
        <v>0.79392522904872409</v>
      </c>
      <c r="F11" s="3"/>
      <c r="G11" s="2">
        <f>MATCH(B11,'Points Summary'!$B$4:$B$1144,0)</f>
        <v>367</v>
      </c>
      <c r="H11" s="72"/>
    </row>
    <row r="12" spans="1:8" x14ac:dyDescent="0.25">
      <c r="A12" s="2">
        <v>14</v>
      </c>
      <c r="B12" s="3" t="s">
        <v>1038</v>
      </c>
      <c r="C12" s="51">
        <v>4.0983796296296296E-2</v>
      </c>
      <c r="D12" s="29">
        <f>INDEX('Points Summary'!$F$4:$F$1143,G12)</f>
        <v>71.913638347741283</v>
      </c>
      <c r="E12" s="124">
        <f>(AVERAGE($D$8:$D$12)/100*AVERAGE($C$8:$C$12))/C12</f>
        <v>0.65827858584779841</v>
      </c>
      <c r="F12" s="3"/>
      <c r="G12" s="2">
        <f>MATCH(B12,'Points Summary'!$B$4:$B$1144,0)</f>
        <v>55</v>
      </c>
      <c r="H12" s="72"/>
    </row>
    <row r="13" spans="1:8" x14ac:dyDescent="0.25">
      <c r="A13" s="2">
        <v>3</v>
      </c>
      <c r="B13" s="3" t="s">
        <v>802</v>
      </c>
      <c r="C13" s="51">
        <v>3.6134259259259262E-2</v>
      </c>
      <c r="D13" s="29">
        <f>INDEX('Points Summary'!$F$4:$F$1143,G13)</f>
        <v>71.344668189812722</v>
      </c>
      <c r="E13" s="124">
        <f t="shared" ref="E13:E43" si="0">(AVERAGE($D$8:$D$12)/100*AVERAGE($C$8:$C$12))/C13</f>
        <v>0.74662539157176611</v>
      </c>
      <c r="F13" s="3"/>
      <c r="G13" s="2">
        <f>MATCH(B13,'Points Summary'!$B$4:$B$1144,0)</f>
        <v>196</v>
      </c>
      <c r="H13" s="72"/>
    </row>
    <row r="14" spans="1:8" x14ac:dyDescent="0.25">
      <c r="A14" s="2">
        <v>17</v>
      </c>
      <c r="B14" s="3" t="s">
        <v>716</v>
      </c>
      <c r="C14" s="51">
        <v>4.6504629629629625E-2</v>
      </c>
      <c r="D14" s="29">
        <f>INDEX('Points Summary'!$F$4:$F$1143,G14)</f>
        <v>70.29271979730774</v>
      </c>
      <c r="E14" s="124">
        <f t="shared" si="0"/>
        <v>0.58013053073346299</v>
      </c>
      <c r="F14" s="3"/>
      <c r="G14" s="2">
        <f>MATCH(B14,'Points Summary'!$B$4:$B$1144,0)</f>
        <v>384</v>
      </c>
      <c r="H14" s="72"/>
    </row>
    <row r="15" spans="1:8" x14ac:dyDescent="0.25">
      <c r="A15" s="2">
        <v>6</v>
      </c>
      <c r="B15" s="3" t="s">
        <v>71</v>
      </c>
      <c r="C15" s="51">
        <v>3.5995370370370372E-2</v>
      </c>
      <c r="D15" s="29">
        <f>INDEX('Points Summary'!$F$4:$F$1143,G15)</f>
        <v>69.764333832680848</v>
      </c>
      <c r="E15" s="124">
        <f t="shared" si="0"/>
        <v>0.74950626124985653</v>
      </c>
      <c r="F15" s="3"/>
      <c r="G15" s="2">
        <f>MATCH(B15,'Points Summary'!$B$4:$B$1144,0)</f>
        <v>431</v>
      </c>
      <c r="H15" s="72"/>
    </row>
    <row r="16" spans="1:8" x14ac:dyDescent="0.25">
      <c r="A16" s="2">
        <v>11</v>
      </c>
      <c r="B16" s="3" t="s">
        <v>113</v>
      </c>
      <c r="C16" s="51">
        <v>3.7638888888888895E-2</v>
      </c>
      <c r="D16" s="29">
        <f>INDEX('Points Summary'!$F$4:$F$1143,G16)</f>
        <v>69.43679629570974</v>
      </c>
      <c r="E16" s="124">
        <f t="shared" si="0"/>
        <v>0.7167787430771998</v>
      </c>
      <c r="F16" s="3"/>
      <c r="G16" s="2">
        <f>MATCH(B16,'Points Summary'!$B$4:$B$1144,0)</f>
        <v>413</v>
      </c>
      <c r="H16" s="72"/>
    </row>
    <row r="17" spans="1:8" x14ac:dyDescent="0.25">
      <c r="A17" s="2">
        <v>5</v>
      </c>
      <c r="B17" s="3" t="s">
        <v>760</v>
      </c>
      <c r="C17" s="51">
        <v>3.5543981481481475E-2</v>
      </c>
      <c r="D17" s="29">
        <f>INDEX('Points Summary'!$F$4:$F$1143,G17)</f>
        <v>69.297287718197794</v>
      </c>
      <c r="E17" s="124">
        <f t="shared" si="0"/>
        <v>0.75902457586683636</v>
      </c>
      <c r="F17" s="3"/>
      <c r="G17" s="2">
        <f>MATCH(B17,'Points Summary'!$B$4:$B$1144,0)</f>
        <v>337</v>
      </c>
      <c r="H17" s="72"/>
    </row>
    <row r="18" spans="1:8" x14ac:dyDescent="0.25">
      <c r="A18" s="2">
        <v>7</v>
      </c>
      <c r="B18" s="3" t="s">
        <v>106</v>
      </c>
      <c r="C18" s="51">
        <v>3.6990740740740741E-2</v>
      </c>
      <c r="D18" s="29">
        <f>INDEX('Points Summary'!$F$4:$F$1143,G18)</f>
        <v>68.483457061753498</v>
      </c>
      <c r="E18" s="124">
        <f t="shared" si="0"/>
        <v>0.72933807024000441</v>
      </c>
      <c r="F18" s="3"/>
      <c r="G18" s="2">
        <f>MATCH(B18,'Points Summary'!$B$4:$B$1144,0)</f>
        <v>45</v>
      </c>
      <c r="H18" s="72"/>
    </row>
    <row r="19" spans="1:8" x14ac:dyDescent="0.25">
      <c r="A19" s="2">
        <v>12</v>
      </c>
      <c r="B19" s="3" t="s">
        <v>8</v>
      </c>
      <c r="C19" s="51">
        <v>3.7870370370370367E-2</v>
      </c>
      <c r="D19" s="29">
        <f>INDEX('Points Summary'!$F$4:$F$1143,G19)</f>
        <v>67.132561141984624</v>
      </c>
      <c r="E19" s="124">
        <f t="shared" si="0"/>
        <v>0.71239745491658135</v>
      </c>
      <c r="F19" s="3"/>
      <c r="G19" s="2">
        <f>MATCH(B19,'Points Summary'!$B$4:$B$1144,0)</f>
        <v>89</v>
      </c>
      <c r="H19" s="72"/>
    </row>
    <row r="20" spans="1:8" x14ac:dyDescent="0.25">
      <c r="A20" s="2">
        <v>4</v>
      </c>
      <c r="B20" s="3" t="s">
        <v>498</v>
      </c>
      <c r="C20" s="51">
        <v>3.8657407407407404E-2</v>
      </c>
      <c r="D20" s="29">
        <f>INDEX('Points Summary'!$F$4:$F$1143,G20)</f>
        <v>66.908574168551169</v>
      </c>
      <c r="E20" s="124">
        <f t="shared" si="0"/>
        <v>0.69789355463684255</v>
      </c>
      <c r="F20" s="3"/>
      <c r="G20" s="2">
        <f>MATCH(B20,'Points Summary'!$B$4:$B$1144,0)</f>
        <v>127</v>
      </c>
      <c r="H20" s="72"/>
    </row>
    <row r="21" spans="1:8" x14ac:dyDescent="0.25">
      <c r="A21" s="2">
        <v>10</v>
      </c>
      <c r="B21" s="3" t="s">
        <v>715</v>
      </c>
      <c r="C21" s="51">
        <v>3.7557870370370373E-2</v>
      </c>
      <c r="D21" s="29">
        <f>INDEX('Points Summary'!$F$4:$F$1143,G21)</f>
        <v>66.618351292376403</v>
      </c>
      <c r="E21" s="124">
        <f t="shared" si="0"/>
        <v>0.71832495300063293</v>
      </c>
      <c r="F21" s="3"/>
      <c r="G21" s="2">
        <f>MATCH(B21,'Points Summary'!$B$4:$B$1144,0)</f>
        <v>236</v>
      </c>
      <c r="H21" s="72"/>
    </row>
    <row r="22" spans="1:8" x14ac:dyDescent="0.25">
      <c r="A22" s="2">
        <v>13</v>
      </c>
      <c r="B22" s="3" t="s">
        <v>768</v>
      </c>
      <c r="C22" s="51">
        <v>3.7951388888888889E-2</v>
      </c>
      <c r="D22" s="29">
        <f>INDEX('Points Summary'!$F$4:$F$1143,G22)</f>
        <v>65.172236219457318</v>
      </c>
      <c r="E22" s="124">
        <f t="shared" si="0"/>
        <v>0.71087663082862274</v>
      </c>
      <c r="F22" s="3"/>
      <c r="G22" s="2">
        <f>MATCH(B22,'Points Summary'!$B$4:$B$1144,0)</f>
        <v>202</v>
      </c>
      <c r="H22" s="72"/>
    </row>
    <row r="23" spans="1:8" x14ac:dyDescent="0.25">
      <c r="A23" s="2">
        <v>15</v>
      </c>
      <c r="B23" s="3" t="s">
        <v>664</v>
      </c>
      <c r="C23" s="51">
        <v>4.1469907407407407E-2</v>
      </c>
      <c r="D23" s="29">
        <f>INDEX('Points Summary'!$F$4:$F$1143,G23)</f>
        <v>62.249107445641606</v>
      </c>
      <c r="E23" s="124">
        <f t="shared" si="0"/>
        <v>0.65056223066900754</v>
      </c>
      <c r="F23" s="3"/>
      <c r="G23" s="2">
        <f>MATCH(B23,'Points Summary'!$B$4:$B$1144,0)</f>
        <v>264</v>
      </c>
      <c r="H23" s="72"/>
    </row>
    <row r="24" spans="1:8" x14ac:dyDescent="0.25">
      <c r="A24" s="2">
        <v>5</v>
      </c>
      <c r="B24" s="3" t="s">
        <v>766</v>
      </c>
      <c r="C24" s="51">
        <v>3.8854166666666669E-2</v>
      </c>
      <c r="D24" s="29">
        <f>INDEX('Points Summary'!$F$4:$F$1143,G24)</f>
        <v>62.216529499468166</v>
      </c>
      <c r="E24" s="124">
        <f t="shared" si="0"/>
        <v>0.69435939007657255</v>
      </c>
      <c r="F24" s="3"/>
      <c r="G24" s="2">
        <f>MATCH(B24,'Points Summary'!$B$4:$B$1144,0)</f>
        <v>432</v>
      </c>
      <c r="H24" s="72"/>
    </row>
    <row r="25" spans="1:8" x14ac:dyDescent="0.25">
      <c r="A25" s="2">
        <v>1</v>
      </c>
      <c r="B25" s="34" t="s">
        <v>114</v>
      </c>
      <c r="C25" s="51">
        <v>3.3969907407407407E-2</v>
      </c>
      <c r="D25" s="29">
        <f>INDEX('Points Summary'!$F$4:$F$1143,G25)</f>
        <v>61.490578945338612</v>
      </c>
      <c r="E25" s="124">
        <f t="shared" si="0"/>
        <v>0.79419573168213087</v>
      </c>
      <c r="F25" s="3"/>
      <c r="G25" s="2">
        <f>MATCH(B25,'Points Summary'!$B$4:$B$1144,0)</f>
        <v>186</v>
      </c>
      <c r="H25" s="72"/>
    </row>
    <row r="26" spans="1:8" x14ac:dyDescent="0.25">
      <c r="A26" s="2">
        <v>1</v>
      </c>
      <c r="B26" s="3" t="s">
        <v>491</v>
      </c>
      <c r="C26" s="51">
        <v>3.5810185185185188E-2</v>
      </c>
      <c r="D26" s="29">
        <f>INDEX('Points Summary'!$F$4:$F$1143,G26)</f>
        <v>60.524290845204135</v>
      </c>
      <c r="E26" s="124">
        <f t="shared" si="0"/>
        <v>0.75338218244571875</v>
      </c>
      <c r="F26" s="3"/>
      <c r="G26" s="2">
        <f>MATCH(B26,'Points Summary'!$B$4:$B$1144,0)</f>
        <v>54</v>
      </c>
      <c r="H26" s="72"/>
    </row>
    <row r="27" spans="1:8" x14ac:dyDescent="0.25">
      <c r="A27" s="2">
        <v>2</v>
      </c>
      <c r="B27" s="3" t="s">
        <v>770</v>
      </c>
      <c r="C27" s="51">
        <v>3.3912037037037039E-2</v>
      </c>
      <c r="D27" s="29">
        <f>INDEX('Points Summary'!$F$4:$F$1143,G27)</f>
        <v>59.898448949960425</v>
      </c>
      <c r="E27" s="124">
        <f t="shared" si="0"/>
        <v>0.79555101450070098</v>
      </c>
      <c r="F27" s="3"/>
      <c r="G27" s="2">
        <f>MATCH(B27,'Points Summary'!$B$4:$B$1144,0)</f>
        <v>383</v>
      </c>
      <c r="H27" s="72"/>
    </row>
    <row r="28" spans="1:8" x14ac:dyDescent="0.25">
      <c r="A28" s="2">
        <v>6</v>
      </c>
      <c r="B28" s="3" t="s">
        <v>709</v>
      </c>
      <c r="C28" s="51">
        <v>4.0300925925925928E-2</v>
      </c>
      <c r="D28" s="29">
        <f>INDEX('Points Summary'!$F$4:$F$1143,G28)</f>
        <v>59.581407521421525</v>
      </c>
      <c r="E28" s="124">
        <f t="shared" si="0"/>
        <v>0.66943264574585126</v>
      </c>
      <c r="F28" s="3"/>
      <c r="G28" s="2">
        <f>MATCH(B28,'Points Summary'!$B$4:$B$1144,0)</f>
        <v>230</v>
      </c>
      <c r="H28" s="72"/>
    </row>
    <row r="29" spans="1:8" x14ac:dyDescent="0.25">
      <c r="A29" s="2">
        <v>2</v>
      </c>
      <c r="B29" s="3" t="s">
        <v>1144</v>
      </c>
      <c r="C29" s="51">
        <v>5.0312500000000003E-2</v>
      </c>
      <c r="D29" s="29">
        <f>INDEX('Points Summary'!$F$4:$F$1143,G29)</f>
        <v>59.548809582616713</v>
      </c>
      <c r="E29" s="124">
        <f t="shared" si="0"/>
        <v>0.53622371117714607</v>
      </c>
      <c r="F29" s="3"/>
      <c r="G29" s="2">
        <f>MATCH(B29,'Points Summary'!$B$4:$B$1144,0)</f>
        <v>145</v>
      </c>
      <c r="H29" s="72"/>
    </row>
    <row r="30" spans="1:8" x14ac:dyDescent="0.25">
      <c r="A30" s="2">
        <v>16</v>
      </c>
      <c r="B30" s="3" t="s">
        <v>902</v>
      </c>
      <c r="C30" s="51">
        <v>4.5879629629629631E-2</v>
      </c>
      <c r="D30" s="29">
        <f>INDEX('Points Summary'!$F$4:$F$1143,G30)</f>
        <v>58.88165568946232</v>
      </c>
      <c r="E30" s="124">
        <f t="shared" si="0"/>
        <v>0.58803341889178962</v>
      </c>
      <c r="F30" s="3"/>
      <c r="G30" s="2">
        <f>MATCH(B30,'Points Summary'!$B$4:$B$1144,0)</f>
        <v>266</v>
      </c>
      <c r="H30" s="72"/>
    </row>
    <row r="31" spans="1:8" x14ac:dyDescent="0.25">
      <c r="A31" s="2">
        <v>19</v>
      </c>
      <c r="B31" s="3" t="s">
        <v>797</v>
      </c>
      <c r="C31" s="51">
        <v>4.7500000000000007E-2</v>
      </c>
      <c r="D31" s="29">
        <f>INDEX('Points Summary'!$F$4:$F$1143,G31)</f>
        <v>53.946105899327328</v>
      </c>
      <c r="E31" s="124">
        <f t="shared" si="0"/>
        <v>0.56797379933895065</v>
      </c>
      <c r="F31" s="3"/>
      <c r="G31" s="2">
        <f>MATCH(B31,'Points Summary'!$B$4:$B$1144,0)</f>
        <v>181</v>
      </c>
      <c r="H31" s="72"/>
    </row>
    <row r="32" spans="1:8" x14ac:dyDescent="0.25">
      <c r="A32" s="2">
        <v>1</v>
      </c>
      <c r="B32" s="3" t="s">
        <v>490</v>
      </c>
      <c r="C32" s="51">
        <v>4.8668981481481487E-2</v>
      </c>
      <c r="D32" s="29">
        <f>INDEX('Points Summary'!$F$4:$F$1143,G32)</f>
        <v>51.408897759115767</v>
      </c>
      <c r="E32" s="124">
        <f t="shared" si="0"/>
        <v>0.55433162247016732</v>
      </c>
      <c r="F32" s="3"/>
      <c r="G32" s="2">
        <f>MATCH(B32,'Points Summary'!$B$4:$B$1144,0)</f>
        <v>255</v>
      </c>
      <c r="H32" s="72"/>
    </row>
    <row r="33" spans="1:8" x14ac:dyDescent="0.25">
      <c r="A33" s="2">
        <v>20</v>
      </c>
      <c r="B33" s="3" t="s">
        <v>1067</v>
      </c>
      <c r="C33" s="51">
        <v>4.8125000000000001E-2</v>
      </c>
      <c r="D33" s="29">
        <f>INDEX('Points Summary'!$F$4:$F$1143,G33)</f>
        <v>49.403054375011301</v>
      </c>
      <c r="E33" s="124">
        <f t="shared" si="0"/>
        <v>0.56059751623065268</v>
      </c>
      <c r="F33" s="3"/>
      <c r="G33" s="2">
        <f>MATCH(B33,'Points Summary'!$B$4:$B$1144,0)</f>
        <v>419</v>
      </c>
      <c r="H33" s="72"/>
    </row>
    <row r="34" spans="1:8" x14ac:dyDescent="0.25">
      <c r="A34" s="2">
        <v>3</v>
      </c>
      <c r="B34" s="3" t="s">
        <v>903</v>
      </c>
      <c r="C34" s="51">
        <v>5.0520833333333327E-2</v>
      </c>
      <c r="D34" s="29">
        <f>INDEX('Points Summary'!$F$4:$F$1143,G34)</f>
        <v>44.330678633518588</v>
      </c>
      <c r="E34" s="124">
        <f t="shared" si="0"/>
        <v>0.53401247937847751</v>
      </c>
      <c r="F34" s="3"/>
      <c r="G34" s="2">
        <f>MATCH(B34,'Points Summary'!$B$4:$B$1144,0)</f>
        <v>61</v>
      </c>
      <c r="H34" s="72"/>
    </row>
    <row r="35" spans="1:8" x14ac:dyDescent="0.25">
      <c r="A35" s="2">
        <v>2</v>
      </c>
      <c r="B35" s="3" t="s">
        <v>810</v>
      </c>
      <c r="C35" s="51">
        <v>3.5648148148148151E-2</v>
      </c>
      <c r="D35" s="29">
        <f>INDEX('Points Summary'!$F$4:$F$1143,G35)</f>
        <v>37.864959554198414</v>
      </c>
      <c r="E35" s="124">
        <f t="shared" si="0"/>
        <v>0.75680664691138111</v>
      </c>
      <c r="F35" s="3"/>
      <c r="G35" s="2">
        <f>MATCH(B35,'Points Summary'!$B$4:$B$1144,0)</f>
        <v>150</v>
      </c>
      <c r="H35" s="72"/>
    </row>
    <row r="36" spans="1:8" x14ac:dyDescent="0.25">
      <c r="A36" s="2">
        <v>2</v>
      </c>
      <c r="B36" s="3" t="s">
        <v>657</v>
      </c>
      <c r="C36" s="51">
        <v>3.2199074074074074E-2</v>
      </c>
      <c r="D36" s="29">
        <f>INDEX('Points Summary'!$F$4:$F$1143,G36)</f>
        <v>0</v>
      </c>
      <c r="E36" s="124">
        <f t="shared" si="0"/>
        <v>0.83787364215925741</v>
      </c>
      <c r="F36" s="3"/>
      <c r="G36" s="2">
        <f>MATCH(B36,'Points Summary'!$B$4:$B$1144,0)</f>
        <v>378</v>
      </c>
      <c r="H36" s="72"/>
    </row>
    <row r="37" spans="1:8" x14ac:dyDescent="0.25">
      <c r="A37" s="2">
        <v>8</v>
      </c>
      <c r="B37" s="3" t="s">
        <v>1194</v>
      </c>
      <c r="C37" s="51">
        <v>3.7314814814814815E-2</v>
      </c>
      <c r="D37" s="29">
        <f>INDEX('Points Summary'!$F$4:$F$1143,G37)</f>
        <v>0</v>
      </c>
      <c r="E37" s="124">
        <f t="shared" si="0"/>
        <v>0.72300386863742372</v>
      </c>
      <c r="F37" s="3"/>
      <c r="G37" s="2">
        <f>MATCH(B37,'Points Summary'!$B$4:$B$1144,0)</f>
        <v>297</v>
      </c>
      <c r="H37" s="72"/>
    </row>
    <row r="38" spans="1:8" x14ac:dyDescent="0.25">
      <c r="A38" s="2">
        <v>18</v>
      </c>
      <c r="B38" s="3" t="s">
        <v>1195</v>
      </c>
      <c r="C38" s="51">
        <v>4.701388888888889E-2</v>
      </c>
      <c r="D38" s="29">
        <f>INDEX('Points Summary'!$F$4:$F$1143,G38)</f>
        <v>0</v>
      </c>
      <c r="E38" s="124">
        <f t="shared" si="0"/>
        <v>0.57384649741187932</v>
      </c>
      <c r="F38" s="3"/>
      <c r="G38" s="2">
        <f>MATCH(B38,'Points Summary'!$B$4:$B$1144,0)</f>
        <v>458</v>
      </c>
      <c r="H38" s="72"/>
    </row>
    <row r="39" spans="1:8" x14ac:dyDescent="0.25">
      <c r="A39" s="2">
        <v>1</v>
      </c>
      <c r="B39" s="3" t="s">
        <v>1196</v>
      </c>
      <c r="C39" s="51">
        <v>4.9594907407407407E-2</v>
      </c>
      <c r="D39" s="29">
        <f>INDEX('Points Summary'!$F$4:$F$1143,G39)</f>
        <v>0</v>
      </c>
      <c r="E39" s="124">
        <f t="shared" si="0"/>
        <v>0.54398237397597526</v>
      </c>
      <c r="F39" s="3"/>
      <c r="G39" s="2">
        <f>MATCH(B39,'Points Summary'!$B$4:$B$1144,0)</f>
        <v>402</v>
      </c>
      <c r="H39" s="72"/>
    </row>
    <row r="40" spans="1:8" x14ac:dyDescent="0.25">
      <c r="A40" s="2">
        <v>1</v>
      </c>
      <c r="B40" s="3" t="s">
        <v>1197</v>
      </c>
      <c r="C40" s="51">
        <v>3.6527777777777777E-2</v>
      </c>
      <c r="D40" s="29">
        <f>INDEX('Points Summary'!$F$4:$F$1143,G40)</f>
        <v>0</v>
      </c>
      <c r="E40" s="124">
        <f t="shared" si="0"/>
        <v>0.73858189876015656</v>
      </c>
      <c r="F40" s="3"/>
      <c r="G40" s="2">
        <f>MATCH(B40,'Points Summary'!$B$4:$B$1144,0)</f>
        <v>203</v>
      </c>
      <c r="H40" s="72"/>
    </row>
    <row r="41" spans="1:8" x14ac:dyDescent="0.25">
      <c r="A41" s="2">
        <v>1</v>
      </c>
      <c r="B41" s="3" t="s">
        <v>1198</v>
      </c>
      <c r="C41" s="51">
        <v>3.1805555555555552E-2</v>
      </c>
      <c r="D41" s="29">
        <f>INDEX('Points Summary'!$F$4:$F$1143,G41)</f>
        <v>0</v>
      </c>
      <c r="E41" s="124">
        <f t="shared" si="0"/>
        <v>0.84824034661100955</v>
      </c>
      <c r="F41" s="3"/>
      <c r="G41" s="2">
        <f>MATCH(B41,'Points Summary'!$B$4:$B$1144,0)</f>
        <v>449</v>
      </c>
      <c r="H41" s="72"/>
    </row>
    <row r="42" spans="1:8" x14ac:dyDescent="0.25">
      <c r="A42" s="2">
        <v>3</v>
      </c>
      <c r="B42" s="3" t="s">
        <v>1199</v>
      </c>
      <c r="C42" s="51">
        <v>4.1192129629629634E-2</v>
      </c>
      <c r="D42" s="29">
        <f>INDEX('Points Summary'!$F$4:$F$1143,G42)</f>
        <v>0</v>
      </c>
      <c r="E42" s="124">
        <f t="shared" si="0"/>
        <v>0.65494927577607576</v>
      </c>
      <c r="F42" s="3"/>
      <c r="G42" s="2">
        <f>MATCH(B42,'Points Summary'!$B$4:$B$1144,0)</f>
        <v>461</v>
      </c>
      <c r="H42" s="72"/>
    </row>
    <row r="43" spans="1:8" x14ac:dyDescent="0.25">
      <c r="A43" s="2">
        <v>4</v>
      </c>
      <c r="B43" s="3" t="s">
        <v>1200</v>
      </c>
      <c r="C43" s="51">
        <v>4.311342592592593E-2</v>
      </c>
      <c r="D43" s="29">
        <f>INDEX('Points Summary'!$F$4:$F$1143,G43)</f>
        <v>0</v>
      </c>
      <c r="E43" s="124">
        <f t="shared" si="0"/>
        <v>0.62576227449316879</v>
      </c>
      <c r="F43" s="3"/>
      <c r="G43" s="2">
        <f>MATCH(B43,'Points Summary'!$B$4:$B$1144,0)</f>
        <v>5</v>
      </c>
      <c r="H43" s="72"/>
    </row>
    <row r="44" spans="1:8" x14ac:dyDescent="0.25">
      <c r="B44" s="3"/>
      <c r="C44" s="51"/>
      <c r="D44" s="29"/>
      <c r="E44" s="30"/>
      <c r="F44" s="3"/>
      <c r="G44" s="2"/>
      <c r="H44" s="72"/>
    </row>
    <row r="45" spans="1:8" x14ac:dyDescent="0.25">
      <c r="B45" s="3"/>
      <c r="C45" s="51"/>
      <c r="D45" s="29"/>
      <c r="E45" s="30"/>
      <c r="F45" s="3"/>
      <c r="G45" s="2"/>
      <c r="H45" s="72"/>
    </row>
    <row r="46" spans="1:8" x14ac:dyDescent="0.25">
      <c r="B46" s="3"/>
      <c r="C46" s="51"/>
      <c r="D46" s="29"/>
      <c r="E46" s="124"/>
      <c r="F46" s="3"/>
      <c r="G46" s="2"/>
      <c r="H46" s="72"/>
    </row>
    <row r="47" spans="1:8" x14ac:dyDescent="0.25">
      <c r="B47" s="3"/>
      <c r="C47" s="51"/>
      <c r="D47" s="29"/>
      <c r="E47" s="30"/>
      <c r="F47" s="3"/>
      <c r="G47" s="2"/>
      <c r="H47" s="72"/>
    </row>
    <row r="48" spans="1:8" x14ac:dyDescent="0.25">
      <c r="B48" s="3"/>
      <c r="C48" s="51"/>
      <c r="D48" s="29"/>
      <c r="E48" s="30"/>
      <c r="F48" s="3"/>
      <c r="G48" s="2"/>
      <c r="H48" s="72"/>
    </row>
    <row r="49" spans="2:8" x14ac:dyDescent="0.25">
      <c r="B49" s="3"/>
      <c r="C49" s="51"/>
      <c r="D49" s="29"/>
      <c r="E49" s="124"/>
      <c r="F49" s="3"/>
      <c r="G49" s="2"/>
      <c r="H49" s="72"/>
    </row>
    <row r="50" spans="2:8" x14ac:dyDescent="0.25">
      <c r="B50" s="3"/>
      <c r="C50" s="51"/>
      <c r="D50" s="29"/>
      <c r="E50" s="124"/>
      <c r="F50" s="3"/>
      <c r="G50" s="2"/>
      <c r="H50" s="72"/>
    </row>
    <row r="51" spans="2:8" x14ac:dyDescent="0.25">
      <c r="B51" s="3"/>
      <c r="C51" s="51"/>
      <c r="D51" s="29"/>
      <c r="E51" s="30"/>
      <c r="F51" s="3"/>
      <c r="G51" s="2"/>
    </row>
    <row r="52" spans="2:8" x14ac:dyDescent="0.25">
      <c r="B52" s="3"/>
      <c r="C52" s="51"/>
      <c r="D52" s="29"/>
      <c r="E52" s="30"/>
      <c r="F52" s="3"/>
      <c r="G52" s="2"/>
    </row>
    <row r="53" spans="2:8" x14ac:dyDescent="0.25">
      <c r="B53" s="3"/>
      <c r="C53" s="51"/>
      <c r="D53" s="29"/>
      <c r="E53" s="30"/>
      <c r="F53" s="3"/>
      <c r="G53" s="2"/>
    </row>
    <row r="54" spans="2:8" x14ac:dyDescent="0.25">
      <c r="B54" s="3"/>
      <c r="C54" s="51"/>
      <c r="D54" s="29"/>
      <c r="E54" s="30"/>
      <c r="F54" s="3"/>
      <c r="G54" s="2"/>
    </row>
    <row r="55" spans="2:8" x14ac:dyDescent="0.25">
      <c r="B55" s="3"/>
      <c r="C55" s="51"/>
      <c r="D55" s="29"/>
      <c r="E55" s="30"/>
      <c r="F55" s="3"/>
      <c r="G55" s="2"/>
    </row>
    <row r="56" spans="2:8" x14ac:dyDescent="0.25">
      <c r="B56" s="3"/>
      <c r="C56" s="51"/>
      <c r="D56" s="29"/>
      <c r="E56" s="30"/>
      <c r="F56" s="3"/>
      <c r="G56" s="2"/>
    </row>
    <row r="57" spans="2:8" x14ac:dyDescent="0.25">
      <c r="B57" s="3"/>
      <c r="C57" s="51"/>
      <c r="D57" s="29"/>
      <c r="E57" s="30"/>
      <c r="F57" s="3"/>
      <c r="G57" s="2"/>
    </row>
    <row r="58" spans="2:8" x14ac:dyDescent="0.25">
      <c r="B58" s="3"/>
      <c r="C58" s="51"/>
      <c r="D58" s="29"/>
      <c r="E58" s="30"/>
      <c r="F58" s="3"/>
      <c r="G58" s="2"/>
    </row>
    <row r="59" spans="2:8" x14ac:dyDescent="0.25">
      <c r="B59" s="3"/>
      <c r="C59" s="51"/>
      <c r="D59" s="29"/>
      <c r="E59" s="30"/>
      <c r="F59" s="3"/>
      <c r="G59" s="2"/>
    </row>
    <row r="60" spans="2:8" x14ac:dyDescent="0.25">
      <c r="B60" s="3"/>
      <c r="C60" s="51"/>
      <c r="D60" s="29"/>
      <c r="E60" s="30"/>
      <c r="F60" s="3"/>
      <c r="G60" s="2"/>
    </row>
    <row r="61" spans="2:8" x14ac:dyDescent="0.25">
      <c r="B61" s="3"/>
      <c r="C61" s="51"/>
      <c r="D61" s="29"/>
      <c r="E61" s="30"/>
      <c r="F61" s="3"/>
      <c r="G61" s="2"/>
    </row>
    <row r="62" spans="2:8" x14ac:dyDescent="0.25">
      <c r="B62" s="3"/>
      <c r="C62" s="51"/>
      <c r="D62" s="29"/>
      <c r="E62" s="30"/>
      <c r="F62" s="3"/>
      <c r="G62" s="2"/>
    </row>
    <row r="63" spans="2:8" x14ac:dyDescent="0.25">
      <c r="B63" s="3"/>
      <c r="C63" s="51"/>
      <c r="D63" s="29"/>
      <c r="E63" s="30"/>
      <c r="F63" s="3"/>
      <c r="G63" s="2"/>
    </row>
    <row r="64" spans="2:8" x14ac:dyDescent="0.25">
      <c r="B64" s="3"/>
      <c r="C64" s="51"/>
      <c r="D64" s="29"/>
      <c r="E64" s="30"/>
      <c r="F64" s="3"/>
      <c r="G64" s="2"/>
    </row>
    <row r="65" spans="2:7" x14ac:dyDescent="0.25">
      <c r="B65" s="3"/>
      <c r="C65" s="51"/>
      <c r="D65" s="29"/>
      <c r="E65" s="30"/>
      <c r="F65" s="3"/>
      <c r="G65" s="2"/>
    </row>
    <row r="66" spans="2:7" x14ac:dyDescent="0.25">
      <c r="B66" s="3"/>
      <c r="D66" s="29"/>
    </row>
    <row r="67" spans="2:7" x14ac:dyDescent="0.25">
      <c r="B67" s="3"/>
      <c r="D67" s="29"/>
    </row>
    <row r="68" spans="2:7" x14ac:dyDescent="0.25">
      <c r="B68" s="3"/>
      <c r="D68" s="29"/>
    </row>
    <row r="69" spans="2:7" x14ac:dyDescent="0.25">
      <c r="B69" s="3"/>
      <c r="D69" s="29"/>
    </row>
    <row r="70" spans="2:7" x14ac:dyDescent="0.25">
      <c r="B70" s="3"/>
      <c r="D70" s="29"/>
    </row>
  </sheetData>
  <sortState ref="A8:G46">
    <sortCondition descending="1" ref="D8:D46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"/>
  <sheetViews>
    <sheetView workbookViewId="0">
      <selection activeCell="B1" sqref="B1:B5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1192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43148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1193</v>
      </c>
      <c r="C5" s="22"/>
      <c r="D5" s="22"/>
      <c r="E5" s="22" t="s">
        <v>55</v>
      </c>
      <c r="F5" s="38">
        <f>AVERAGE(C8:C12)*(AVERAGE(D8:D12)/100)</f>
        <v>1.8451482018321998E-2</v>
      </c>
      <c r="G5" s="23"/>
    </row>
    <row r="6" spans="1:7" x14ac:dyDescent="0.25">
      <c r="A6" s="25" t="s">
        <v>29</v>
      </c>
      <c r="B6" s="119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</v>
      </c>
      <c r="B8" s="45" t="s">
        <v>846</v>
      </c>
      <c r="C8" s="51">
        <v>2.2280092592592591E-2</v>
      </c>
      <c r="D8" s="29">
        <f>INDEX('Points Summary'!$F$4:$F$1143,G8)</f>
        <v>80.041551324306269</v>
      </c>
      <c r="E8" s="124">
        <f>(AVERAGE($D$8:$D$12)/100*AVERAGE($C$8:$C$12))/C8</f>
        <v>0.82816002409507572</v>
      </c>
      <c r="F8" s="3"/>
      <c r="G8" s="2">
        <f>MATCH(B8,'Points Summary'!$B$4:$B$1144,0)</f>
        <v>168</v>
      </c>
    </row>
    <row r="9" spans="1:7" x14ac:dyDescent="0.25">
      <c r="A9" s="2">
        <v>12</v>
      </c>
      <c r="B9" s="3" t="s">
        <v>164</v>
      </c>
      <c r="C9" s="51">
        <v>2.7256944444444445E-2</v>
      </c>
      <c r="D9" s="29">
        <f>INDEX('Points Summary'!$F$4:$F$1143,G9)</f>
        <v>79.383543933261251</v>
      </c>
      <c r="E9" s="124">
        <f>(AVERAGE($D$8:$D$12)/100*AVERAGE($C$8:$C$12))/C9</f>
        <v>0.67694609188238664</v>
      </c>
      <c r="F9" s="3"/>
      <c r="G9" s="2">
        <f>MATCH(B9,'Points Summary'!$B$4:$B$1144,0)</f>
        <v>314</v>
      </c>
    </row>
    <row r="10" spans="1:7" x14ac:dyDescent="0.25">
      <c r="A10" s="2">
        <v>3</v>
      </c>
      <c r="B10" s="3" t="s">
        <v>847</v>
      </c>
      <c r="C10" s="51">
        <v>2.3171296296296297E-2</v>
      </c>
      <c r="D10" s="29">
        <f>INDEX('Points Summary'!$F$4:$F$1143,G10)</f>
        <v>77.868356934222959</v>
      </c>
      <c r="E10" s="124">
        <f>(AVERAGE($D$8:$D$12)/100*AVERAGE($C$8:$C$12))/C10</f>
        <v>0.79630771547603429</v>
      </c>
      <c r="F10" s="3"/>
      <c r="G10" s="2">
        <f>MATCH(B10,'Points Summary'!$B$4:$B$1144,0)</f>
        <v>446</v>
      </c>
    </row>
    <row r="11" spans="1:7" x14ac:dyDescent="0.25">
      <c r="A11" s="2">
        <v>2</v>
      </c>
      <c r="B11" s="3" t="s">
        <v>165</v>
      </c>
      <c r="C11" s="51">
        <v>2.3078703703703702E-2</v>
      </c>
      <c r="D11" s="29">
        <f>INDEX('Points Summary'!$F$4:$F$1143,G11)</f>
        <v>73.043560901441296</v>
      </c>
      <c r="E11" s="124">
        <f>(AVERAGE($D$8:$D$12)/100*AVERAGE($C$8:$C$12))/C11</f>
        <v>0.79950253078386202</v>
      </c>
      <c r="F11" s="3"/>
      <c r="G11" s="2">
        <f>MATCH(B11,'Points Summary'!$B$4:$B$1144,0)</f>
        <v>367</v>
      </c>
    </row>
    <row r="12" spans="1:7" x14ac:dyDescent="0.25">
      <c r="A12" s="2">
        <v>3</v>
      </c>
      <c r="B12" s="3" t="s">
        <v>802</v>
      </c>
      <c r="C12" s="51">
        <v>2.5069444444444446E-2</v>
      </c>
      <c r="D12" s="29">
        <f>INDEX('Points Summary'!$F$4:$F$1143,G12)</f>
        <v>71.344668189812722</v>
      </c>
      <c r="E12" s="124">
        <f t="shared" ref="E12:E48" si="0">(AVERAGE($D$8:$D$12)/100*AVERAGE($C$8:$C$12))/C12</f>
        <v>0.73601479519068358</v>
      </c>
      <c r="F12" s="3"/>
      <c r="G12" s="2">
        <f>MATCH(B12,'Points Summary'!$B$4:$B$1144,0)</f>
        <v>196</v>
      </c>
    </row>
    <row r="13" spans="1:7" x14ac:dyDescent="0.25">
      <c r="A13" s="2">
        <v>8</v>
      </c>
      <c r="B13" s="3" t="s">
        <v>71</v>
      </c>
      <c r="C13" s="51">
        <v>2.5925925925925925E-2</v>
      </c>
      <c r="D13" s="29">
        <f>INDEX('Points Summary'!$F$4:$F$1143,G13)</f>
        <v>69.764333832680848</v>
      </c>
      <c r="E13" s="124">
        <f t="shared" si="0"/>
        <v>0.71170002070670568</v>
      </c>
      <c r="F13" s="3"/>
      <c r="G13" s="2">
        <f>MATCH(B13,'Points Summary'!$B$4:$B$1144,0)</f>
        <v>431</v>
      </c>
    </row>
    <row r="14" spans="1:7" x14ac:dyDescent="0.25">
      <c r="A14" s="2">
        <v>7</v>
      </c>
      <c r="B14" s="3" t="s">
        <v>113</v>
      </c>
      <c r="C14" s="51">
        <v>2.5752314814814815E-2</v>
      </c>
      <c r="D14" s="29">
        <f>INDEX('Points Summary'!$F$4:$F$1143,G14)</f>
        <v>69.43679629570974</v>
      </c>
      <c r="E14" s="124">
        <f t="shared" si="0"/>
        <v>0.71649799837439132</v>
      </c>
      <c r="F14" s="3"/>
      <c r="G14" s="2">
        <f>MATCH(B14,'Points Summary'!$B$4:$B$1144,0)</f>
        <v>413</v>
      </c>
    </row>
    <row r="15" spans="1:7" x14ac:dyDescent="0.25">
      <c r="A15" s="2">
        <v>5</v>
      </c>
      <c r="B15" s="3" t="s">
        <v>760</v>
      </c>
      <c r="C15" s="51">
        <v>2.4594907407407409E-2</v>
      </c>
      <c r="D15" s="29">
        <f>INDEX('Points Summary'!$F$4:$F$1143,G15)</f>
        <v>69.297287718197794</v>
      </c>
      <c r="E15" s="124">
        <f t="shared" si="0"/>
        <v>0.75021555123906847</v>
      </c>
      <c r="F15" s="3"/>
      <c r="G15" s="2">
        <f>MATCH(B15,'Points Summary'!$B$4:$B$1144,0)</f>
        <v>337</v>
      </c>
    </row>
    <row r="16" spans="1:7" x14ac:dyDescent="0.25">
      <c r="A16" s="2">
        <v>11</v>
      </c>
      <c r="B16" s="3" t="s">
        <v>106</v>
      </c>
      <c r="C16" s="51">
        <v>2.6678240740740738E-2</v>
      </c>
      <c r="D16" s="29">
        <f>INDEX('Points Summary'!$F$4:$F$1143,G16)</f>
        <v>68.483457061753498</v>
      </c>
      <c r="E16" s="124">
        <f t="shared" si="0"/>
        <v>0.69163038888634309</v>
      </c>
      <c r="F16" s="3"/>
      <c r="G16" s="2">
        <f>MATCH(B16,'Points Summary'!$B$4:$B$1144,0)</f>
        <v>45</v>
      </c>
    </row>
    <row r="17" spans="1:7" x14ac:dyDescent="0.25">
      <c r="A17" s="2">
        <v>4</v>
      </c>
      <c r="B17" s="3" t="s">
        <v>498</v>
      </c>
      <c r="C17" s="51">
        <v>2.6354166666666668E-2</v>
      </c>
      <c r="D17" s="29">
        <f>INDEX('Points Summary'!$F$4:$F$1143,G17)</f>
        <v>66.908574168551169</v>
      </c>
      <c r="E17" s="124">
        <f t="shared" si="0"/>
        <v>0.70013528607071607</v>
      </c>
      <c r="F17" s="3"/>
      <c r="G17" s="2">
        <f>MATCH(B17,'Points Summary'!$B$4:$B$1144,0)</f>
        <v>127</v>
      </c>
    </row>
    <row r="18" spans="1:7" x14ac:dyDescent="0.25">
      <c r="A18" s="2">
        <v>6</v>
      </c>
      <c r="B18" s="3" t="s">
        <v>715</v>
      </c>
      <c r="C18" s="51">
        <v>2.5706018518518517E-2</v>
      </c>
      <c r="D18" s="29">
        <f>INDEX('Points Summary'!$F$4:$F$1143,G18)</f>
        <v>66.618351292376403</v>
      </c>
      <c r="E18" s="124">
        <f t="shared" si="0"/>
        <v>0.7177884044948315</v>
      </c>
      <c r="F18" s="3"/>
      <c r="G18" s="2">
        <f>MATCH(B18,'Points Summary'!$B$4:$B$1144,0)</f>
        <v>236</v>
      </c>
    </row>
    <row r="19" spans="1:7" x14ac:dyDescent="0.25">
      <c r="A19" s="2">
        <v>14</v>
      </c>
      <c r="B19" s="3" t="s">
        <v>1056</v>
      </c>
      <c r="C19" s="51">
        <v>2.8993055555555553E-2</v>
      </c>
      <c r="D19" s="29">
        <f>INDEX('Points Summary'!$F$4:$F$1143,G19)</f>
        <v>66.562919993215374</v>
      </c>
      <c r="E19" s="124">
        <f t="shared" si="0"/>
        <v>0.63641039775769292</v>
      </c>
      <c r="F19" s="3"/>
      <c r="G19" s="2">
        <f>MATCH(B19,'Points Summary'!$B$4:$B$1144,0)</f>
        <v>361</v>
      </c>
    </row>
    <row r="20" spans="1:7" x14ac:dyDescent="0.25">
      <c r="A20" s="2">
        <v>9</v>
      </c>
      <c r="B20" s="3" t="s">
        <v>768</v>
      </c>
      <c r="C20" s="51">
        <v>2.5949074074074072E-2</v>
      </c>
      <c r="D20" s="29">
        <f>INDEX('Points Summary'!$F$4:$F$1143,G20)</f>
        <v>65.172236219457318</v>
      </c>
      <c r="E20" s="124">
        <f t="shared" si="0"/>
        <v>0.71106514111642316</v>
      </c>
      <c r="F20" s="3"/>
      <c r="G20" s="2">
        <f>MATCH(B20,'Points Summary'!$B$4:$B$1144,0)</f>
        <v>202</v>
      </c>
    </row>
    <row r="21" spans="1:7" x14ac:dyDescent="0.25">
      <c r="A21" s="2">
        <v>13</v>
      </c>
      <c r="B21" s="3" t="s">
        <v>664</v>
      </c>
      <c r="C21" s="51">
        <v>2.7974537037037034E-2</v>
      </c>
      <c r="D21" s="29">
        <f>INDEX('Points Summary'!$F$4:$F$1143,G21)</f>
        <v>62.249107445641606</v>
      </c>
      <c r="E21" s="124">
        <f t="shared" si="0"/>
        <v>0.65958131832148148</v>
      </c>
      <c r="F21" s="3"/>
      <c r="G21" s="2">
        <f>MATCH(B21,'Points Summary'!$B$4:$B$1144,0)</f>
        <v>264</v>
      </c>
    </row>
    <row r="22" spans="1:7" x14ac:dyDescent="0.25">
      <c r="A22" s="2">
        <v>2</v>
      </c>
      <c r="B22" s="3" t="s">
        <v>766</v>
      </c>
      <c r="C22" s="51">
        <v>2.5057870370370373E-2</v>
      </c>
      <c r="D22" s="29">
        <f>INDEX('Points Summary'!$F$4:$F$1143,G22)</f>
        <v>62.216529499468166</v>
      </c>
      <c r="E22" s="124">
        <f t="shared" si="0"/>
        <v>0.73635475583511345</v>
      </c>
      <c r="F22" s="3"/>
      <c r="G22" s="2">
        <f>MATCH(B22,'Points Summary'!$B$4:$B$1144,0)</f>
        <v>432</v>
      </c>
    </row>
    <row r="23" spans="1:7" x14ac:dyDescent="0.25">
      <c r="A23" s="2">
        <v>1</v>
      </c>
      <c r="B23" s="3" t="s">
        <v>114</v>
      </c>
      <c r="C23" s="51">
        <v>2.2812499999999999E-2</v>
      </c>
      <c r="D23" s="29">
        <f>INDEX('Points Summary'!$F$4:$F$1143,G23)</f>
        <v>61.490578945338612</v>
      </c>
      <c r="E23" s="124">
        <f t="shared" si="0"/>
        <v>0.80883208847438903</v>
      </c>
      <c r="F23" s="3"/>
      <c r="G23" s="2">
        <f>MATCH(B23,'Points Summary'!$B$4:$B$1144,0)</f>
        <v>186</v>
      </c>
    </row>
    <row r="24" spans="1:7" x14ac:dyDescent="0.25">
      <c r="A24" s="2">
        <v>3</v>
      </c>
      <c r="B24" s="3" t="s">
        <v>767</v>
      </c>
      <c r="C24" s="51">
        <v>2.8298611111111111E-2</v>
      </c>
      <c r="D24" s="29">
        <f>INDEX('Points Summary'!$F$4:$F$1143,G24)</f>
        <v>60.533894385989399</v>
      </c>
      <c r="E24" s="124">
        <f t="shared" si="0"/>
        <v>0.65202783083150129</v>
      </c>
      <c r="F24" s="3"/>
      <c r="G24" s="2">
        <f>MATCH(B24,'Points Summary'!$B$4:$B$1144,0)</f>
        <v>456</v>
      </c>
    </row>
    <row r="25" spans="1:7" x14ac:dyDescent="0.25">
      <c r="A25" s="2">
        <v>6</v>
      </c>
      <c r="B25" s="3" t="s">
        <v>709</v>
      </c>
      <c r="C25" s="51">
        <v>2.8611111111111115E-2</v>
      </c>
      <c r="D25" s="29">
        <f>INDEX('Points Summary'!$F$4:$F$1143,G25)</f>
        <v>59.581407521421525</v>
      </c>
      <c r="E25" s="124">
        <f t="shared" si="0"/>
        <v>0.64490616763067166</v>
      </c>
      <c r="F25" s="3"/>
      <c r="G25" s="2">
        <f>MATCH(B25,'Points Summary'!$B$4:$B$1144,0)</f>
        <v>230</v>
      </c>
    </row>
    <row r="26" spans="1:7" x14ac:dyDescent="0.25">
      <c r="A26" s="2">
        <v>19</v>
      </c>
      <c r="B26" s="3" t="s">
        <v>1144</v>
      </c>
      <c r="C26" s="51">
        <v>3.3981481481481481E-2</v>
      </c>
      <c r="D26" s="29">
        <f>INDEX('Points Summary'!$F$4:$F$1143,G26)</f>
        <v>59.548809582616713</v>
      </c>
      <c r="E26" s="124">
        <f t="shared" si="0"/>
        <v>0.54298639181982999</v>
      </c>
      <c r="F26" s="3"/>
      <c r="G26" s="2">
        <f>MATCH(B26,'Points Summary'!$B$4:$B$1144,0)</f>
        <v>145</v>
      </c>
    </row>
    <row r="27" spans="1:7" x14ac:dyDescent="0.25">
      <c r="A27" s="2">
        <v>5</v>
      </c>
      <c r="B27" s="3" t="s">
        <v>798</v>
      </c>
      <c r="C27" s="51">
        <v>2.7372685185185184E-2</v>
      </c>
      <c r="D27" s="29">
        <f>INDEX('Points Summary'!$F$4:$F$1143,G27)</f>
        <v>57.599448090635022</v>
      </c>
      <c r="E27" s="124">
        <f t="shared" si="0"/>
        <v>0.67408374054250353</v>
      </c>
      <c r="F27" s="3"/>
      <c r="G27" s="2">
        <f>MATCH(B27,'Points Summary'!$B$4:$B$1144,0)</f>
        <v>253</v>
      </c>
    </row>
    <row r="28" spans="1:7" x14ac:dyDescent="0.25">
      <c r="A28" s="2">
        <v>16</v>
      </c>
      <c r="B28" s="3" t="s">
        <v>797</v>
      </c>
      <c r="C28" s="51">
        <v>3.050925925925926E-2</v>
      </c>
      <c r="D28" s="29">
        <f>INDEX('Points Summary'!$F$4:$F$1143,G28)</f>
        <v>53.946105899327328</v>
      </c>
      <c r="E28" s="124">
        <f t="shared" si="0"/>
        <v>0.60478302214833857</v>
      </c>
      <c r="F28" s="3"/>
      <c r="G28" s="2">
        <f>MATCH(B28,'Points Summary'!$B$4:$B$1144,0)</f>
        <v>181</v>
      </c>
    </row>
    <row r="29" spans="1:7" x14ac:dyDescent="0.25">
      <c r="A29" s="2">
        <v>24</v>
      </c>
      <c r="B29" s="3" t="s">
        <v>804</v>
      </c>
      <c r="C29" s="51">
        <v>4.0081018518518523E-2</v>
      </c>
      <c r="D29" s="29">
        <f>INDEX('Points Summary'!$F$4:$F$1143,G29)</f>
        <v>51.826604263018972</v>
      </c>
      <c r="E29" s="124">
        <f t="shared" si="0"/>
        <v>0.46035461922697674</v>
      </c>
      <c r="F29" s="3"/>
      <c r="G29" s="2">
        <f>MATCH(B29,'Points Summary'!$B$4:$B$1144,0)</f>
        <v>122</v>
      </c>
    </row>
    <row r="30" spans="1:7" x14ac:dyDescent="0.25">
      <c r="A30" s="2">
        <v>17</v>
      </c>
      <c r="B30" s="3" t="s">
        <v>490</v>
      </c>
      <c r="C30" s="51">
        <v>3.1979166666666663E-2</v>
      </c>
      <c r="D30" s="29">
        <f>INDEX('Points Summary'!$F$4:$F$1143,G30)</f>
        <v>51.408897759115767</v>
      </c>
      <c r="E30" s="124">
        <f t="shared" si="0"/>
        <v>0.57698445399313092</v>
      </c>
      <c r="F30" s="3"/>
      <c r="G30" s="2">
        <f>MATCH(B30,'Points Summary'!$B$4:$B$1144,0)</f>
        <v>255</v>
      </c>
    </row>
    <row r="31" spans="1:7" x14ac:dyDescent="0.25">
      <c r="A31" s="2">
        <v>22</v>
      </c>
      <c r="B31" s="3" t="s">
        <v>1067</v>
      </c>
      <c r="C31" s="51">
        <v>3.5173611111111107E-2</v>
      </c>
      <c r="D31" s="29">
        <f>INDEX('Points Summary'!$F$4:$F$1143,G31)</f>
        <v>49.403054375011301</v>
      </c>
      <c r="E31" s="124">
        <f t="shared" si="0"/>
        <v>0.52458310180421874</v>
      </c>
      <c r="F31" s="3"/>
      <c r="G31" s="2">
        <f>MATCH(B31,'Points Summary'!$B$4:$B$1144,0)</f>
        <v>419</v>
      </c>
    </row>
    <row r="32" spans="1:7" x14ac:dyDescent="0.25">
      <c r="A32" s="2">
        <v>8</v>
      </c>
      <c r="B32" s="3" t="s">
        <v>870</v>
      </c>
      <c r="C32" s="51">
        <v>3.5057870370370371E-2</v>
      </c>
      <c r="D32" s="29">
        <f>INDEX('Points Summary'!$F$4:$F$1143,G32)</f>
        <v>47.281785990377266</v>
      </c>
      <c r="E32" s="124">
        <f t="shared" si="0"/>
        <v>0.52631497074381661</v>
      </c>
      <c r="F32" s="3"/>
      <c r="G32" s="2">
        <f>MATCH(B32,'Points Summary'!$B$4:$B$1144,0)</f>
        <v>421</v>
      </c>
    </row>
    <row r="33" spans="1:7" x14ac:dyDescent="0.25">
      <c r="A33" s="2">
        <v>5</v>
      </c>
      <c r="B33" s="3" t="s">
        <v>771</v>
      </c>
      <c r="C33" s="51">
        <v>3.170138888888889E-2</v>
      </c>
      <c r="D33" s="29">
        <f>INDEX('Points Summary'!$F$4:$F$1143,G33)</f>
        <v>45.900812024178478</v>
      </c>
      <c r="E33" s="124">
        <f t="shared" si="0"/>
        <v>0.58204017757686044</v>
      </c>
      <c r="F33" s="3"/>
      <c r="G33" s="2">
        <f>MATCH(B33,'Points Summary'!$B$4:$B$1144,0)</f>
        <v>344</v>
      </c>
    </row>
    <row r="34" spans="1:7" x14ac:dyDescent="0.25">
      <c r="A34" s="2">
        <v>21</v>
      </c>
      <c r="B34" s="3" t="s">
        <v>903</v>
      </c>
      <c r="C34" s="51">
        <v>3.5069444444444445E-2</v>
      </c>
      <c r="D34" s="29">
        <f>INDEX('Points Summary'!$F$4:$F$1143,G34)</f>
        <v>44.330678633518588</v>
      </c>
      <c r="E34" s="124">
        <f t="shared" si="0"/>
        <v>0.52614126943334016</v>
      </c>
      <c r="F34" s="3"/>
      <c r="G34" s="2">
        <f>MATCH(B34,'Points Summary'!$B$4:$B$1144,0)</f>
        <v>61</v>
      </c>
    </row>
    <row r="35" spans="1:7" x14ac:dyDescent="0.25">
      <c r="A35" s="2">
        <v>4</v>
      </c>
      <c r="B35" s="3" t="s">
        <v>657</v>
      </c>
      <c r="C35" s="51">
        <v>2.3344907407407408E-2</v>
      </c>
      <c r="D35" s="29">
        <f>INDEX('Points Summary'!$F$4:$F$1143,G35)</f>
        <v>0</v>
      </c>
      <c r="E35" s="124">
        <f t="shared" si="0"/>
        <v>0.79038574436441278</v>
      </c>
      <c r="F35" s="3"/>
      <c r="G35" s="2">
        <f>MATCH(B35,'Points Summary'!$B$4:$B$1144,0)</f>
        <v>378</v>
      </c>
    </row>
    <row r="36" spans="1:7" x14ac:dyDescent="0.25">
      <c r="A36" s="2">
        <v>10</v>
      </c>
      <c r="B36" s="3" t="s">
        <v>1194</v>
      </c>
      <c r="C36" s="51">
        <v>2.6620370370370374E-2</v>
      </c>
      <c r="D36" s="29">
        <f>INDEX('Points Summary'!$F$4:$F$1143,G36)</f>
        <v>0</v>
      </c>
      <c r="E36" s="124">
        <f t="shared" si="0"/>
        <v>0.69313393321000893</v>
      </c>
      <c r="F36" s="3"/>
      <c r="G36" s="2">
        <f>MATCH(B36,'Points Summary'!$B$4:$B$1144,0)</f>
        <v>297</v>
      </c>
    </row>
    <row r="37" spans="1:7" x14ac:dyDescent="0.25">
      <c r="A37" s="2">
        <v>20</v>
      </c>
      <c r="B37" s="3" t="s">
        <v>1196</v>
      </c>
      <c r="C37" s="51">
        <v>3.4351851851851849E-2</v>
      </c>
      <c r="D37" s="29">
        <f>INDEX('Points Summary'!$F$4:$F$1143,G37)</f>
        <v>0</v>
      </c>
      <c r="E37" s="124">
        <f t="shared" si="0"/>
        <v>0.53713209109940052</v>
      </c>
      <c r="F37" s="3"/>
      <c r="G37" s="2">
        <f>MATCH(B37,'Points Summary'!$B$4:$B$1144,0)</f>
        <v>402</v>
      </c>
    </row>
    <row r="38" spans="1:7" x14ac:dyDescent="0.25">
      <c r="A38" s="2">
        <v>23</v>
      </c>
      <c r="B38" s="3" t="s">
        <v>1195</v>
      </c>
      <c r="C38" s="51">
        <v>3.6655092592592593E-2</v>
      </c>
      <c r="D38" s="29">
        <f>INDEX('Points Summary'!$F$4:$F$1143,G38)</f>
        <v>0</v>
      </c>
      <c r="E38" s="124">
        <f t="shared" si="0"/>
        <v>0.50338113242280413</v>
      </c>
      <c r="F38" s="3"/>
      <c r="G38" s="2">
        <f>MATCH(B38,'Points Summary'!$B$4:$B$1144,0)</f>
        <v>458</v>
      </c>
    </row>
    <row r="39" spans="1:7" x14ac:dyDescent="0.25">
      <c r="A39" s="2">
        <v>1</v>
      </c>
      <c r="B39" s="3" t="s">
        <v>1197</v>
      </c>
      <c r="C39" s="51">
        <v>2.8055555555555556E-2</v>
      </c>
      <c r="D39" s="29">
        <f>INDEX('Points Summary'!$F$4:$F$1143,G39)</f>
        <v>0</v>
      </c>
      <c r="E39" s="124">
        <f t="shared" si="0"/>
        <v>0.65767658679167518</v>
      </c>
      <c r="F39" s="3"/>
      <c r="G39" s="2">
        <f>MATCH(B39,'Points Summary'!$B$4:$B$1144,0)</f>
        <v>203</v>
      </c>
    </row>
    <row r="40" spans="1:7" x14ac:dyDescent="0.25">
      <c r="A40" s="2">
        <v>1</v>
      </c>
      <c r="B40" s="3" t="s">
        <v>1198</v>
      </c>
      <c r="C40" s="51">
        <v>2.5740740740740745E-2</v>
      </c>
      <c r="D40" s="29">
        <f>INDEX('Points Summary'!$F$4:$F$1143,G40)</f>
        <v>0</v>
      </c>
      <c r="E40" s="124">
        <f t="shared" si="0"/>
        <v>0.71682016474056676</v>
      </c>
      <c r="F40" s="3"/>
      <c r="G40" s="2">
        <f>MATCH(B40,'Points Summary'!$B$4:$B$1144,0)</f>
        <v>449</v>
      </c>
    </row>
    <row r="41" spans="1:7" x14ac:dyDescent="0.25">
      <c r="A41" s="2">
        <v>2</v>
      </c>
      <c r="B41" s="3" t="s">
        <v>1199</v>
      </c>
      <c r="C41" s="51">
        <v>2.7245370370370368E-2</v>
      </c>
      <c r="D41" s="29">
        <f>INDEX('Points Summary'!$F$4:$F$1143,G41)</f>
        <v>0</v>
      </c>
      <c r="E41" s="124">
        <f t="shared" si="0"/>
        <v>0.67723366456373013</v>
      </c>
      <c r="F41" s="3"/>
      <c r="G41" s="2">
        <f>MATCH(B41,'Points Summary'!$B$4:$B$1144,0)</f>
        <v>461</v>
      </c>
    </row>
    <row r="42" spans="1:7" x14ac:dyDescent="0.25">
      <c r="A42" s="2">
        <v>4</v>
      </c>
      <c r="B42" s="3" t="s">
        <v>1200</v>
      </c>
      <c r="C42" s="51">
        <v>2.884259259259259E-2</v>
      </c>
      <c r="D42" s="29">
        <f>INDEX('Points Summary'!$F$4:$F$1143,G42)</f>
        <v>0</v>
      </c>
      <c r="E42" s="124">
        <f t="shared" si="0"/>
        <v>0.63973035569142089</v>
      </c>
      <c r="F42" s="3"/>
      <c r="G42" s="2">
        <f>MATCH(B42,'Points Summary'!$B$4:$B$1144,0)</f>
        <v>5</v>
      </c>
    </row>
    <row r="43" spans="1:7" x14ac:dyDescent="0.25">
      <c r="A43" s="2">
        <v>15</v>
      </c>
      <c r="B43" s="34" t="s">
        <v>901</v>
      </c>
      <c r="C43" s="51">
        <v>2.9236111111111112E-2</v>
      </c>
      <c r="D43" s="29">
        <f>INDEX('Points Summary'!$F$4:$F$1143,G43)</f>
        <v>0</v>
      </c>
      <c r="E43" s="124">
        <f t="shared" si="0"/>
        <v>0.63111957497348403</v>
      </c>
      <c r="F43" s="3"/>
      <c r="G43" s="2">
        <f>MATCH(B43,'Points Summary'!$B$4:$B$1144,0)</f>
        <v>256</v>
      </c>
    </row>
    <row r="44" spans="1:7" x14ac:dyDescent="0.25">
      <c r="A44" s="2">
        <v>18</v>
      </c>
      <c r="B44" s="3" t="s">
        <v>1201</v>
      </c>
      <c r="C44" s="51">
        <v>3.2581018518518516E-2</v>
      </c>
      <c r="D44" s="29">
        <f>INDEX('Points Summary'!$F$4:$F$1143,G44)</f>
        <v>0</v>
      </c>
      <c r="E44" s="124">
        <f t="shared" si="0"/>
        <v>0.56632612660142834</v>
      </c>
      <c r="F44" s="3"/>
      <c r="G44" s="2">
        <f>MATCH(B44,'Points Summary'!$B$4:$B$1144,0)</f>
        <v>158</v>
      </c>
    </row>
    <row r="45" spans="1:7" x14ac:dyDescent="0.25">
      <c r="A45" s="2">
        <v>25</v>
      </c>
      <c r="B45" s="3" t="s">
        <v>1202</v>
      </c>
      <c r="C45" s="51">
        <v>5.4085648148148147E-2</v>
      </c>
      <c r="D45" s="29">
        <f>INDEX('Points Summary'!$F$4:$F$1143,G45)</f>
        <v>0</v>
      </c>
      <c r="E45" s="124">
        <f t="shared" si="0"/>
        <v>0.34115301655960212</v>
      </c>
      <c r="F45" s="3"/>
      <c r="G45" s="2">
        <f>MATCH(B45,'Points Summary'!$B$4:$B$1144,0)</f>
        <v>321</v>
      </c>
    </row>
    <row r="46" spans="1:7" x14ac:dyDescent="0.25">
      <c r="A46" s="2">
        <v>3</v>
      </c>
      <c r="B46" s="3" t="s">
        <v>1203</v>
      </c>
      <c r="C46" s="51">
        <v>2.8020833333333332E-2</v>
      </c>
      <c r="D46" s="29">
        <f>INDEX('Points Summary'!$F$4:$F$1143,G46)</f>
        <v>0</v>
      </c>
      <c r="E46" s="124">
        <f t="shared" si="0"/>
        <v>0.65849155158323869</v>
      </c>
      <c r="F46" s="3"/>
      <c r="G46" s="2">
        <f>MATCH(B46,'Points Summary'!$B$4:$B$1144,0)</f>
        <v>221</v>
      </c>
    </row>
    <row r="47" spans="1:7" x14ac:dyDescent="0.25">
      <c r="A47" s="2">
        <v>7</v>
      </c>
      <c r="B47" s="3" t="s">
        <v>1204</v>
      </c>
      <c r="C47" s="51">
        <v>3.4039351851851855E-2</v>
      </c>
      <c r="D47" s="29">
        <f>INDEX('Points Summary'!$F$4:$F$1143,G47)</f>
        <v>0</v>
      </c>
      <c r="E47" s="124">
        <f t="shared" si="0"/>
        <v>0.54206325956580093</v>
      </c>
      <c r="F47" s="3"/>
      <c r="G47" s="2">
        <f>MATCH(B47,'Points Summary'!$B$4:$B$1144,0)</f>
        <v>445</v>
      </c>
    </row>
    <row r="48" spans="1:7" x14ac:dyDescent="0.25">
      <c r="A48" s="2">
        <v>9</v>
      </c>
      <c r="B48" s="3" t="s">
        <v>1205</v>
      </c>
      <c r="C48" s="51">
        <v>3.5347222222222217E-2</v>
      </c>
      <c r="D48" s="29">
        <f>INDEX('Points Summary'!$F$4:$F$1143,G48)</f>
        <v>0</v>
      </c>
      <c r="E48" s="124">
        <f t="shared" si="0"/>
        <v>0.52200656397610379</v>
      </c>
      <c r="F48" s="3"/>
      <c r="G48" s="2">
        <f>MATCH(B48,'Points Summary'!$B$4:$B$1144,0)</f>
        <v>223</v>
      </c>
    </row>
    <row r="49" spans="1:7" x14ac:dyDescent="0.25">
      <c r="A49" s="42"/>
      <c r="C49" s="52"/>
      <c r="D49" s="29"/>
      <c r="E49" s="30"/>
      <c r="F49" s="3"/>
      <c r="G49" s="2"/>
    </row>
    <row r="50" spans="1:7" x14ac:dyDescent="0.25">
      <c r="A50" s="42"/>
      <c r="C50" s="52"/>
      <c r="D50" s="29"/>
      <c r="E50" s="30"/>
      <c r="F50" s="3"/>
      <c r="G50" s="2"/>
    </row>
    <row r="51" spans="1:7" x14ac:dyDescent="0.25">
      <c r="A51" s="42"/>
      <c r="C51" s="52"/>
      <c r="D51" s="29"/>
      <c r="E51" s="30"/>
      <c r="F51" s="3"/>
      <c r="G51" s="2"/>
    </row>
    <row r="52" spans="1:7" x14ac:dyDescent="0.25">
      <c r="A52" s="42"/>
      <c r="C52" s="52"/>
      <c r="D52" s="29"/>
      <c r="E52" s="30"/>
      <c r="F52" s="3"/>
      <c r="G52" s="2"/>
    </row>
    <row r="53" spans="1:7" x14ac:dyDescent="0.25">
      <c r="A53" s="42"/>
      <c r="C53" s="52"/>
      <c r="D53" s="29"/>
      <c r="E53" s="30"/>
      <c r="F53" s="3"/>
      <c r="G53" s="2"/>
    </row>
    <row r="54" spans="1:7" x14ac:dyDescent="0.25">
      <c r="A54" s="42"/>
      <c r="C54" s="52"/>
      <c r="D54" s="29"/>
      <c r="E54" s="30"/>
      <c r="F54" s="3"/>
      <c r="G54" s="2"/>
    </row>
    <row r="55" spans="1:7" x14ac:dyDescent="0.25">
      <c r="A55" s="42"/>
      <c r="C55" s="52"/>
      <c r="D55" s="29"/>
      <c r="E55" s="30"/>
      <c r="F55" s="3"/>
      <c r="G55" s="2"/>
    </row>
    <row r="56" spans="1:7" x14ac:dyDescent="0.25">
      <c r="A56" s="42"/>
      <c r="C56" s="52"/>
      <c r="D56" s="29"/>
      <c r="E56" s="30"/>
      <c r="F56" s="3"/>
      <c r="G56" s="2"/>
    </row>
    <row r="57" spans="1:7" x14ac:dyDescent="0.25">
      <c r="A57" s="42"/>
      <c r="C57" s="52"/>
      <c r="D57" s="29"/>
      <c r="E57" s="30"/>
      <c r="F57" s="3"/>
      <c r="G57" s="2"/>
    </row>
    <row r="58" spans="1:7" x14ac:dyDescent="0.25">
      <c r="A58" s="42"/>
      <c r="C58" s="52"/>
      <c r="D58" s="29"/>
      <c r="E58" s="30"/>
      <c r="F58" s="3"/>
      <c r="G58" s="2"/>
    </row>
    <row r="59" spans="1:7" x14ac:dyDescent="0.25">
      <c r="A59" s="42"/>
      <c r="C59" s="52"/>
      <c r="D59" s="29"/>
      <c r="E59" s="30"/>
      <c r="F59" s="3"/>
      <c r="G59" s="2"/>
    </row>
    <row r="60" spans="1:7" x14ac:dyDescent="0.25">
      <c r="A60" s="42"/>
      <c r="C60" s="52"/>
      <c r="D60" s="29"/>
      <c r="E60" s="30"/>
      <c r="F60" s="3"/>
      <c r="G60" s="2"/>
    </row>
    <row r="61" spans="1:7" x14ac:dyDescent="0.25">
      <c r="A61" s="42"/>
      <c r="C61" s="52"/>
      <c r="D61" s="29"/>
      <c r="E61" s="30"/>
      <c r="F61" s="3"/>
      <c r="G61" s="2"/>
    </row>
    <row r="62" spans="1:7" x14ac:dyDescent="0.25">
      <c r="A62" s="42"/>
      <c r="C62" s="52"/>
      <c r="D62" s="29"/>
      <c r="E62" s="30"/>
      <c r="F62" s="3"/>
      <c r="G62" s="2"/>
    </row>
    <row r="63" spans="1:7" x14ac:dyDescent="0.25">
      <c r="A63" s="42"/>
      <c r="C63" s="52"/>
      <c r="D63" s="29"/>
      <c r="E63" s="30"/>
      <c r="F63" s="3"/>
      <c r="G63" s="2"/>
    </row>
    <row r="64" spans="1:7" x14ac:dyDescent="0.25">
      <c r="A64" s="42"/>
      <c r="C64" s="52"/>
      <c r="D64" s="29"/>
      <c r="E64" s="30"/>
      <c r="F64" s="3"/>
      <c r="G64" s="2"/>
    </row>
    <row r="65" spans="1:7" x14ac:dyDescent="0.25">
      <c r="A65" s="42"/>
      <c r="C65" s="52"/>
      <c r="D65" s="29"/>
      <c r="E65" s="30"/>
      <c r="F65" s="3"/>
      <c r="G65" s="2"/>
    </row>
    <row r="66" spans="1:7" x14ac:dyDescent="0.25">
      <c r="A66" s="42"/>
    </row>
    <row r="67" spans="1:7" x14ac:dyDescent="0.25">
      <c r="A67" s="42"/>
    </row>
    <row r="68" spans="1:7" x14ac:dyDescent="0.25">
      <c r="A68" s="42"/>
    </row>
    <row r="69" spans="1:7" x14ac:dyDescent="0.25">
      <c r="A69" s="42"/>
    </row>
    <row r="70" spans="1:7" x14ac:dyDescent="0.25">
      <c r="A70" s="42"/>
    </row>
  </sheetData>
  <sortState ref="A8:G51">
    <sortCondition descending="1" ref="D8:D51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  <oddFooter>&amp;R&amp;"Tahoma,Regular"Page &amp;P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workbookViewId="0">
      <selection activeCell="B1" sqref="B1:B1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8" x14ac:dyDescent="0.25">
      <c r="A1" s="16" t="s">
        <v>22</v>
      </c>
      <c r="B1" s="17" t="s">
        <v>1206</v>
      </c>
      <c r="C1" s="18"/>
      <c r="D1" s="18"/>
      <c r="E1" s="18"/>
      <c r="F1" s="18"/>
      <c r="G1" s="19"/>
    </row>
    <row r="2" spans="1:8" x14ac:dyDescent="0.25">
      <c r="A2" s="20" t="s">
        <v>23</v>
      </c>
      <c r="B2" s="21">
        <v>43157</v>
      </c>
      <c r="C2" s="22"/>
      <c r="D2" s="22"/>
      <c r="E2" s="22"/>
      <c r="F2" s="22"/>
      <c r="G2" s="23"/>
    </row>
    <row r="3" spans="1:8" x14ac:dyDescent="0.25">
      <c r="A3" s="20" t="s">
        <v>24</v>
      </c>
      <c r="B3" s="24" t="s">
        <v>44</v>
      </c>
      <c r="C3" s="22"/>
      <c r="D3" s="22"/>
      <c r="E3" s="22"/>
      <c r="F3" s="22"/>
      <c r="G3" s="23"/>
    </row>
    <row r="4" spans="1:8" x14ac:dyDescent="0.25">
      <c r="A4" s="20" t="s">
        <v>1</v>
      </c>
      <c r="B4" s="24" t="s">
        <v>893</v>
      </c>
      <c r="C4" s="22"/>
      <c r="D4" s="22"/>
      <c r="E4" s="22"/>
      <c r="F4" s="22"/>
      <c r="G4" s="23"/>
    </row>
    <row r="5" spans="1:8" x14ac:dyDescent="0.25">
      <c r="A5" s="20" t="s">
        <v>27</v>
      </c>
      <c r="B5" s="24" t="s">
        <v>1207</v>
      </c>
      <c r="C5" s="22"/>
      <c r="D5" s="22"/>
      <c r="E5" s="22" t="s">
        <v>55</v>
      </c>
      <c r="F5" s="156">
        <f>AVERAGE(C8:C10)*(AVERAGE(D8:D10)/100)</f>
        <v>2.7030066722409523E-2</v>
      </c>
      <c r="G5" s="23"/>
    </row>
    <row r="6" spans="1:8" x14ac:dyDescent="0.25">
      <c r="A6" s="25" t="s">
        <v>29</v>
      </c>
      <c r="B6" s="26"/>
      <c r="C6" s="26"/>
      <c r="D6" s="26"/>
      <c r="E6" s="26"/>
      <c r="F6" s="26"/>
      <c r="G6" s="27"/>
    </row>
    <row r="7" spans="1:8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8" x14ac:dyDescent="0.25">
      <c r="A8" s="2">
        <v>27</v>
      </c>
      <c r="B8" s="3" t="s">
        <v>756</v>
      </c>
      <c r="C8" s="51">
        <v>2.9244212962962961E-2</v>
      </c>
      <c r="D8" s="29">
        <f>INDEX('Points Summary'!$F$4:$F$1143,G8)</f>
        <v>93.114680449247487</v>
      </c>
      <c r="E8" s="124">
        <f>(AVERAGE($D$8:$D$10)/100*AVERAGE($C$8:$C$10))/C8</f>
        <v>0.92428771315003089</v>
      </c>
      <c r="F8" s="3"/>
      <c r="G8" s="2">
        <f>MATCH(B8,'Points Summary'!$B$4:$B$1144,0)</f>
        <v>80</v>
      </c>
      <c r="H8" s="75"/>
    </row>
    <row r="9" spans="1:8" x14ac:dyDescent="0.25">
      <c r="A9" s="2">
        <v>64</v>
      </c>
      <c r="B9" s="3" t="s">
        <v>805</v>
      </c>
      <c r="C9" s="51">
        <v>3.1284722222222221E-2</v>
      </c>
      <c r="D9" s="29">
        <f>INDEX('Points Summary'!$F$4:$F$1143,G9)</f>
        <v>88.827744779758717</v>
      </c>
      <c r="E9" s="124">
        <f>(AVERAGE($D$8:$D$10)/100*AVERAGE($C$8:$C$10))/C9</f>
        <v>0.86400213274738547</v>
      </c>
      <c r="F9" s="3"/>
      <c r="G9" s="2">
        <f>MATCH(B9,'Points Summary'!$B$4:$B$1144,0)</f>
        <v>307</v>
      </c>
      <c r="H9" s="75"/>
    </row>
    <row r="10" spans="1:8" x14ac:dyDescent="0.25">
      <c r="A10" s="2">
        <v>48</v>
      </c>
      <c r="B10" s="3" t="s">
        <v>1028</v>
      </c>
      <c r="C10" s="51">
        <v>3.0383101851851849E-2</v>
      </c>
      <c r="D10" s="29">
        <f>INDEX('Points Summary'!$F$4:$F$1143,G10)</f>
        <v>85.646563457473988</v>
      </c>
      <c r="E10" s="124">
        <f>(AVERAGE($D$8:$D$10)/100*AVERAGE($C$8:$C$10))/C10</f>
        <v>0.88964144787481736</v>
      </c>
      <c r="F10" s="3"/>
      <c r="G10" s="2">
        <f>MATCH(B10,'Points Summary'!$B$4:$B$1144,0)</f>
        <v>28</v>
      </c>
      <c r="H10" s="75"/>
    </row>
    <row r="11" spans="1:8" x14ac:dyDescent="0.25">
      <c r="A11" s="2">
        <v>70</v>
      </c>
      <c r="B11" s="3" t="s">
        <v>1035</v>
      </c>
      <c r="C11" s="51">
        <v>3.1907407407407405E-2</v>
      </c>
      <c r="D11" s="29">
        <f>INDEX('Points Summary'!$F$4:$F$1143,G11)</f>
        <v>84.346791796224068</v>
      </c>
      <c r="E11" s="124">
        <f>(AVERAGE($D$8:$D$10)/100*AVERAGE($C$8:$C$10))/C11</f>
        <v>0.84714080267563219</v>
      </c>
      <c r="F11" s="3"/>
      <c r="G11" s="2">
        <f>MATCH(B11,'Points Summary'!$B$4:$B$1144,0)</f>
        <v>161</v>
      </c>
      <c r="H11" s="75"/>
    </row>
    <row r="12" spans="1:8" x14ac:dyDescent="0.25">
      <c r="A12" s="2"/>
      <c r="B12" s="3"/>
      <c r="C12" s="51"/>
      <c r="D12" s="29"/>
      <c r="E12" s="30"/>
      <c r="F12" s="3"/>
      <c r="G12" s="2"/>
      <c r="H12" s="75"/>
    </row>
    <row r="13" spans="1:8" x14ac:dyDescent="0.25">
      <c r="A13" s="2"/>
      <c r="B13" s="3"/>
      <c r="C13" s="51"/>
      <c r="D13" s="29"/>
      <c r="E13" s="30"/>
      <c r="F13" s="3"/>
      <c r="G13" s="2"/>
      <c r="H13" s="75"/>
    </row>
    <row r="14" spans="1:8" x14ac:dyDescent="0.25">
      <c r="A14" s="2"/>
      <c r="B14" s="3"/>
      <c r="C14" s="51"/>
      <c r="D14" s="29"/>
      <c r="E14" s="30"/>
      <c r="F14" s="3"/>
      <c r="G14" s="2"/>
      <c r="H14" s="75"/>
    </row>
    <row r="15" spans="1:8" x14ac:dyDescent="0.25">
      <c r="A15" s="2"/>
      <c r="B15" s="3"/>
      <c r="C15" s="51"/>
      <c r="D15" s="29"/>
      <c r="E15" s="30"/>
      <c r="F15" s="3"/>
      <c r="G15" s="2"/>
      <c r="H15" s="75"/>
    </row>
    <row r="16" spans="1:8" x14ac:dyDescent="0.25">
      <c r="A16" s="2"/>
      <c r="B16" s="3"/>
      <c r="C16" s="51"/>
      <c r="D16" s="29"/>
      <c r="E16" s="30"/>
      <c r="F16" s="3"/>
      <c r="G16" s="2"/>
      <c r="H16" s="75"/>
    </row>
    <row r="17" spans="1:8" x14ac:dyDescent="0.25">
      <c r="A17" s="2"/>
      <c r="B17" s="3"/>
      <c r="C17" s="51"/>
      <c r="D17" s="29"/>
      <c r="E17" s="30"/>
      <c r="F17" s="3"/>
      <c r="G17" s="2"/>
      <c r="H17" s="75"/>
    </row>
    <row r="18" spans="1:8" x14ac:dyDescent="0.25">
      <c r="A18" s="2"/>
      <c r="B18" s="3"/>
      <c r="C18" s="51"/>
      <c r="D18" s="29"/>
      <c r="E18" s="30"/>
      <c r="F18" s="3"/>
      <c r="G18" s="2"/>
      <c r="H18" s="75"/>
    </row>
    <row r="19" spans="1:8" x14ac:dyDescent="0.25">
      <c r="A19" s="2"/>
      <c r="B19" s="3"/>
      <c r="C19" s="51"/>
      <c r="D19" s="29"/>
      <c r="E19" s="30"/>
      <c r="F19" s="3"/>
      <c r="G19" s="2"/>
      <c r="H19" s="75"/>
    </row>
    <row r="20" spans="1:8" x14ac:dyDescent="0.25">
      <c r="A20" s="2"/>
      <c r="B20" s="3"/>
      <c r="C20" s="51"/>
      <c r="D20" s="29"/>
      <c r="E20" s="30"/>
      <c r="F20" s="3"/>
      <c r="G20" s="2"/>
      <c r="H20" s="75"/>
    </row>
    <row r="21" spans="1:8" x14ac:dyDescent="0.25">
      <c r="A21" s="2"/>
      <c r="B21" s="3"/>
      <c r="C21" s="51"/>
      <c r="D21" s="29"/>
      <c r="E21" s="30"/>
      <c r="F21" s="3"/>
      <c r="G21" s="2"/>
      <c r="H21" s="75"/>
    </row>
    <row r="22" spans="1:8" x14ac:dyDescent="0.25">
      <c r="A22" s="2"/>
      <c r="B22" s="3"/>
      <c r="C22" s="51"/>
      <c r="D22" s="29"/>
      <c r="E22" s="30"/>
      <c r="F22" s="3"/>
      <c r="G22" s="2"/>
      <c r="H22" s="75"/>
    </row>
    <row r="23" spans="1:8" x14ac:dyDescent="0.25">
      <c r="A23" s="2"/>
      <c r="B23" s="3"/>
      <c r="C23" s="51"/>
      <c r="D23" s="29"/>
      <c r="E23" s="30"/>
      <c r="F23" s="3"/>
      <c r="G23" s="2"/>
      <c r="H23" s="75"/>
    </row>
    <row r="24" spans="1:8" x14ac:dyDescent="0.25">
      <c r="A24" s="2"/>
      <c r="B24" s="3"/>
      <c r="C24" s="51"/>
      <c r="D24" s="29"/>
      <c r="E24" s="30"/>
      <c r="F24" s="3"/>
      <c r="G24" s="2"/>
      <c r="H24" s="75"/>
    </row>
    <row r="25" spans="1:8" x14ac:dyDescent="0.25">
      <c r="A25" s="2"/>
      <c r="B25" s="3"/>
      <c r="C25" s="51"/>
      <c r="D25" s="29"/>
      <c r="E25" s="30"/>
      <c r="F25" s="3"/>
      <c r="G25" s="2"/>
      <c r="H25" s="75"/>
    </row>
    <row r="26" spans="1:8" x14ac:dyDescent="0.25">
      <c r="A26" s="2"/>
      <c r="B26" s="3"/>
      <c r="C26" s="51"/>
      <c r="D26" s="29"/>
      <c r="E26" s="30"/>
      <c r="F26" s="3"/>
      <c r="G26" s="2"/>
      <c r="H26" s="75"/>
    </row>
    <row r="27" spans="1:8" x14ac:dyDescent="0.25">
      <c r="A27" s="2"/>
      <c r="B27" s="3"/>
      <c r="C27" s="51"/>
      <c r="D27" s="29"/>
      <c r="E27" s="30"/>
      <c r="F27" s="3"/>
      <c r="G27" s="2"/>
    </row>
    <row r="28" spans="1:8" x14ac:dyDescent="0.25">
      <c r="A28" s="2"/>
      <c r="B28" s="3"/>
      <c r="C28" s="51"/>
      <c r="D28" s="29"/>
      <c r="E28" s="30"/>
      <c r="F28" s="3"/>
      <c r="G28" s="2"/>
    </row>
    <row r="29" spans="1:8" x14ac:dyDescent="0.25">
      <c r="A29" s="2"/>
      <c r="B29" s="3"/>
      <c r="C29" s="51"/>
      <c r="D29" s="29"/>
      <c r="E29" s="30"/>
      <c r="F29" s="3"/>
      <c r="G29" s="2"/>
    </row>
    <row r="30" spans="1:8" x14ac:dyDescent="0.25">
      <c r="A30" s="2"/>
      <c r="B30" s="3"/>
      <c r="C30" s="51"/>
      <c r="D30" s="29"/>
      <c r="E30" s="30"/>
      <c r="F30" s="3"/>
      <c r="G30" s="2"/>
    </row>
    <row r="31" spans="1:8" x14ac:dyDescent="0.25">
      <c r="A31" s="2"/>
      <c r="B31" s="3"/>
      <c r="C31" s="51"/>
      <c r="D31" s="29"/>
      <c r="E31" s="30"/>
      <c r="F31" s="3"/>
      <c r="G31" s="2"/>
    </row>
    <row r="32" spans="1:8" x14ac:dyDescent="0.25">
      <c r="A32" s="2"/>
      <c r="B32" s="3"/>
      <c r="C32" s="51"/>
      <c r="D32" s="29"/>
      <c r="E32" s="30"/>
      <c r="F32" s="3"/>
      <c r="G32" s="2"/>
    </row>
    <row r="33" spans="1:7" x14ac:dyDescent="0.25">
      <c r="A33" s="2"/>
      <c r="B33" s="3"/>
      <c r="C33" s="51"/>
      <c r="D33" s="29"/>
      <c r="E33" s="30"/>
      <c r="F33" s="3"/>
      <c r="G33" s="2"/>
    </row>
    <row r="34" spans="1:7" x14ac:dyDescent="0.25">
      <c r="A34" s="2"/>
      <c r="B34" s="3"/>
      <c r="C34" s="51"/>
      <c r="D34" s="29"/>
      <c r="E34" s="30"/>
      <c r="F34" s="3"/>
      <c r="G34" s="2"/>
    </row>
    <row r="35" spans="1:7" x14ac:dyDescent="0.25">
      <c r="A35" s="2"/>
      <c r="B35" s="3"/>
      <c r="C35" s="51"/>
      <c r="D35" s="29"/>
      <c r="E35" s="30"/>
      <c r="F35" s="3"/>
      <c r="G35" s="2"/>
    </row>
    <row r="36" spans="1:7" x14ac:dyDescent="0.25">
      <c r="A36" s="2"/>
      <c r="B36" s="3"/>
      <c r="C36" s="51"/>
      <c r="D36" s="29"/>
      <c r="E36" s="30"/>
      <c r="F36" s="3"/>
      <c r="G36" s="2"/>
    </row>
    <row r="37" spans="1:7" x14ac:dyDescent="0.25">
      <c r="A37" s="2"/>
      <c r="B37" s="3"/>
      <c r="C37" s="51"/>
      <c r="D37" s="29"/>
      <c r="E37" s="30"/>
      <c r="F37" s="3"/>
      <c r="G37" s="2"/>
    </row>
    <row r="38" spans="1:7" x14ac:dyDescent="0.25">
      <c r="A38" s="2"/>
      <c r="B38" s="3"/>
      <c r="C38" s="51"/>
      <c r="D38" s="29"/>
      <c r="E38" s="30"/>
      <c r="F38" s="3"/>
      <c r="G38" s="2"/>
    </row>
    <row r="39" spans="1:7" x14ac:dyDescent="0.25">
      <c r="A39" s="2"/>
      <c r="B39" s="3"/>
      <c r="C39" s="51"/>
      <c r="D39" s="29"/>
      <c r="E39" s="30"/>
      <c r="F39" s="3"/>
      <c r="G39" s="2"/>
    </row>
    <row r="40" spans="1:7" x14ac:dyDescent="0.25">
      <c r="A40" s="2"/>
      <c r="B40" s="3"/>
      <c r="C40" s="51"/>
      <c r="D40" s="29"/>
      <c r="E40" s="30"/>
      <c r="F40" s="3"/>
      <c r="G40" s="2"/>
    </row>
    <row r="41" spans="1:7" x14ac:dyDescent="0.25">
      <c r="A41" s="2"/>
      <c r="B41" s="3"/>
      <c r="C41" s="51"/>
      <c r="D41" s="29"/>
      <c r="E41" s="30"/>
      <c r="F41" s="3"/>
      <c r="G41" s="2"/>
    </row>
    <row r="42" spans="1:7" x14ac:dyDescent="0.25">
      <c r="A42" s="2"/>
      <c r="B42" s="3"/>
      <c r="C42" s="51"/>
      <c r="D42" s="29"/>
      <c r="E42" s="30"/>
      <c r="F42" s="3"/>
      <c r="G42" s="2"/>
    </row>
    <row r="43" spans="1:7" x14ac:dyDescent="0.25">
      <c r="A43" s="2"/>
      <c r="B43" s="3"/>
      <c r="C43" s="51"/>
      <c r="D43" s="29"/>
      <c r="E43" s="30"/>
      <c r="F43" s="3"/>
      <c r="G43" s="2"/>
    </row>
    <row r="44" spans="1:7" x14ac:dyDescent="0.25">
      <c r="A44" s="2"/>
      <c r="B44" s="3"/>
      <c r="C44" s="51"/>
      <c r="D44" s="29"/>
      <c r="E44" s="30"/>
      <c r="F44" s="3"/>
      <c r="G44" s="2"/>
    </row>
    <row r="45" spans="1:7" x14ac:dyDescent="0.25">
      <c r="A45" s="2"/>
      <c r="B45" s="3"/>
      <c r="C45" s="51"/>
      <c r="D45" s="29"/>
      <c r="E45" s="30"/>
      <c r="F45" s="3"/>
      <c r="G45" s="2"/>
    </row>
    <row r="46" spans="1:7" x14ac:dyDescent="0.25">
      <c r="C46" s="52"/>
      <c r="D46" s="29"/>
      <c r="E46" s="30"/>
      <c r="F46" s="3"/>
      <c r="G46" s="2"/>
    </row>
    <row r="47" spans="1:7" x14ac:dyDescent="0.25">
      <c r="C47" s="52"/>
      <c r="D47" s="29"/>
      <c r="E47" s="30"/>
      <c r="F47" s="3"/>
      <c r="G47" s="2"/>
    </row>
    <row r="48" spans="1:7" x14ac:dyDescent="0.25">
      <c r="C48" s="52"/>
      <c r="D48" s="29"/>
      <c r="E48" s="30"/>
      <c r="F48" s="3"/>
      <c r="G48" s="2"/>
    </row>
    <row r="49" spans="3:7" x14ac:dyDescent="0.25">
      <c r="C49" s="52"/>
      <c r="D49" s="29"/>
      <c r="E49" s="30"/>
      <c r="F49" s="3"/>
      <c r="G49" s="2"/>
    </row>
    <row r="50" spans="3:7" x14ac:dyDescent="0.25">
      <c r="C50" s="52"/>
      <c r="D50" s="29"/>
      <c r="E50" s="30"/>
      <c r="F50" s="3"/>
      <c r="G50" s="2"/>
    </row>
    <row r="51" spans="3:7" x14ac:dyDescent="0.25">
      <c r="C51" s="52"/>
      <c r="D51" s="29"/>
      <c r="E51" s="30"/>
      <c r="F51" s="3"/>
      <c r="G51" s="2"/>
    </row>
    <row r="52" spans="3:7" x14ac:dyDescent="0.25">
      <c r="C52" s="52"/>
      <c r="D52" s="29"/>
      <c r="E52" s="30"/>
      <c r="F52" s="3"/>
      <c r="G52" s="2"/>
    </row>
    <row r="53" spans="3:7" x14ac:dyDescent="0.25">
      <c r="C53" s="52"/>
      <c r="D53" s="29"/>
      <c r="E53" s="30"/>
      <c r="F53" s="3"/>
      <c r="G53" s="2"/>
    </row>
    <row r="54" spans="3:7" x14ac:dyDescent="0.25">
      <c r="C54" s="52"/>
      <c r="D54" s="29"/>
      <c r="E54" s="30"/>
      <c r="F54" s="3"/>
      <c r="G54" s="2"/>
    </row>
    <row r="55" spans="3:7" x14ac:dyDescent="0.25">
      <c r="C55" s="52"/>
      <c r="D55" s="29"/>
      <c r="E55" s="30"/>
      <c r="F55" s="3"/>
      <c r="G55" s="2"/>
    </row>
    <row r="56" spans="3:7" x14ac:dyDescent="0.25">
      <c r="C56" s="52"/>
      <c r="D56" s="29"/>
      <c r="E56" s="30"/>
      <c r="F56" s="3"/>
      <c r="G56" s="2"/>
    </row>
    <row r="57" spans="3:7" x14ac:dyDescent="0.25">
      <c r="C57" s="52"/>
      <c r="D57" s="29"/>
      <c r="E57" s="30"/>
      <c r="F57" s="3"/>
      <c r="G57" s="2"/>
    </row>
    <row r="58" spans="3:7" x14ac:dyDescent="0.25">
      <c r="C58" s="52"/>
      <c r="D58" s="29"/>
      <c r="E58" s="30"/>
      <c r="F58" s="3"/>
      <c r="G58" s="2"/>
    </row>
    <row r="59" spans="3:7" x14ac:dyDescent="0.25">
      <c r="C59" s="52"/>
      <c r="D59" s="29"/>
      <c r="E59" s="30"/>
      <c r="F59" s="3"/>
      <c r="G59" s="2"/>
    </row>
    <row r="60" spans="3:7" x14ac:dyDescent="0.25">
      <c r="C60" s="52"/>
      <c r="D60" s="29"/>
      <c r="E60" s="30"/>
      <c r="F60" s="3"/>
      <c r="G60" s="2"/>
    </row>
    <row r="61" spans="3:7" x14ac:dyDescent="0.25">
      <c r="C61" s="52"/>
      <c r="D61" s="29"/>
      <c r="E61" s="30"/>
      <c r="F61" s="3"/>
      <c r="G61" s="2"/>
    </row>
    <row r="62" spans="3:7" x14ac:dyDescent="0.25">
      <c r="C62" s="52"/>
      <c r="D62" s="29"/>
      <c r="E62" s="30"/>
      <c r="F62" s="3"/>
      <c r="G62" s="2"/>
    </row>
    <row r="63" spans="3:7" x14ac:dyDescent="0.25">
      <c r="C63" s="52"/>
      <c r="D63" s="29"/>
      <c r="E63" s="30"/>
      <c r="F63" s="3"/>
      <c r="G63" s="2"/>
    </row>
    <row r="64" spans="3:7" x14ac:dyDescent="0.25">
      <c r="C64" s="52"/>
      <c r="D64" s="29"/>
      <c r="E64" s="30"/>
      <c r="F64" s="3"/>
      <c r="G64" s="2"/>
    </row>
    <row r="65" spans="3:7" x14ac:dyDescent="0.25">
      <c r="C65" s="52"/>
      <c r="D65" s="29"/>
      <c r="E65" s="30"/>
      <c r="F65" s="3"/>
      <c r="G65" s="2"/>
    </row>
  </sheetData>
  <sortState ref="A8:G11">
    <sortCondition descending="1" ref="D8:D11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D8" sqref="D8"/>
    </sheetView>
  </sheetViews>
  <sheetFormatPr defaultRowHeight="13.2" x14ac:dyDescent="0.25"/>
  <cols>
    <col min="2" max="2" width="24.6640625" customWidth="1"/>
    <col min="3" max="7" width="9.6640625" customWidth="1"/>
    <col min="9" max="9" width="9.88671875" bestFit="1" customWidth="1"/>
  </cols>
  <sheetData>
    <row r="1" spans="1:11" x14ac:dyDescent="0.25">
      <c r="A1" s="16" t="s">
        <v>22</v>
      </c>
      <c r="B1" s="17" t="s">
        <v>1208</v>
      </c>
      <c r="C1" s="18"/>
      <c r="D1" s="18"/>
      <c r="E1" s="18"/>
      <c r="F1" s="18"/>
      <c r="G1" s="19"/>
    </row>
    <row r="2" spans="1:11" x14ac:dyDescent="0.25">
      <c r="A2" s="20" t="s">
        <v>23</v>
      </c>
      <c r="B2" s="21">
        <v>43126</v>
      </c>
      <c r="C2" s="22"/>
      <c r="D2" s="22"/>
      <c r="E2" s="22"/>
      <c r="F2" s="22"/>
      <c r="G2" s="23"/>
    </row>
    <row r="3" spans="1:11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11" x14ac:dyDescent="0.25">
      <c r="A4" s="20" t="s">
        <v>1</v>
      </c>
      <c r="B4" s="24" t="s">
        <v>670</v>
      </c>
      <c r="C4" s="22"/>
      <c r="D4" s="22"/>
      <c r="E4" s="22"/>
      <c r="F4" s="22"/>
      <c r="G4" s="23"/>
    </row>
    <row r="5" spans="1:11" x14ac:dyDescent="0.25">
      <c r="A5" s="20" t="s">
        <v>27</v>
      </c>
      <c r="B5" s="24" t="s">
        <v>1209</v>
      </c>
      <c r="C5" s="22"/>
      <c r="D5" s="22"/>
      <c r="E5" s="22" t="s">
        <v>55</v>
      </c>
      <c r="F5" s="38">
        <f>AVERAGE(C8:C10)*(AVERAGE(D8:D10)/100)</f>
        <v>1.7887442942288119E-2</v>
      </c>
      <c r="G5" s="23"/>
    </row>
    <row r="6" spans="1:11" x14ac:dyDescent="0.25">
      <c r="A6" s="25" t="s">
        <v>29</v>
      </c>
      <c r="B6" s="26"/>
      <c r="C6" s="26"/>
      <c r="D6" s="26"/>
      <c r="E6" s="26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  <c r="I7" s="2"/>
      <c r="J7" s="2"/>
      <c r="K7" s="2"/>
    </row>
    <row r="8" spans="1:11" x14ac:dyDescent="0.25">
      <c r="A8" s="2">
        <v>15</v>
      </c>
      <c r="B8" s="3" t="s">
        <v>756</v>
      </c>
      <c r="C8" s="51">
        <v>1.8839120370370371E-2</v>
      </c>
      <c r="D8" s="29">
        <f>INDEX('Points Summary'!$E$4:$E$1143,G8)</f>
        <v>93.114680449247487</v>
      </c>
      <c r="E8" s="124">
        <f>(AVERAGE($D$8:$D$10)/100*AVERAGE($C$8:$C$10))/C8</f>
        <v>0.94948397752269675</v>
      </c>
      <c r="F8" s="3"/>
      <c r="G8" s="2">
        <f>MATCH(B8,'Points Summary'!$B$4:$B$1144,0)</f>
        <v>80</v>
      </c>
      <c r="I8" s="28"/>
      <c r="J8" s="28"/>
      <c r="K8" s="28"/>
    </row>
    <row r="9" spans="1:11" x14ac:dyDescent="0.25">
      <c r="A9" s="2">
        <v>73</v>
      </c>
      <c r="B9" s="3" t="s">
        <v>805</v>
      </c>
      <c r="C9" s="51">
        <v>2.123148148148148E-2</v>
      </c>
      <c r="D9" s="29">
        <f>INDEX('Points Summary'!$E$4:$E$1143,G9)</f>
        <v>88.827744779758717</v>
      </c>
      <c r="E9" s="124">
        <f>(AVERAGE($D$8:$D$10)/100*AVERAGE($C$8:$C$10))/C9</f>
        <v>0.84249622231448629</v>
      </c>
      <c r="F9" s="3"/>
      <c r="G9" s="2">
        <f>MATCH(B9,'Points Summary'!$B$4:$B$1144,0)</f>
        <v>307</v>
      </c>
      <c r="I9" s="28"/>
      <c r="J9" s="28"/>
      <c r="K9" s="28"/>
    </row>
    <row r="10" spans="1:11" x14ac:dyDescent="0.25">
      <c r="A10" s="2">
        <v>42</v>
      </c>
      <c r="B10" s="3" t="s">
        <v>1028</v>
      </c>
      <c r="C10" s="51">
        <v>2.0091435185185184E-2</v>
      </c>
      <c r="D10" s="29">
        <f>INDEX('Points Summary'!$E$4:$E$1143,G10)</f>
        <v>85.646563457473988</v>
      </c>
      <c r="E10" s="124">
        <f>(AVERAGE($D$8:$D$10)/100*AVERAGE($C$8:$C$10))/C10</f>
        <v>0.89030190115426788</v>
      </c>
      <c r="F10" s="3"/>
      <c r="G10" s="2">
        <f>MATCH(B10,'Points Summary'!$B$4:$B$1144,0)</f>
        <v>28</v>
      </c>
      <c r="I10" s="28"/>
      <c r="J10" s="28"/>
      <c r="K10" s="28"/>
    </row>
    <row r="11" spans="1:11" x14ac:dyDescent="0.25">
      <c r="A11" s="2">
        <v>58</v>
      </c>
      <c r="B11" s="3" t="s">
        <v>714</v>
      </c>
      <c r="C11" s="51">
        <v>2.0626157407407409E-2</v>
      </c>
      <c r="D11" s="29">
        <f>INDEX('Points Summary'!$E$4:$E$1143,G11)</f>
        <v>83.939036057542722</v>
      </c>
      <c r="E11" s="124">
        <f>(AVERAGE($D$8:$D$10)/100*AVERAGE($C$8:$C$10))/C11</f>
        <v>0.86722129522119595</v>
      </c>
      <c r="F11" s="3"/>
      <c r="G11" s="2">
        <f>MATCH(B11,'Points Summary'!$B$4:$B$1144,0)</f>
        <v>220</v>
      </c>
      <c r="I11" s="28"/>
      <c r="J11" s="28"/>
      <c r="K11" s="28"/>
    </row>
    <row r="12" spans="1:11" x14ac:dyDescent="0.25">
      <c r="A12" s="2"/>
      <c r="B12" s="3"/>
      <c r="C12" s="51"/>
      <c r="D12" s="29"/>
      <c r="E12" s="124"/>
      <c r="F12" s="3"/>
      <c r="G12" s="2"/>
      <c r="I12" s="28"/>
      <c r="J12" s="28"/>
      <c r="K12" s="28"/>
    </row>
    <row r="13" spans="1:11" x14ac:dyDescent="0.25">
      <c r="A13" s="2"/>
      <c r="B13" s="3"/>
      <c r="C13" s="51"/>
      <c r="D13" s="29"/>
      <c r="E13" s="124"/>
      <c r="F13" s="3"/>
      <c r="G13" s="2"/>
      <c r="I13" s="28"/>
      <c r="J13" s="28"/>
      <c r="K13" s="28"/>
    </row>
    <row r="14" spans="1:11" x14ac:dyDescent="0.25">
      <c r="A14" s="2"/>
      <c r="B14" s="3"/>
      <c r="C14" s="51"/>
      <c r="D14" s="29"/>
      <c r="E14" s="30"/>
      <c r="F14" s="3"/>
      <c r="G14" s="2"/>
      <c r="I14" s="28"/>
      <c r="J14" s="28"/>
      <c r="K14" s="28"/>
    </row>
    <row r="15" spans="1:11" x14ac:dyDescent="0.25">
      <c r="A15" s="2"/>
      <c r="B15" s="3"/>
      <c r="C15" s="51"/>
      <c r="D15" s="29"/>
      <c r="E15" s="30"/>
      <c r="F15" s="3"/>
      <c r="G15" s="2"/>
      <c r="I15" s="28"/>
      <c r="J15" s="28"/>
      <c r="K15" s="28"/>
    </row>
    <row r="16" spans="1:11" x14ac:dyDescent="0.25">
      <c r="A16" s="2"/>
      <c r="B16" s="3"/>
      <c r="C16" s="51"/>
      <c r="D16" s="29"/>
      <c r="E16" s="30"/>
      <c r="F16" s="3"/>
      <c r="G16" s="2"/>
      <c r="I16" s="28"/>
      <c r="J16" s="28"/>
      <c r="K16" s="28"/>
    </row>
    <row r="17" spans="1:11" x14ac:dyDescent="0.25">
      <c r="A17" s="2"/>
      <c r="B17" s="3"/>
      <c r="C17" s="51"/>
      <c r="D17" s="29"/>
      <c r="E17" s="30"/>
      <c r="F17" s="3"/>
      <c r="G17" s="2"/>
      <c r="I17" s="28"/>
      <c r="J17" s="28"/>
      <c r="K17" s="28"/>
    </row>
    <row r="18" spans="1:11" x14ac:dyDescent="0.25">
      <c r="A18" s="42"/>
      <c r="B18" s="3"/>
      <c r="C18" s="51"/>
      <c r="D18" s="29"/>
      <c r="E18" s="30"/>
      <c r="F18" s="3"/>
      <c r="G18" s="2"/>
      <c r="I18" s="28"/>
      <c r="J18" s="28"/>
      <c r="K18" s="28"/>
    </row>
    <row r="19" spans="1:11" x14ac:dyDescent="0.25">
      <c r="A19" s="2"/>
      <c r="B19" s="3"/>
      <c r="C19" s="51"/>
      <c r="D19" s="29"/>
      <c r="E19" s="30"/>
      <c r="F19" s="3"/>
      <c r="G19" s="2"/>
      <c r="I19" s="28"/>
      <c r="J19" s="28"/>
      <c r="K19" s="28"/>
    </row>
    <row r="20" spans="1:11" x14ac:dyDescent="0.25">
      <c r="A20" s="42"/>
      <c r="B20" s="3"/>
      <c r="C20" s="51"/>
      <c r="D20" s="29"/>
      <c r="E20" s="30"/>
      <c r="F20" s="3"/>
      <c r="G20" s="2"/>
      <c r="I20" s="28"/>
      <c r="J20" s="28"/>
      <c r="K20" s="28"/>
    </row>
    <row r="21" spans="1:11" x14ac:dyDescent="0.25">
      <c r="A21" s="42"/>
      <c r="B21" s="3"/>
      <c r="C21" s="51"/>
      <c r="D21" s="29"/>
      <c r="E21" s="30"/>
      <c r="F21" s="3"/>
      <c r="G21" s="2"/>
      <c r="I21" s="28"/>
      <c r="J21" s="28"/>
      <c r="K21" s="28"/>
    </row>
    <row r="22" spans="1:11" x14ac:dyDescent="0.25">
      <c r="A22" s="42"/>
      <c r="B22" s="3"/>
      <c r="C22" s="51"/>
      <c r="D22" s="29"/>
      <c r="E22" s="30"/>
      <c r="F22" s="3"/>
      <c r="G22" s="2"/>
      <c r="I22" s="28"/>
      <c r="J22" s="28"/>
      <c r="K22" s="28"/>
    </row>
    <row r="23" spans="1:11" x14ac:dyDescent="0.25">
      <c r="A23" s="42"/>
      <c r="B23" s="3"/>
      <c r="C23" s="51"/>
      <c r="D23" s="29"/>
      <c r="E23" s="30"/>
      <c r="F23" s="3"/>
      <c r="G23" s="2"/>
      <c r="I23" s="28"/>
      <c r="J23" s="28"/>
      <c r="K23" s="28"/>
    </row>
    <row r="24" spans="1:11" x14ac:dyDescent="0.25">
      <c r="A24" s="42"/>
      <c r="B24" s="3"/>
      <c r="C24" s="51"/>
      <c r="D24" s="29"/>
      <c r="E24" s="30"/>
      <c r="F24" s="3"/>
      <c r="G24" s="2"/>
      <c r="I24" s="28"/>
      <c r="J24" s="28"/>
      <c r="K24" s="28"/>
    </row>
    <row r="25" spans="1:11" x14ac:dyDescent="0.25">
      <c r="A25" s="42"/>
      <c r="B25" s="3"/>
      <c r="C25" s="51"/>
      <c r="D25" s="29"/>
      <c r="E25" s="30"/>
      <c r="F25" s="3"/>
      <c r="G25" s="2"/>
      <c r="I25" s="28"/>
      <c r="J25" s="28"/>
      <c r="K25" s="28"/>
    </row>
    <row r="26" spans="1:11" x14ac:dyDescent="0.25">
      <c r="A26" s="42"/>
      <c r="B26" s="3"/>
      <c r="C26" s="51"/>
      <c r="D26" s="29"/>
      <c r="E26" s="30"/>
      <c r="F26" s="3"/>
      <c r="G26" s="2"/>
      <c r="I26" s="28"/>
    </row>
    <row r="27" spans="1:11" x14ac:dyDescent="0.25">
      <c r="A27" s="42"/>
      <c r="B27" s="3"/>
      <c r="C27" s="51"/>
      <c r="D27" s="29"/>
      <c r="E27" s="30"/>
      <c r="F27" s="3"/>
      <c r="G27" s="2"/>
    </row>
    <row r="28" spans="1:11" x14ac:dyDescent="0.25">
      <c r="A28" s="42"/>
      <c r="B28" s="3"/>
      <c r="C28" s="51"/>
      <c r="D28" s="29"/>
      <c r="E28" s="30"/>
      <c r="F28" s="3"/>
      <c r="G28" s="2"/>
    </row>
    <row r="29" spans="1:11" x14ac:dyDescent="0.25">
      <c r="A29" s="42"/>
      <c r="B29" s="3"/>
      <c r="C29" s="51"/>
      <c r="D29" s="29"/>
      <c r="E29" s="30"/>
      <c r="F29" s="3"/>
      <c r="G29" s="2"/>
    </row>
    <row r="30" spans="1:11" x14ac:dyDescent="0.25">
      <c r="A30" s="42"/>
      <c r="B30" s="3"/>
      <c r="C30" s="51"/>
      <c r="D30" s="29"/>
      <c r="E30" s="30"/>
      <c r="F30" s="3"/>
      <c r="G30" s="2"/>
    </row>
    <row r="31" spans="1:11" x14ac:dyDescent="0.25">
      <c r="A31" s="42"/>
    </row>
    <row r="32" spans="1:11" x14ac:dyDescent="0.25">
      <c r="A32" s="42"/>
    </row>
    <row r="33" spans="1:1" x14ac:dyDescent="0.25">
      <c r="A33" s="42"/>
    </row>
    <row r="34" spans="1:1" x14ac:dyDescent="0.25">
      <c r="A34" s="42"/>
    </row>
  </sheetData>
  <sortState ref="A8:E11">
    <sortCondition descending="1" ref="D8:D11"/>
  </sortState>
  <phoneticPr fontId="9" type="noConversion"/>
  <printOptions horizontalCentered="1"/>
  <pageMargins left="0.75" right="0.75" top="1" bottom="1" header="0.5" footer="0.5"/>
  <pageSetup orientation="portrait" horizontalDpi="1200" verticalDpi="1200" r:id="rId1"/>
  <headerFooter alignWithMargins="0">
    <oddHeader>&amp;L&amp;"Tahoma,Bold"&amp;11U.S. Biathlon Association&amp;R&amp;"Tahoma,Bold"&amp;11 2018 Race Points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workbookViewId="0">
      <selection activeCell="B9" sqref="B9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11" x14ac:dyDescent="0.25">
      <c r="A1" s="16" t="s">
        <v>22</v>
      </c>
      <c r="B1" s="17" t="s">
        <v>1208</v>
      </c>
      <c r="C1" s="18"/>
      <c r="D1" s="18"/>
      <c r="E1" s="18"/>
      <c r="F1" s="18"/>
      <c r="G1" s="19"/>
    </row>
    <row r="2" spans="1:11" x14ac:dyDescent="0.25">
      <c r="A2" s="20" t="s">
        <v>23</v>
      </c>
      <c r="B2" s="21">
        <v>43127</v>
      </c>
      <c r="C2" s="22"/>
      <c r="D2" s="22"/>
      <c r="E2" s="22"/>
      <c r="F2" s="22"/>
      <c r="G2" s="23"/>
    </row>
    <row r="3" spans="1:11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11" x14ac:dyDescent="0.25">
      <c r="A4" s="20" t="s">
        <v>1</v>
      </c>
      <c r="B4" s="24" t="s">
        <v>670</v>
      </c>
      <c r="C4" s="22"/>
      <c r="D4" s="22"/>
      <c r="E4" s="22"/>
      <c r="F4" s="22"/>
      <c r="G4" s="23"/>
    </row>
    <row r="5" spans="1:11" x14ac:dyDescent="0.25">
      <c r="A5" s="20" t="s">
        <v>27</v>
      </c>
      <c r="B5" s="24" t="s">
        <v>1209</v>
      </c>
      <c r="C5" s="22"/>
      <c r="D5" s="22"/>
      <c r="E5" s="22" t="s">
        <v>55</v>
      </c>
      <c r="F5" s="38">
        <f>AVERAGE(C8:C10)*(AVERAGE(D8:D10)/100)</f>
        <v>1.8641413459536162E-2</v>
      </c>
      <c r="G5" s="23"/>
    </row>
    <row r="6" spans="1:11" x14ac:dyDescent="0.25">
      <c r="A6" s="25" t="s">
        <v>29</v>
      </c>
      <c r="B6" s="26"/>
      <c r="C6" s="26"/>
      <c r="D6" s="26"/>
      <c r="E6" s="26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11" x14ac:dyDescent="0.25">
      <c r="A8" s="2">
        <v>36</v>
      </c>
      <c r="B8" s="3" t="s">
        <v>756</v>
      </c>
      <c r="C8" s="51">
        <v>2.0030092592592592E-2</v>
      </c>
      <c r="D8" s="29">
        <f>INDEX('Points Summary'!$E$4:$E$1143,G8)</f>
        <v>93.114680449247487</v>
      </c>
      <c r="E8" s="124">
        <f>(AVERAGE($D$8:$D$10)/100*AVERAGE($C$8:$C$10))/C8</f>
        <v>0.93067035877957027</v>
      </c>
      <c r="F8" s="3"/>
      <c r="G8" s="2">
        <f>MATCH(B8,'Points Summary'!$B$4:$B$1144,0)</f>
        <v>80</v>
      </c>
      <c r="I8" s="28"/>
      <c r="J8" s="28"/>
      <c r="K8" s="28"/>
    </row>
    <row r="9" spans="1:11" x14ac:dyDescent="0.25">
      <c r="A9" s="2">
        <v>67</v>
      </c>
      <c r="B9" s="3" t="s">
        <v>805</v>
      </c>
      <c r="C9" s="51">
        <v>2.1312500000000002E-2</v>
      </c>
      <c r="D9" s="29">
        <f>INDEX('Points Summary'!$E$4:$E$1143,G9)</f>
        <v>88.827744779758717</v>
      </c>
      <c r="E9" s="124">
        <f>(AVERAGE($D$8:$D$10)/100*AVERAGE($C$8:$C$10))/C9</f>
        <v>0.87467042625389613</v>
      </c>
      <c r="F9" s="3"/>
      <c r="G9" s="2">
        <f>MATCH(B9,'Points Summary'!$B$4:$B$1144,0)</f>
        <v>307</v>
      </c>
      <c r="I9" s="28"/>
      <c r="J9" s="28"/>
      <c r="K9" s="28"/>
    </row>
    <row r="10" spans="1:11" x14ac:dyDescent="0.25">
      <c r="A10" s="2">
        <v>69</v>
      </c>
      <c r="B10" s="3" t="s">
        <v>1028</v>
      </c>
      <c r="C10" s="51">
        <v>2.1355324074074075E-2</v>
      </c>
      <c r="D10" s="29">
        <f>INDEX('Points Summary'!$E$4:$E$1143,G10)</f>
        <v>85.646563457473988</v>
      </c>
      <c r="E10" s="124">
        <f>(AVERAGE($D$8:$D$10)/100*AVERAGE($C$8:$C$10))/C10</f>
        <v>0.87291643970729194</v>
      </c>
      <c r="F10" s="3"/>
      <c r="G10" s="2">
        <f>MATCH(B10,'Points Summary'!$B$4:$B$1144,0)</f>
        <v>28</v>
      </c>
      <c r="I10" s="28"/>
      <c r="J10" s="28"/>
      <c r="K10" s="28"/>
    </row>
    <row r="11" spans="1:11" x14ac:dyDescent="0.25">
      <c r="A11" s="2">
        <v>72</v>
      </c>
      <c r="B11" s="3" t="s">
        <v>714</v>
      </c>
      <c r="C11" s="51">
        <v>2.1432870370370369E-2</v>
      </c>
      <c r="D11" s="29">
        <f>INDEX('Points Summary'!$E$4:$E$1143,G11)</f>
        <v>83.939036057542722</v>
      </c>
      <c r="E11" s="124">
        <f>(AVERAGE($D$8:$D$10)/100*AVERAGE($C$8:$C$10))/C11</f>
        <v>0.86975813959602788</v>
      </c>
      <c r="F11" s="3"/>
      <c r="G11" s="2">
        <f>MATCH(B11,'Points Summary'!$B$4:$B$1144,0)</f>
        <v>220</v>
      </c>
    </row>
    <row r="12" spans="1:11" x14ac:dyDescent="0.25">
      <c r="A12" s="42"/>
      <c r="B12" s="3"/>
      <c r="C12" s="51"/>
      <c r="D12" s="29"/>
      <c r="E12" s="124"/>
      <c r="F12" s="3"/>
      <c r="G12" s="2"/>
      <c r="I12" s="28"/>
    </row>
    <row r="13" spans="1:11" x14ac:dyDescent="0.25">
      <c r="A13" s="2"/>
      <c r="B13" s="3"/>
      <c r="C13" s="51"/>
      <c r="D13" s="29"/>
      <c r="E13" s="30"/>
      <c r="F13" s="3"/>
      <c r="G13" s="2"/>
    </row>
    <row r="14" spans="1:11" x14ac:dyDescent="0.25">
      <c r="A14" s="2"/>
      <c r="B14" s="3"/>
      <c r="C14" s="51"/>
      <c r="D14" s="29"/>
      <c r="E14" s="30"/>
      <c r="F14" s="3"/>
      <c r="G14" s="2"/>
    </row>
    <row r="15" spans="1:11" x14ac:dyDescent="0.25">
      <c r="A15" s="2"/>
      <c r="B15" s="3"/>
      <c r="C15" s="28"/>
      <c r="D15" s="29"/>
      <c r="E15" s="30"/>
      <c r="F15" s="3"/>
      <c r="G15" s="2"/>
      <c r="I15" s="75" t="s">
        <v>29</v>
      </c>
    </row>
    <row r="16" spans="1:11" x14ac:dyDescent="0.25">
      <c r="A16" s="2"/>
      <c r="B16" s="3"/>
      <c r="C16" s="28"/>
      <c r="D16" s="29"/>
      <c r="E16" s="30"/>
      <c r="F16" s="3"/>
      <c r="G16" s="2"/>
    </row>
    <row r="17" spans="1:7" x14ac:dyDescent="0.25">
      <c r="A17" s="2"/>
      <c r="B17" s="3"/>
      <c r="C17" s="28"/>
      <c r="D17" s="29"/>
      <c r="E17" s="30"/>
      <c r="F17" s="3"/>
      <c r="G17" s="2"/>
    </row>
    <row r="18" spans="1:7" x14ac:dyDescent="0.25">
      <c r="A18" s="2"/>
      <c r="B18" s="3"/>
      <c r="C18" s="28"/>
      <c r="D18" s="29"/>
      <c r="E18" s="30"/>
      <c r="F18" s="3"/>
      <c r="G18" s="2"/>
    </row>
    <row r="19" spans="1:7" x14ac:dyDescent="0.25">
      <c r="A19" s="2"/>
      <c r="B19" s="3"/>
      <c r="C19" s="28"/>
      <c r="D19" s="29"/>
      <c r="E19" s="30"/>
      <c r="F19" s="3"/>
      <c r="G19" s="2"/>
    </row>
    <row r="20" spans="1:7" x14ac:dyDescent="0.25">
      <c r="A20" s="2"/>
      <c r="B20" s="3"/>
      <c r="C20" s="28"/>
      <c r="D20" s="29"/>
      <c r="E20" s="30"/>
      <c r="F20" s="3"/>
      <c r="G20" s="2"/>
    </row>
    <row r="21" spans="1:7" x14ac:dyDescent="0.25">
      <c r="A21" s="2"/>
      <c r="B21" s="3"/>
      <c r="C21" s="28"/>
      <c r="D21" s="29"/>
      <c r="E21" s="30"/>
      <c r="F21" s="3"/>
      <c r="G21" s="2"/>
    </row>
    <row r="22" spans="1:7" x14ac:dyDescent="0.25">
      <c r="A22" s="2"/>
      <c r="B22" s="3"/>
      <c r="C22" s="28"/>
      <c r="D22" s="29"/>
      <c r="E22" s="30"/>
      <c r="F22" s="3"/>
      <c r="G22" s="2"/>
    </row>
    <row r="23" spans="1:7" x14ac:dyDescent="0.25">
      <c r="A23" s="2"/>
      <c r="B23" s="3"/>
      <c r="C23" s="28"/>
      <c r="D23" s="29"/>
      <c r="E23" s="30"/>
      <c r="F23" s="3"/>
      <c r="G23" s="2"/>
    </row>
    <row r="24" spans="1:7" x14ac:dyDescent="0.25">
      <c r="A24" s="2"/>
      <c r="B24" s="3"/>
      <c r="C24" s="28"/>
      <c r="D24" s="29"/>
      <c r="E24" s="30"/>
      <c r="F24" s="3"/>
      <c r="G24" s="2"/>
    </row>
    <row r="25" spans="1:7" x14ac:dyDescent="0.25">
      <c r="A25" s="2"/>
      <c r="B25" s="3"/>
      <c r="C25" s="28"/>
      <c r="D25" s="29"/>
      <c r="E25" s="30"/>
      <c r="F25" s="3"/>
      <c r="G25" s="2"/>
    </row>
    <row r="26" spans="1:7" x14ac:dyDescent="0.25">
      <c r="A26" s="2"/>
      <c r="B26" s="3"/>
      <c r="C26" s="28"/>
      <c r="D26" s="29"/>
      <c r="E26" s="30"/>
      <c r="F26" s="3"/>
      <c r="G26" s="2"/>
    </row>
    <row r="27" spans="1:7" x14ac:dyDescent="0.25">
      <c r="A27" s="2"/>
      <c r="B27" s="3"/>
      <c r="C27" s="28"/>
      <c r="D27" s="29"/>
      <c r="E27" s="30"/>
      <c r="F27" s="3"/>
      <c r="G27" s="2"/>
    </row>
  </sheetData>
  <sortState ref="A8:G11">
    <sortCondition descending="1" ref="D8:D11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
 Race Points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workbookViewId="0">
      <selection activeCell="B8" sqref="B8:B12"/>
    </sheetView>
  </sheetViews>
  <sheetFormatPr defaultRowHeight="13.2" x14ac:dyDescent="0.25"/>
  <cols>
    <col min="2" max="2" width="20.6640625" customWidth="1"/>
    <col min="3" max="7" width="9.6640625" customWidth="1"/>
  </cols>
  <sheetData>
    <row r="1" spans="1:7" x14ac:dyDescent="0.25">
      <c r="A1" s="16" t="s">
        <v>22</v>
      </c>
      <c r="B1" s="17" t="s">
        <v>1015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43077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 t="s">
        <v>29</v>
      </c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884</v>
      </c>
      <c r="C5" s="22"/>
      <c r="D5" s="22"/>
      <c r="E5" s="22" t="s">
        <v>55</v>
      </c>
      <c r="F5" s="38">
        <f>AVERAGE(C8:C12)*(AVERAGE(D8:D12)/100)</f>
        <v>1.8100075614848481E-2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53</v>
      </c>
      <c r="B8" s="114" t="s">
        <v>84</v>
      </c>
      <c r="C8" s="156">
        <v>1.8643518518518521E-2</v>
      </c>
      <c r="D8" s="29">
        <f>INDEX('Points Summary'!$H$4:$H$1143,G8)</f>
        <v>100.00430567075759</v>
      </c>
      <c r="E8" s="124">
        <f>(AVERAGE($D$8:$D$9)/100*AVERAGE($C$8:$C$9))/C8</f>
        <v>0.98535685701970677</v>
      </c>
      <c r="F8" s="3"/>
      <c r="G8" s="2">
        <f>MATCH(B8,'Points Summary'!$B$4:$B$1144,0)</f>
        <v>13</v>
      </c>
    </row>
    <row r="9" spans="1:7" x14ac:dyDescent="0.25">
      <c r="A9" s="2">
        <v>73</v>
      </c>
      <c r="B9" s="3" t="s">
        <v>7</v>
      </c>
      <c r="C9" s="156">
        <v>1.8971064814814816E-2</v>
      </c>
      <c r="D9" s="29">
        <f>INDEX('Points Summary'!$H$4:$H$1143,G9)</f>
        <v>95.350976065584277</v>
      </c>
      <c r="E9" s="124">
        <f>(AVERAGE($D$8:$D$9)/100*AVERAGE($C$8:$C$9))/C9</f>
        <v>0.96834410669717763</v>
      </c>
      <c r="F9" s="3"/>
      <c r="G9" s="2">
        <f>MATCH(B9,'Points Summary'!$B$4:$B$1144,0)</f>
        <v>63</v>
      </c>
    </row>
    <row r="10" spans="1:7" x14ac:dyDescent="0.25">
      <c r="A10" s="2">
        <v>98</v>
      </c>
      <c r="B10" s="114" t="s">
        <v>70</v>
      </c>
      <c r="C10" s="156">
        <v>1.9428240740740742E-2</v>
      </c>
      <c r="D10" s="29">
        <f>INDEX('Points Summary'!$H$4:$H$1143,G10)</f>
        <v>94.642791354956501</v>
      </c>
      <c r="E10" s="124">
        <f>(AVERAGE($D$8:$D$9)/100*AVERAGE($C$8:$C$9))/C10</f>
        <v>0.94555750344772049</v>
      </c>
      <c r="F10" s="3"/>
      <c r="G10" s="2">
        <f>MATCH(B10,'Points Summary'!$B$4:$B$1144,0)</f>
        <v>309</v>
      </c>
    </row>
    <row r="11" spans="1:7" x14ac:dyDescent="0.25">
      <c r="A11" s="2">
        <v>103</v>
      </c>
      <c r="B11" s="3" t="s">
        <v>762</v>
      </c>
      <c r="C11" s="156">
        <v>1.9594907407407405E-2</v>
      </c>
      <c r="D11" s="29">
        <f>INDEX('Points Summary'!$H$4:$H$1143,G11)</f>
        <v>94.093188352610781</v>
      </c>
      <c r="E11" s="124">
        <f>(AVERAGE($D$8:$D$9)/100*AVERAGE($C$8:$C$9))/C11</f>
        <v>0.93751495882300295</v>
      </c>
      <c r="F11" s="3"/>
      <c r="G11" s="2">
        <f>MATCH(B11,'Points Summary'!$B$4:$B$1144,0)</f>
        <v>366</v>
      </c>
    </row>
    <row r="12" spans="1:7" x14ac:dyDescent="0.25">
      <c r="A12" s="2">
        <v>22</v>
      </c>
      <c r="B12" s="114" t="s">
        <v>189</v>
      </c>
      <c r="C12" s="156">
        <v>1.8027777777777778E-2</v>
      </c>
      <c r="D12" s="29">
        <f>INDEX('Points Summary'!$H$4:$H$1143,G12)</f>
        <v>93.909537275665315</v>
      </c>
      <c r="E12" s="124">
        <f>(AVERAGE($D$8:$D$9)/100*AVERAGE($C$8:$C$9))/C12</f>
        <v>1.0190118292805237</v>
      </c>
      <c r="F12" s="3"/>
      <c r="G12" s="2">
        <f>MATCH(B12,'Points Summary'!$B$4:$B$1144,0)</f>
        <v>120</v>
      </c>
    </row>
    <row r="13" spans="1:7" x14ac:dyDescent="0.25">
      <c r="A13" s="2"/>
      <c r="B13" s="114"/>
      <c r="C13" s="38"/>
      <c r="D13" s="29"/>
      <c r="E13" s="30"/>
      <c r="F13" s="3"/>
      <c r="G13" s="2"/>
    </row>
    <row r="14" spans="1:7" x14ac:dyDescent="0.25">
      <c r="A14" s="2"/>
      <c r="B14" s="199"/>
      <c r="C14" s="198"/>
      <c r="D14" s="29"/>
      <c r="E14" s="124"/>
      <c r="F14" s="2"/>
      <c r="G14" s="2"/>
    </row>
    <row r="15" spans="1:7" x14ac:dyDescent="0.25">
      <c r="A15" s="2"/>
      <c r="B15" s="199"/>
      <c r="C15" s="156"/>
      <c r="D15" s="156"/>
      <c r="E15" s="51"/>
      <c r="F15" s="156"/>
      <c r="G15" s="2"/>
    </row>
    <row r="16" spans="1:7" x14ac:dyDescent="0.25">
      <c r="A16" s="2"/>
      <c r="B16" s="199"/>
      <c r="C16" s="156"/>
      <c r="D16" s="156"/>
      <c r="E16" s="51"/>
      <c r="F16" s="156"/>
      <c r="G16" s="2"/>
    </row>
    <row r="17" spans="1:7" x14ac:dyDescent="0.25">
      <c r="A17" s="2"/>
      <c r="B17" s="114"/>
      <c r="C17" s="38"/>
      <c r="D17" s="29"/>
      <c r="E17" s="30"/>
      <c r="F17" s="3"/>
      <c r="G17" s="2"/>
    </row>
    <row r="18" spans="1:7" x14ac:dyDescent="0.25">
      <c r="A18" s="2"/>
      <c r="B18" s="114"/>
      <c r="C18" s="38"/>
      <c r="D18" s="29"/>
      <c r="E18" s="30"/>
      <c r="F18" s="3"/>
      <c r="G18" s="2"/>
    </row>
    <row r="19" spans="1:7" x14ac:dyDescent="0.25">
      <c r="A19" s="2"/>
      <c r="B19" s="114"/>
      <c r="C19" s="38"/>
      <c r="D19" s="29"/>
      <c r="E19" s="30"/>
      <c r="F19" s="3"/>
      <c r="G19" s="2"/>
    </row>
    <row r="20" spans="1:7" x14ac:dyDescent="0.25">
      <c r="A20" s="2"/>
      <c r="B20" s="114"/>
      <c r="C20" s="38"/>
      <c r="D20" s="29"/>
      <c r="E20" s="30"/>
      <c r="F20" s="3"/>
      <c r="G20" s="2"/>
    </row>
    <row r="21" spans="1:7" x14ac:dyDescent="0.25">
      <c r="A21" s="2"/>
      <c r="B21" s="114"/>
      <c r="C21" s="38"/>
      <c r="D21" s="29"/>
      <c r="E21" s="30"/>
      <c r="F21" s="3"/>
      <c r="G21" s="2"/>
    </row>
    <row r="22" spans="1:7" x14ac:dyDescent="0.25">
      <c r="A22" s="42"/>
      <c r="B22" s="3"/>
      <c r="C22" s="28"/>
      <c r="D22" s="29"/>
      <c r="E22" s="30"/>
      <c r="F22" s="3"/>
      <c r="G22" s="2"/>
    </row>
    <row r="23" spans="1:7" x14ac:dyDescent="0.25">
      <c r="A23" s="42"/>
      <c r="B23" s="3"/>
      <c r="C23" s="28"/>
      <c r="D23" s="29"/>
      <c r="E23" s="30"/>
      <c r="F23" s="3"/>
      <c r="G23" s="2"/>
    </row>
    <row r="24" spans="1:7" x14ac:dyDescent="0.25">
      <c r="A24" s="42"/>
      <c r="B24" s="3"/>
      <c r="C24" s="28"/>
      <c r="D24" s="29"/>
      <c r="E24" s="30"/>
      <c r="F24" s="3"/>
      <c r="G24" s="2"/>
    </row>
    <row r="25" spans="1:7" x14ac:dyDescent="0.25">
      <c r="A25" s="42"/>
      <c r="B25" s="3"/>
      <c r="C25" s="28"/>
      <c r="D25" s="29"/>
      <c r="E25" s="30"/>
      <c r="F25" s="3"/>
      <c r="G25" s="2"/>
    </row>
    <row r="26" spans="1:7" x14ac:dyDescent="0.25">
      <c r="A26" s="42"/>
      <c r="B26" s="3"/>
      <c r="C26" s="28"/>
      <c r="D26" s="29"/>
      <c r="E26" s="30"/>
      <c r="F26" s="3"/>
      <c r="G26" s="2"/>
    </row>
    <row r="27" spans="1:7" x14ac:dyDescent="0.25">
      <c r="A27" s="42"/>
      <c r="B27" s="3"/>
      <c r="C27" s="28"/>
      <c r="D27" s="29"/>
      <c r="E27" s="30"/>
      <c r="F27" s="3"/>
      <c r="G27" s="2"/>
    </row>
    <row r="28" spans="1:7" x14ac:dyDescent="0.25">
      <c r="A28" s="42"/>
      <c r="B28" s="3"/>
      <c r="C28" s="28"/>
      <c r="D28" s="29"/>
      <c r="E28" s="30"/>
      <c r="F28" s="3"/>
      <c r="G28" s="2"/>
    </row>
    <row r="29" spans="1:7" x14ac:dyDescent="0.25">
      <c r="A29" s="42"/>
      <c r="B29" s="3"/>
      <c r="C29" s="28"/>
      <c r="D29" s="29"/>
      <c r="E29" s="30"/>
      <c r="F29" s="3"/>
      <c r="G29" s="2"/>
    </row>
    <row r="30" spans="1:7" x14ac:dyDescent="0.25">
      <c r="A30" s="42"/>
      <c r="B30" s="3"/>
      <c r="C30" s="28"/>
      <c r="D30" s="29"/>
      <c r="E30" s="30"/>
      <c r="F30" s="3"/>
      <c r="G30" s="2"/>
    </row>
    <row r="31" spans="1:7" x14ac:dyDescent="0.25">
      <c r="B31" s="3"/>
      <c r="C31" s="28"/>
      <c r="D31" s="29"/>
      <c r="E31" s="30"/>
      <c r="F31" s="3"/>
      <c r="G31" s="2"/>
    </row>
    <row r="32" spans="1:7" x14ac:dyDescent="0.25">
      <c r="B32" s="3"/>
      <c r="C32" s="28"/>
      <c r="D32" s="29"/>
      <c r="E32" s="30"/>
      <c r="F32" s="3"/>
      <c r="G32" s="2"/>
    </row>
  </sheetData>
  <sortState ref="A8:G12">
    <sortCondition descending="1" ref="D8:D12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workbookViewId="0">
      <selection activeCell="B9" sqref="B9:B1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1210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43134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670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1211</v>
      </c>
      <c r="C5" s="22"/>
      <c r="D5" s="22"/>
      <c r="E5" s="22" t="s">
        <v>55</v>
      </c>
      <c r="F5" s="38">
        <f>AVERAGE(C8:C10)*(AVERAGE(D8:D10)/100)</f>
        <v>2.2430192736076989E-2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43</v>
      </c>
      <c r="B8" s="3" t="s">
        <v>756</v>
      </c>
      <c r="C8" s="28">
        <v>2.3326388888888893E-2</v>
      </c>
      <c r="D8" s="29">
        <f>INDEX('Points Summary'!$F$4:$F$1143,G8)</f>
        <v>93.114680449247487</v>
      </c>
      <c r="E8" s="124">
        <f>(AVERAGE($D$8:$D$10)/100*AVERAGE($C$8:$C$10))/C8</f>
        <v>0.96158015897442273</v>
      </c>
      <c r="F8" s="3"/>
      <c r="G8" s="2">
        <f>MATCH(B8,'Points Summary'!$B$4:$B$1144,0)</f>
        <v>80</v>
      </c>
    </row>
    <row r="9" spans="1:7" x14ac:dyDescent="0.25">
      <c r="A9" s="2">
        <v>105</v>
      </c>
      <c r="B9" s="3" t="s">
        <v>805</v>
      </c>
      <c r="C9" s="28">
        <v>2.6555555555555558E-2</v>
      </c>
      <c r="D9" s="29">
        <f>INDEX('Points Summary'!$F$4:$F$1143,G9)</f>
        <v>88.827744779758717</v>
      </c>
      <c r="E9" s="124">
        <f>(AVERAGE($D$8:$D$10)/100*AVERAGE($C$8:$C$10))/C9</f>
        <v>0.84465160930833838</v>
      </c>
      <c r="F9" s="3"/>
      <c r="G9" s="2">
        <f>MATCH(B9,'Points Summary'!$B$4:$B$1144,0)</f>
        <v>307</v>
      </c>
    </row>
    <row r="10" spans="1:7" x14ac:dyDescent="0.25">
      <c r="A10" s="2">
        <v>91</v>
      </c>
      <c r="B10" s="3" t="s">
        <v>1028</v>
      </c>
      <c r="C10" s="28">
        <v>2.5559027777777774E-2</v>
      </c>
      <c r="D10" s="29">
        <f>INDEX('Points Summary'!$F$4:$F$1143,G10)</f>
        <v>85.646563457473988</v>
      </c>
      <c r="E10" s="124">
        <f>(AVERAGE($D$8:$D$10)/100*AVERAGE($C$8:$C$10))/C10</f>
        <v>0.87758395706971526</v>
      </c>
      <c r="F10" s="3"/>
      <c r="G10" s="2">
        <f>MATCH(B10,'Points Summary'!$B$4:$B$1144,0)</f>
        <v>28</v>
      </c>
    </row>
    <row r="11" spans="1:7" x14ac:dyDescent="0.25">
      <c r="A11" s="2">
        <v>101</v>
      </c>
      <c r="B11" s="3" t="s">
        <v>714</v>
      </c>
      <c r="C11" s="28">
        <v>2.6156250000000002E-2</v>
      </c>
      <c r="D11" s="29">
        <f>INDEX('Points Summary'!$F$4:$F$1143,G11)</f>
        <v>83.939036057542722</v>
      </c>
      <c r="E11" s="124">
        <f>(AVERAGE($D$8:$D$10)/100*AVERAGE($C$8:$C$10))/C11</f>
        <v>0.85754619779505803</v>
      </c>
      <c r="F11" s="3"/>
      <c r="G11" s="2">
        <f>MATCH(B11,'Points Summary'!$B$4:$B$1144,0)</f>
        <v>220</v>
      </c>
    </row>
    <row r="12" spans="1:7" x14ac:dyDescent="0.25">
      <c r="A12" s="2"/>
      <c r="B12" s="3"/>
      <c r="C12" s="28"/>
      <c r="D12" s="29"/>
      <c r="E12" s="124"/>
      <c r="F12" s="3"/>
      <c r="G12" s="2"/>
    </row>
    <row r="13" spans="1:7" x14ac:dyDescent="0.25">
      <c r="A13" s="2"/>
      <c r="B13" s="3"/>
      <c r="C13" s="28"/>
      <c r="D13" s="29"/>
      <c r="E13" s="124"/>
      <c r="F13" s="3"/>
      <c r="G13" s="2"/>
    </row>
    <row r="14" spans="1:7" x14ac:dyDescent="0.25">
      <c r="A14" s="2"/>
      <c r="B14" s="3"/>
      <c r="C14" s="28"/>
      <c r="D14" s="29"/>
      <c r="E14" s="124"/>
      <c r="F14" s="3"/>
      <c r="G14" s="2"/>
    </row>
    <row r="15" spans="1:7" x14ac:dyDescent="0.25">
      <c r="A15" s="2"/>
      <c r="B15" s="3"/>
      <c r="C15" s="28"/>
      <c r="D15" s="29"/>
      <c r="E15" s="124"/>
      <c r="F15" s="3"/>
      <c r="G15" s="2"/>
    </row>
    <row r="16" spans="1:7" x14ac:dyDescent="0.25">
      <c r="A16" s="2"/>
      <c r="B16" s="3"/>
      <c r="C16" s="28"/>
      <c r="D16" s="29"/>
      <c r="E16" s="124"/>
      <c r="F16" s="3"/>
      <c r="G16" s="2"/>
    </row>
    <row r="17" spans="1:7" x14ac:dyDescent="0.25">
      <c r="A17" s="2"/>
      <c r="B17" s="3"/>
      <c r="C17" s="28"/>
      <c r="D17" s="29"/>
      <c r="E17" s="124"/>
      <c r="F17" s="3"/>
      <c r="G17" s="2"/>
    </row>
    <row r="18" spans="1:7" x14ac:dyDescent="0.25">
      <c r="A18" s="2"/>
      <c r="B18" s="3"/>
      <c r="C18" s="51"/>
      <c r="D18" s="29"/>
      <c r="E18" s="124"/>
      <c r="F18" s="3"/>
      <c r="G18" s="2"/>
    </row>
    <row r="19" spans="1:7" x14ac:dyDescent="0.25">
      <c r="A19" s="42"/>
      <c r="B19" s="3"/>
      <c r="C19" s="51"/>
      <c r="D19" s="29"/>
      <c r="E19" s="124"/>
      <c r="F19" s="3"/>
      <c r="G19" s="2"/>
    </row>
    <row r="20" spans="1:7" x14ac:dyDescent="0.25">
      <c r="A20" s="42"/>
      <c r="B20" s="3"/>
      <c r="C20" s="28"/>
      <c r="D20" s="29"/>
      <c r="E20" s="30"/>
      <c r="F20" s="3"/>
      <c r="G20" s="2"/>
    </row>
    <row r="21" spans="1:7" x14ac:dyDescent="0.25">
      <c r="A21" s="42"/>
      <c r="B21" s="3"/>
      <c r="C21" s="28"/>
      <c r="D21" s="29"/>
      <c r="E21" s="30"/>
      <c r="F21" s="3"/>
      <c r="G21" s="2"/>
    </row>
    <row r="22" spans="1:7" x14ac:dyDescent="0.25">
      <c r="A22" s="42"/>
      <c r="B22" s="3"/>
      <c r="C22" s="28"/>
      <c r="D22" s="29"/>
      <c r="E22" s="30"/>
      <c r="F22" s="3"/>
      <c r="G22" s="2"/>
    </row>
    <row r="23" spans="1:7" x14ac:dyDescent="0.25">
      <c r="A23" s="42"/>
      <c r="B23" s="3"/>
      <c r="C23" s="28"/>
      <c r="D23" s="29"/>
      <c r="E23" s="30"/>
      <c r="F23" s="3"/>
      <c r="G23" s="2"/>
    </row>
    <row r="24" spans="1:7" x14ac:dyDescent="0.25">
      <c r="A24" s="42"/>
      <c r="B24" s="3"/>
      <c r="C24" s="28"/>
      <c r="D24" s="29"/>
      <c r="E24" s="30"/>
      <c r="F24" s="3"/>
      <c r="G24" s="2"/>
    </row>
    <row r="25" spans="1:7" x14ac:dyDescent="0.25">
      <c r="B25" s="3"/>
      <c r="C25" s="44"/>
    </row>
    <row r="26" spans="1:7" x14ac:dyDescent="0.25">
      <c r="B26" s="3"/>
      <c r="C26" s="44"/>
    </row>
    <row r="27" spans="1:7" x14ac:dyDescent="0.25">
      <c r="B27" s="3"/>
      <c r="C27" s="44"/>
    </row>
    <row r="28" spans="1:7" x14ac:dyDescent="0.25">
      <c r="B28" s="3"/>
      <c r="C28" s="44"/>
    </row>
    <row r="29" spans="1:7" x14ac:dyDescent="0.25">
      <c r="B29" s="3"/>
      <c r="C29" s="44"/>
    </row>
  </sheetData>
  <sortState ref="A8:G11">
    <sortCondition descending="1" ref="D8:D11"/>
  </sortState>
  <phoneticPr fontId="0" type="noConversion"/>
  <printOptions horizontalCentered="1"/>
  <pageMargins left="0.75" right="0.75" top="1" bottom="1" header="0.5" footer="0.5"/>
  <pageSetup orientation="portrait" horizontalDpi="300" verticalDpi="300" r:id="rId1"/>
  <headerFooter alignWithMargins="0">
    <oddHeader>&amp;L&amp;"Tahoma,Bold"&amp;11U.S. Biathlon Association&amp;R&amp;"Tahoma,Bold"&amp;11 2018 Race Points</oddHeader>
    <oddFooter>&amp;R&amp;"Tahoma,Regular"Page &amp;P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workbookViewId="0">
      <selection activeCell="B2" sqref="B2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1206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43160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44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670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1212</v>
      </c>
      <c r="C5" s="22"/>
      <c r="D5" s="22"/>
      <c r="E5" s="22" t="s">
        <v>55</v>
      </c>
      <c r="F5" s="38">
        <f>AVERAGE(C8:C10)*(AVERAGE(D8:D10)/100)</f>
        <v>3.0216767703781417E-2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3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53</v>
      </c>
      <c r="B8" s="3" t="s">
        <v>1034</v>
      </c>
      <c r="C8" s="28">
        <v>3.3770833333333333E-2</v>
      </c>
      <c r="D8" s="29">
        <f>INDEX('Points Summary'!$F$4:$F$1143,G8)</f>
        <v>84.278844281290986</v>
      </c>
      <c r="E8" s="124">
        <f>(AVERAGE($D$8:$D$10)/100*AVERAGE($C$8:$C$10))/C8</f>
        <v>0.89475931510271933</v>
      </c>
      <c r="F8" s="3"/>
      <c r="G8" s="2">
        <f>MATCH(B8,'Points Summary'!$B$4:$B$1144,0)</f>
        <v>103</v>
      </c>
    </row>
    <row r="9" spans="1:7" x14ac:dyDescent="0.25">
      <c r="A9" s="2">
        <v>60</v>
      </c>
      <c r="B9" s="3" t="s">
        <v>714</v>
      </c>
      <c r="C9" s="28">
        <v>3.4608796296296297E-2</v>
      </c>
      <c r="D9" s="29">
        <f>INDEX('Points Summary'!$F$4:$F$1143,G9)</f>
        <v>83.939036057542722</v>
      </c>
      <c r="E9" s="124">
        <f>(AVERAGE($D$8:$D$10)/100*AVERAGE($C$8:$C$10))/C9</f>
        <v>0.87309502026844843</v>
      </c>
      <c r="F9" s="3"/>
      <c r="G9" s="2">
        <f>MATCH(B9,'Points Summary'!$B$4:$B$1144,0)</f>
        <v>220</v>
      </c>
    </row>
    <row r="10" spans="1:7" x14ac:dyDescent="0.25">
      <c r="A10" s="2">
        <v>83</v>
      </c>
      <c r="B10" s="3" t="s">
        <v>796</v>
      </c>
      <c r="C10" s="28">
        <v>4.0603009259259255E-2</v>
      </c>
      <c r="D10" s="29">
        <f>INDEX('Points Summary'!$F$4:$F$1143,G10)</f>
        <v>81.31811191337728</v>
      </c>
      <c r="E10" s="124">
        <f>(AVERAGE($D$8:$D$10)/100*AVERAGE($C$8:$C$10))/C10</f>
        <v>0.74420020227664962</v>
      </c>
      <c r="F10" s="3"/>
      <c r="G10" s="2">
        <f>MATCH(B10,'Points Summary'!$B$4:$B$1144,0)</f>
        <v>320</v>
      </c>
    </row>
    <row r="11" spans="1:7" x14ac:dyDescent="0.25">
      <c r="A11" s="2">
        <v>84</v>
      </c>
      <c r="B11" s="3" t="s">
        <v>711</v>
      </c>
      <c r="C11" s="28">
        <v>4.0765046296296299E-2</v>
      </c>
      <c r="D11" s="29">
        <f>INDEX('Points Summary'!$F$4:$F$1143,G11)</f>
        <v>79.623449982589136</v>
      </c>
      <c r="E11" s="124">
        <f>(AVERAGE($D$8:$D$10)/100*AVERAGE($C$8:$C$10))/C11</f>
        <v>0.74124207989742319</v>
      </c>
      <c r="F11" s="3"/>
      <c r="G11" s="2">
        <f>MATCH(B11,'Points Summary'!$B$4:$B$1144,0)</f>
        <v>85</v>
      </c>
    </row>
    <row r="12" spans="1:7" x14ac:dyDescent="0.25">
      <c r="A12" s="2"/>
      <c r="B12" s="3"/>
      <c r="C12" s="28"/>
      <c r="D12" s="29"/>
      <c r="E12" s="30"/>
      <c r="F12" s="3"/>
      <c r="G12" s="2"/>
    </row>
    <row r="13" spans="1:7" x14ac:dyDescent="0.25">
      <c r="A13" s="2"/>
      <c r="B13" s="3"/>
      <c r="C13" s="28"/>
      <c r="D13" s="29"/>
      <c r="E13" s="30"/>
      <c r="F13" s="3"/>
      <c r="G13" s="2"/>
    </row>
    <row r="14" spans="1:7" x14ac:dyDescent="0.25">
      <c r="A14" s="2"/>
      <c r="B14" s="3"/>
      <c r="C14" s="28"/>
      <c r="D14" s="29"/>
      <c r="E14" s="30"/>
      <c r="F14" s="3"/>
      <c r="G14" s="2"/>
    </row>
    <row r="15" spans="1:7" x14ac:dyDescent="0.25">
      <c r="A15" s="2"/>
      <c r="B15" s="3"/>
      <c r="C15" s="28"/>
      <c r="D15" s="29"/>
      <c r="E15" s="30"/>
      <c r="F15" s="3"/>
      <c r="G15" s="2"/>
    </row>
    <row r="16" spans="1:7" x14ac:dyDescent="0.25">
      <c r="A16" s="2"/>
      <c r="B16" s="3"/>
      <c r="C16" s="28"/>
      <c r="D16" s="29"/>
      <c r="E16" s="30"/>
      <c r="F16" s="3"/>
      <c r="G16" s="2"/>
    </row>
    <row r="17" spans="1:7" x14ac:dyDescent="0.25">
      <c r="A17" s="2"/>
      <c r="B17" s="3"/>
      <c r="C17" s="28"/>
      <c r="D17" s="29"/>
      <c r="E17" s="30"/>
      <c r="F17" s="3"/>
      <c r="G17" s="2"/>
    </row>
    <row r="18" spans="1:7" x14ac:dyDescent="0.25">
      <c r="A18" s="2"/>
      <c r="B18" s="3"/>
      <c r="C18" s="28"/>
      <c r="D18" s="29"/>
      <c r="E18" s="30"/>
      <c r="F18" s="3"/>
      <c r="G18" s="2"/>
    </row>
    <row r="19" spans="1:7" x14ac:dyDescent="0.25">
      <c r="A19" s="2"/>
      <c r="B19" s="3"/>
      <c r="C19" s="28"/>
      <c r="D19" s="29"/>
      <c r="E19" s="30"/>
      <c r="F19" s="3"/>
      <c r="G19" s="2"/>
    </row>
    <row r="20" spans="1:7" x14ac:dyDescent="0.25">
      <c r="A20" s="2"/>
      <c r="B20" s="3"/>
      <c r="C20" s="28"/>
      <c r="D20" s="29"/>
      <c r="E20" s="30"/>
      <c r="F20" s="3"/>
      <c r="G20" s="2"/>
    </row>
    <row r="21" spans="1:7" x14ac:dyDescent="0.25">
      <c r="A21" s="2"/>
      <c r="B21" s="3"/>
      <c r="C21" s="28"/>
      <c r="D21" s="29"/>
      <c r="E21" s="30"/>
      <c r="F21" s="3"/>
      <c r="G21" s="2"/>
    </row>
    <row r="22" spans="1:7" x14ac:dyDescent="0.25">
      <c r="A22" s="2"/>
      <c r="B22" s="3"/>
      <c r="C22" s="28"/>
      <c r="D22" s="29"/>
      <c r="E22" s="30"/>
      <c r="F22" s="3"/>
      <c r="G22" s="2"/>
    </row>
    <row r="23" spans="1:7" x14ac:dyDescent="0.25">
      <c r="A23" s="2"/>
      <c r="B23" s="3"/>
      <c r="C23" s="28"/>
      <c r="D23" s="29"/>
      <c r="E23" s="30"/>
      <c r="F23" s="3"/>
      <c r="G23" s="2"/>
    </row>
    <row r="24" spans="1:7" x14ac:dyDescent="0.25">
      <c r="A24" s="2"/>
      <c r="B24" s="3"/>
      <c r="C24" s="28"/>
      <c r="D24" s="29"/>
      <c r="E24" s="30"/>
      <c r="F24" s="3"/>
      <c r="G24" s="2"/>
    </row>
    <row r="25" spans="1:7" x14ac:dyDescent="0.25">
      <c r="A25" s="2"/>
      <c r="B25" s="3"/>
      <c r="C25" s="28"/>
      <c r="D25" s="29"/>
      <c r="E25" s="30"/>
      <c r="F25" s="3"/>
      <c r="G25" s="2"/>
    </row>
    <row r="26" spans="1:7" x14ac:dyDescent="0.25">
      <c r="A26" s="42"/>
      <c r="B26" s="3"/>
      <c r="C26" s="28"/>
      <c r="D26" s="29"/>
      <c r="E26" s="30"/>
      <c r="F26" s="3"/>
      <c r="G26" s="2"/>
    </row>
    <row r="27" spans="1:7" x14ac:dyDescent="0.25">
      <c r="A27" s="42"/>
      <c r="B27" s="3"/>
      <c r="C27" s="28"/>
      <c r="D27" s="29"/>
      <c r="E27" s="30"/>
      <c r="F27" s="3"/>
      <c r="G27" s="2"/>
    </row>
    <row r="34" spans="3:3" x14ac:dyDescent="0.25">
      <c r="C34" t="s">
        <v>121</v>
      </c>
    </row>
    <row r="35" spans="3:3" x14ac:dyDescent="0.25">
      <c r="C35" t="s">
        <v>121</v>
      </c>
    </row>
    <row r="36" spans="3:3" x14ac:dyDescent="0.25">
      <c r="C36" t="s">
        <v>121</v>
      </c>
    </row>
    <row r="37" spans="3:3" x14ac:dyDescent="0.25">
      <c r="C37" t="s">
        <v>121</v>
      </c>
    </row>
    <row r="38" spans="3:3" x14ac:dyDescent="0.25">
      <c r="C38" t="s">
        <v>121</v>
      </c>
    </row>
    <row r="39" spans="3:3" x14ac:dyDescent="0.25">
      <c r="C39" t="s">
        <v>121</v>
      </c>
    </row>
    <row r="40" spans="3:3" x14ac:dyDescent="0.25">
      <c r="C40" t="s">
        <v>121</v>
      </c>
    </row>
    <row r="41" spans="3:3" x14ac:dyDescent="0.25">
      <c r="C41" t="s">
        <v>121</v>
      </c>
    </row>
    <row r="42" spans="3:3" x14ac:dyDescent="0.25">
      <c r="C42" t="s">
        <v>121</v>
      </c>
    </row>
    <row r="43" spans="3:3" x14ac:dyDescent="0.25">
      <c r="C43" t="s">
        <v>121</v>
      </c>
    </row>
    <row r="44" spans="3:3" x14ac:dyDescent="0.25">
      <c r="C44" t="s">
        <v>121</v>
      </c>
    </row>
    <row r="45" spans="3:3" x14ac:dyDescent="0.25">
      <c r="C45" t="s">
        <v>121</v>
      </c>
    </row>
    <row r="46" spans="3:3" x14ac:dyDescent="0.25">
      <c r="C46" t="s">
        <v>121</v>
      </c>
    </row>
    <row r="47" spans="3:3" x14ac:dyDescent="0.25">
      <c r="C47" t="s">
        <v>121</v>
      </c>
    </row>
    <row r="48" spans="3:3" x14ac:dyDescent="0.25">
      <c r="C48" t="s">
        <v>121</v>
      </c>
    </row>
    <row r="49" spans="3:3" x14ac:dyDescent="0.25">
      <c r="C49" t="s">
        <v>121</v>
      </c>
    </row>
    <row r="50" spans="3:3" x14ac:dyDescent="0.25">
      <c r="C50" t="s">
        <v>121</v>
      </c>
    </row>
    <row r="51" spans="3:3" x14ac:dyDescent="0.25">
      <c r="C51" t="s">
        <v>121</v>
      </c>
    </row>
    <row r="52" spans="3:3" x14ac:dyDescent="0.25">
      <c r="C52" t="s">
        <v>121</v>
      </c>
    </row>
    <row r="53" spans="3:3" x14ac:dyDescent="0.25">
      <c r="C53" t="s">
        <v>121</v>
      </c>
    </row>
    <row r="54" spans="3:3" x14ac:dyDescent="0.25">
      <c r="C54" t="s">
        <v>121</v>
      </c>
    </row>
    <row r="55" spans="3:3" x14ac:dyDescent="0.25">
      <c r="C55" t="s">
        <v>121</v>
      </c>
    </row>
    <row r="56" spans="3:3" x14ac:dyDescent="0.25">
      <c r="C56" t="s">
        <v>121</v>
      </c>
    </row>
    <row r="57" spans="3:3" x14ac:dyDescent="0.25">
      <c r="C57" t="s">
        <v>121</v>
      </c>
    </row>
  </sheetData>
  <sortState ref="A8:G11">
    <sortCondition descending="1" ref="D8:D11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workbookViewId="0">
      <selection activeCell="B8" sqref="B8:B1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1218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43161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893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1207</v>
      </c>
      <c r="C5" s="22"/>
      <c r="D5" s="22"/>
      <c r="E5" s="22" t="s">
        <v>55</v>
      </c>
      <c r="F5" s="38">
        <f>AVERAGE(C8:C10)*(AVERAGE(D8:D10)/100)</f>
        <v>1.4190200022473893E-2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24</v>
      </c>
      <c r="B8" s="3" t="s">
        <v>756</v>
      </c>
      <c r="C8" s="28">
        <v>1.5468749999999998E-2</v>
      </c>
      <c r="D8" s="29">
        <f>INDEX('Points Summary'!$F$4:$F$1143,G8)</f>
        <v>93.114680449247487</v>
      </c>
      <c r="E8" s="30">
        <f>(AVERAGE($D$8:$D$10)/100*AVERAGE($C$8:$C$10))/C8</f>
        <v>0.91734626407912045</v>
      </c>
      <c r="F8" s="3"/>
      <c r="G8" s="2">
        <f>MATCH(B8,'Points Summary'!$B$4:$B$1144,0)</f>
        <v>80</v>
      </c>
    </row>
    <row r="9" spans="1:7" x14ac:dyDescent="0.25">
      <c r="A9" s="2">
        <v>42</v>
      </c>
      <c r="B9" s="3" t="s">
        <v>805</v>
      </c>
      <c r="C9" s="28">
        <v>1.6070601851851853E-2</v>
      </c>
      <c r="D9" s="29">
        <f>INDEX('Points Summary'!$F$4:$F$1143,G9)</f>
        <v>88.827744779758717</v>
      </c>
      <c r="E9" s="30">
        <f>(AVERAGE($D$8:$D$10)/100*AVERAGE($C$8:$C$10))/C9</f>
        <v>0.88299120053420543</v>
      </c>
      <c r="F9" s="3"/>
      <c r="G9" s="2">
        <f>MATCH(B9,'Points Summary'!$B$4:$B$1144,0)</f>
        <v>307</v>
      </c>
    </row>
    <row r="10" spans="1:7" x14ac:dyDescent="0.25">
      <c r="A10" s="2">
        <v>46</v>
      </c>
      <c r="B10" s="3" t="s">
        <v>1028</v>
      </c>
      <c r="C10" s="28">
        <v>1.6187499999999997E-2</v>
      </c>
      <c r="D10" s="29">
        <f>INDEX('Points Summary'!$F$4:$F$1143,G10)</f>
        <v>85.646563457473988</v>
      </c>
      <c r="E10" s="30">
        <f>(AVERAGE($D$8:$D$10)/100*AVERAGE($C$8:$C$10))/C10</f>
        <v>0.87661467320302056</v>
      </c>
      <c r="F10" s="3"/>
      <c r="G10" s="2">
        <f>MATCH(B10,'Points Summary'!$B$4:$B$1144,0)</f>
        <v>28</v>
      </c>
    </row>
    <row r="11" spans="1:7" x14ac:dyDescent="0.25">
      <c r="A11" s="2">
        <v>74</v>
      </c>
      <c r="B11" s="3" t="s">
        <v>1035</v>
      </c>
      <c r="C11" s="28">
        <v>1.7259259259259259E-2</v>
      </c>
      <c r="D11" s="29">
        <f>INDEX('Points Summary'!$F$4:$F$1143,G11)</f>
        <v>84.346791796224068</v>
      </c>
      <c r="E11" s="30">
        <f>(AVERAGE($D$8:$D$10)/100*AVERAGE($C$8:$C$10))/C11</f>
        <v>0.82217897125921702</v>
      </c>
      <c r="F11" s="3"/>
      <c r="G11" s="2">
        <f>MATCH(B11,'Points Summary'!$B$4:$B$1144,0)</f>
        <v>161</v>
      </c>
    </row>
    <row r="12" spans="1:7" x14ac:dyDescent="0.25">
      <c r="A12" s="2"/>
      <c r="B12" s="3"/>
      <c r="C12" s="28"/>
      <c r="D12" s="29"/>
      <c r="E12" s="30"/>
      <c r="F12" s="3"/>
      <c r="G12" s="2"/>
    </row>
    <row r="13" spans="1:7" x14ac:dyDescent="0.25">
      <c r="A13" s="2"/>
      <c r="B13" s="3"/>
      <c r="C13" s="28"/>
      <c r="D13" s="29"/>
      <c r="E13" s="30"/>
      <c r="F13" s="3"/>
      <c r="G13" s="2"/>
    </row>
    <row r="14" spans="1:7" x14ac:dyDescent="0.25">
      <c r="A14" s="2"/>
      <c r="B14" s="3"/>
      <c r="C14" s="28"/>
      <c r="D14" s="29"/>
      <c r="E14" s="30"/>
      <c r="F14" s="3"/>
      <c r="G14" s="2"/>
    </row>
    <row r="15" spans="1:7" x14ac:dyDescent="0.25">
      <c r="A15" s="2"/>
      <c r="B15" s="3"/>
      <c r="C15" s="28"/>
      <c r="D15" s="29"/>
      <c r="E15" s="30"/>
      <c r="F15" s="3"/>
      <c r="G15" s="2"/>
    </row>
    <row r="16" spans="1:7" x14ac:dyDescent="0.25">
      <c r="A16" s="2"/>
      <c r="B16" s="3"/>
      <c r="C16" s="28"/>
      <c r="D16" s="29"/>
      <c r="E16" s="30"/>
      <c r="F16" s="3"/>
      <c r="G16" s="2"/>
    </row>
    <row r="17" spans="1:7" x14ac:dyDescent="0.25">
      <c r="A17" s="2"/>
      <c r="B17" s="3"/>
      <c r="C17" s="28"/>
      <c r="D17" s="29"/>
      <c r="E17" s="30"/>
      <c r="F17" s="3"/>
      <c r="G17" s="2"/>
    </row>
    <row r="18" spans="1:7" x14ac:dyDescent="0.25">
      <c r="A18" s="2"/>
      <c r="B18" s="3"/>
      <c r="C18" s="28"/>
      <c r="D18" s="29"/>
      <c r="E18" s="30"/>
      <c r="F18" s="3"/>
      <c r="G18" s="2"/>
    </row>
    <row r="19" spans="1:7" x14ac:dyDescent="0.25">
      <c r="A19" s="2"/>
      <c r="B19" s="3"/>
      <c r="C19" s="28"/>
      <c r="D19" s="29"/>
      <c r="E19" s="30"/>
      <c r="F19" s="3"/>
      <c r="G19" s="2"/>
    </row>
    <row r="20" spans="1:7" x14ac:dyDescent="0.25">
      <c r="A20" s="2"/>
      <c r="B20" s="3"/>
      <c r="C20" s="28"/>
      <c r="D20" s="29"/>
      <c r="E20" s="30"/>
      <c r="F20" s="3"/>
      <c r="G20" s="2"/>
    </row>
    <row r="21" spans="1:7" x14ac:dyDescent="0.25">
      <c r="A21" s="2"/>
      <c r="B21" s="3"/>
      <c r="C21" s="28"/>
      <c r="D21" s="29"/>
      <c r="E21" s="30"/>
      <c r="F21" s="3"/>
      <c r="G21" s="2"/>
    </row>
    <row r="22" spans="1:7" x14ac:dyDescent="0.25">
      <c r="A22" s="2"/>
      <c r="B22" s="3"/>
      <c r="C22" s="28"/>
      <c r="D22" s="29"/>
      <c r="E22" s="30"/>
      <c r="F22" s="3"/>
      <c r="G22" s="2"/>
    </row>
    <row r="23" spans="1:7" x14ac:dyDescent="0.25">
      <c r="A23" s="2"/>
      <c r="B23" s="3"/>
      <c r="C23" s="28"/>
      <c r="D23" s="29"/>
      <c r="E23" s="30"/>
      <c r="F23" s="3"/>
      <c r="G23" s="2"/>
    </row>
    <row r="24" spans="1:7" x14ac:dyDescent="0.25">
      <c r="A24" s="2"/>
      <c r="B24" s="3"/>
      <c r="C24" s="28"/>
      <c r="D24" s="29"/>
      <c r="E24" s="30"/>
      <c r="F24" s="3"/>
      <c r="G24" s="2"/>
    </row>
    <row r="25" spans="1:7" x14ac:dyDescent="0.25">
      <c r="A25" s="2"/>
      <c r="B25" s="3"/>
      <c r="C25" s="28"/>
      <c r="D25" s="29"/>
      <c r="E25" s="30"/>
      <c r="F25" s="3"/>
      <c r="G25" s="2"/>
    </row>
    <row r="26" spans="1:7" x14ac:dyDescent="0.25">
      <c r="A26" s="2"/>
      <c r="B26" s="3"/>
      <c r="C26" s="28"/>
      <c r="D26" s="29"/>
      <c r="E26" s="30"/>
      <c r="F26" s="3"/>
      <c r="G26" s="2"/>
    </row>
    <row r="27" spans="1:7" x14ac:dyDescent="0.25">
      <c r="A27" s="2"/>
      <c r="B27" s="3"/>
      <c r="C27" s="28"/>
      <c r="D27" s="29"/>
      <c r="E27" s="30"/>
      <c r="F27" s="3"/>
      <c r="G27" s="2"/>
    </row>
  </sheetData>
  <sortState ref="A8:D24">
    <sortCondition descending="1" ref="D8:D24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"/>
  <sheetViews>
    <sheetView workbookViewId="0">
      <selection activeCell="J8" sqref="J8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1213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43155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25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742</v>
      </c>
      <c r="C5" s="22"/>
      <c r="D5" s="22"/>
      <c r="E5" s="22" t="s">
        <v>55</v>
      </c>
      <c r="F5" s="38">
        <f>AVERAGE(C8:C12)*(AVERAGE(D8:D12)/100)</f>
        <v>2.3456775124897734E-2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</v>
      </c>
      <c r="B8" s="3" t="s">
        <v>269</v>
      </c>
      <c r="C8" s="51">
        <f>TIME(0,44,31)</f>
        <v>3.0914351851851849E-2</v>
      </c>
      <c r="D8" s="29">
        <f>INDEX('Points Summary'!$F$4:$F$1143,G8)</f>
        <v>75.795752491003284</v>
      </c>
      <c r="E8" s="124">
        <f t="shared" ref="E8:E21" si="0">(AVERAGE($D$8:$D$12)/100*AVERAGE($C$8:$C$12))/C8</f>
        <v>0.75876651845419851</v>
      </c>
      <c r="F8" s="3"/>
      <c r="G8" s="2">
        <f>MATCH(B8,'Points Summary'!$B$4:$B$1144,0)</f>
        <v>425</v>
      </c>
    </row>
    <row r="9" spans="1:7" x14ac:dyDescent="0.25">
      <c r="A9" s="2">
        <v>2</v>
      </c>
      <c r="B9" s="3" t="s">
        <v>101</v>
      </c>
      <c r="C9" s="51">
        <f>TIME(1,4,25)</f>
        <v>4.4733796296296292E-2</v>
      </c>
      <c r="D9" s="29">
        <f>INDEX('Points Summary'!$F$4:$F$1143,G9)</f>
        <v>68.20924978926152</v>
      </c>
      <c r="E9" s="124">
        <f t="shared" si="0"/>
        <v>0.52436361469370363</v>
      </c>
      <c r="F9" s="3"/>
      <c r="G9" s="2">
        <f>MATCH(B9,'Points Summary'!$B$4:$B$1144,0)</f>
        <v>151</v>
      </c>
    </row>
    <row r="10" spans="1:7" x14ac:dyDescent="0.25">
      <c r="A10" s="2">
        <v>3</v>
      </c>
      <c r="B10" s="3" t="s">
        <v>68</v>
      </c>
      <c r="C10" s="51">
        <f>TIME(0,54,49)</f>
        <v>3.8067129629629631E-2</v>
      </c>
      <c r="D10" s="29">
        <f>INDEX('Points Summary'!$F$4:$F$1143,G10)</f>
        <v>68.104283723343599</v>
      </c>
      <c r="E10" s="124">
        <f t="shared" si="0"/>
        <v>0.61619500480120526</v>
      </c>
      <c r="F10" s="3"/>
      <c r="G10" s="2">
        <f>MATCH(B10,'Points Summary'!$B$4:$B$1144,0)</f>
        <v>4</v>
      </c>
    </row>
    <row r="11" spans="1:7" x14ac:dyDescent="0.25">
      <c r="A11" s="2">
        <v>1</v>
      </c>
      <c r="B11" s="3" t="s">
        <v>109</v>
      </c>
      <c r="C11" s="51">
        <f>TIME(0,40,27)</f>
        <v>2.809027777777778E-2</v>
      </c>
      <c r="D11" s="29">
        <f>INDEX('Points Summary'!$F$4:$F$1143,G11)</f>
        <v>63.735816432134548</v>
      </c>
      <c r="E11" s="124">
        <f t="shared" si="0"/>
        <v>0.83504959653529631</v>
      </c>
      <c r="F11" s="3"/>
      <c r="G11" s="2">
        <f>MATCH(B11,'Points Summary'!$B$4:$B$1144,0)</f>
        <v>376</v>
      </c>
    </row>
    <row r="12" spans="1:7" x14ac:dyDescent="0.25">
      <c r="A12" s="2">
        <v>2</v>
      </c>
      <c r="B12" s="3" t="s">
        <v>786</v>
      </c>
      <c r="C12" s="51">
        <f>TIME(0,46,0)</f>
        <v>3.1944444444444449E-2</v>
      </c>
      <c r="D12" s="29">
        <f>INDEX('Points Summary'!$F$4:$F$1143,G12)</f>
        <v>61.662453318181292</v>
      </c>
      <c r="E12" s="124">
        <f t="shared" si="0"/>
        <v>0.73429904738810281</v>
      </c>
      <c r="F12" s="3"/>
      <c r="G12" s="2">
        <f>MATCH(B12,'Points Summary'!$B$4:$B$1144,0)</f>
        <v>110</v>
      </c>
    </row>
    <row r="13" spans="1:7" x14ac:dyDescent="0.25">
      <c r="A13" s="2">
        <v>1</v>
      </c>
      <c r="B13" s="3" t="s">
        <v>272</v>
      </c>
      <c r="C13" s="51">
        <f>TIME(0,55,53)</f>
        <v>3.8807870370370375E-2</v>
      </c>
      <c r="D13" s="29">
        <f>INDEX('Points Summary'!$F$4:$F$1143,G13)</f>
        <v>60.150230555196153</v>
      </c>
      <c r="E13" s="124">
        <f t="shared" si="0"/>
        <v>0.6044334538595777</v>
      </c>
      <c r="F13" s="3"/>
      <c r="G13" s="2">
        <f>MATCH(B13,'Points Summary'!$B$4:$B$1144,0)</f>
        <v>199</v>
      </c>
    </row>
    <row r="14" spans="1:7" x14ac:dyDescent="0.25">
      <c r="A14" s="2">
        <v>2</v>
      </c>
      <c r="B14" s="3" t="s">
        <v>1084</v>
      </c>
      <c r="C14" s="51">
        <f>TIME(0,54,44)</f>
        <v>3.8009259259259263E-2</v>
      </c>
      <c r="D14" s="29">
        <f>INDEX('Points Summary'!$F$4:$F$1143,G14)</f>
        <v>59.914210747568333</v>
      </c>
      <c r="E14" s="124">
        <f t="shared" si="0"/>
        <v>0.61713318233592085</v>
      </c>
      <c r="F14" s="3"/>
      <c r="G14" s="2">
        <f>MATCH(B14,'Points Summary'!$B$4:$B$1144,0)</f>
        <v>392</v>
      </c>
    </row>
    <row r="15" spans="1:7" x14ac:dyDescent="0.25">
      <c r="A15" s="2">
        <v>1</v>
      </c>
      <c r="B15" s="3" t="s">
        <v>743</v>
      </c>
      <c r="C15" s="51">
        <f>TIME(0,59,54)</f>
        <v>4.1597222222222223E-2</v>
      </c>
      <c r="D15" s="29">
        <f>INDEX('Points Summary'!$F$4:$F$1143,G15)</f>
        <v>51.11270901898466</v>
      </c>
      <c r="E15" s="124">
        <f t="shared" si="0"/>
        <v>0.56390244039820925</v>
      </c>
      <c r="F15" s="3"/>
      <c r="G15" s="2">
        <f>MATCH(B15,'Points Summary'!$B$4:$B$1144,0)</f>
        <v>379</v>
      </c>
    </row>
    <row r="16" spans="1:7" x14ac:dyDescent="0.25">
      <c r="A16" s="2">
        <v>3</v>
      </c>
      <c r="B16" s="3" t="s">
        <v>1217</v>
      </c>
      <c r="C16" s="51">
        <f>TIME(0,55,18)</f>
        <v>3.8402777777777779E-2</v>
      </c>
      <c r="D16" s="29">
        <f>INDEX('Points Summary'!$F$4:$F$1143,G16)</f>
        <v>50.01433796395763</v>
      </c>
      <c r="E16" s="124">
        <f t="shared" si="0"/>
        <v>0.61080933417455219</v>
      </c>
      <c r="F16" s="3"/>
      <c r="G16" s="2">
        <f>MATCH(B16,'Points Summary'!$B$4:$B$1144,0)</f>
        <v>135</v>
      </c>
    </row>
    <row r="17" spans="1:7" x14ac:dyDescent="0.25">
      <c r="A17" s="2">
        <v>3</v>
      </c>
      <c r="B17" s="3" t="s">
        <v>1215</v>
      </c>
      <c r="C17" s="51">
        <f>TIME(1,7,35)</f>
        <v>4.6932870370370368E-2</v>
      </c>
      <c r="D17" s="29">
        <f>INDEX('Points Summary'!$F$4:$F$1143,G17)</f>
        <v>49.890461050126262</v>
      </c>
      <c r="E17" s="124">
        <f t="shared" si="0"/>
        <v>0.49979417282149552</v>
      </c>
      <c r="F17" s="3"/>
      <c r="G17" s="2">
        <f>MATCH(B17,'Points Summary'!$B$4:$B$1144,0)</f>
        <v>294</v>
      </c>
    </row>
    <row r="18" spans="1:7" x14ac:dyDescent="0.25">
      <c r="A18" s="2">
        <v>4</v>
      </c>
      <c r="B18" s="3" t="s">
        <v>436</v>
      </c>
      <c r="C18" s="51">
        <f>TIME(1,9,3)</f>
        <v>4.7951388888888891E-2</v>
      </c>
      <c r="D18" s="29">
        <f>INDEX('Points Summary'!$F$4:$F$1143,G18)</f>
        <v>49.512158141626699</v>
      </c>
      <c r="E18" s="124">
        <f t="shared" si="0"/>
        <v>0.48917822128678834</v>
      </c>
      <c r="F18" s="3"/>
      <c r="G18" s="2">
        <f>MATCH(B18,'Points Summary'!$B$4:$B$1144,0)</f>
        <v>146</v>
      </c>
    </row>
    <row r="19" spans="1:7" x14ac:dyDescent="0.25">
      <c r="A19" s="2">
        <v>2</v>
      </c>
      <c r="B19" s="3" t="s">
        <v>1216</v>
      </c>
      <c r="C19" s="51">
        <f>TIME(1,13,57)</f>
        <v>5.1354166666666666E-2</v>
      </c>
      <c r="D19" s="29">
        <f>INDEX('Points Summary'!$F$4:$F$1143,G19)</f>
        <v>48.537069013954969</v>
      </c>
      <c r="E19" s="124">
        <f t="shared" si="0"/>
        <v>0.45676478945034127</v>
      </c>
      <c r="F19" s="3"/>
      <c r="G19" s="2">
        <f>MATCH(B19,'Points Summary'!$B$4:$B$1144,0)</f>
        <v>340</v>
      </c>
    </row>
    <row r="20" spans="1:7" x14ac:dyDescent="0.25">
      <c r="A20" s="2">
        <v>5</v>
      </c>
      <c r="B20" s="3" t="s">
        <v>827</v>
      </c>
      <c r="C20" s="51">
        <f>TIME(1,17,5)</f>
        <v>5.3530092592592594E-2</v>
      </c>
      <c r="D20" s="29">
        <f>INDEX('Points Summary'!$F$4:$F$1143,G20)</f>
        <v>42.136488704099797</v>
      </c>
      <c r="E20" s="124">
        <f t="shared" si="0"/>
        <v>0.43819791800890034</v>
      </c>
      <c r="F20" s="3"/>
      <c r="G20" s="2">
        <f>MATCH(B20,'Points Summary'!$B$4:$B$1144,0)</f>
        <v>92</v>
      </c>
    </row>
    <row r="21" spans="1:7" x14ac:dyDescent="0.25">
      <c r="A21" s="2">
        <v>1</v>
      </c>
      <c r="B21" s="3" t="s">
        <v>1214</v>
      </c>
      <c r="C21" s="51">
        <f>TIME(1,5,8)</f>
        <v>4.5231481481481484E-2</v>
      </c>
      <c r="D21" s="29">
        <f>INDEX('Points Summary'!$F$4:$F$1143,G21)</f>
        <v>0</v>
      </c>
      <c r="E21" s="124">
        <f t="shared" si="0"/>
        <v>0.5185940048083838</v>
      </c>
      <c r="F21" s="3"/>
      <c r="G21" s="2">
        <f>MATCH(B21,'Points Summary'!$B$4:$B$1144,0)</f>
        <v>142</v>
      </c>
    </row>
    <row r="22" spans="1:7" x14ac:dyDescent="0.25">
      <c r="A22" s="2"/>
      <c r="B22" s="3"/>
      <c r="C22" s="51"/>
      <c r="D22" s="29"/>
      <c r="E22" s="124"/>
      <c r="F22" s="3"/>
      <c r="G22" s="2"/>
    </row>
    <row r="23" spans="1:7" x14ac:dyDescent="0.25">
      <c r="A23" s="2"/>
      <c r="B23" s="3"/>
      <c r="C23" s="51"/>
      <c r="D23" s="29"/>
      <c r="E23" s="124"/>
      <c r="F23" s="3"/>
      <c r="G23" s="2"/>
    </row>
    <row r="24" spans="1:7" x14ac:dyDescent="0.25">
      <c r="A24" s="2"/>
      <c r="B24" s="3"/>
      <c r="C24" s="51"/>
      <c r="D24" s="29"/>
      <c r="E24" s="124"/>
      <c r="F24" s="3"/>
      <c r="G24" s="2"/>
    </row>
    <row r="25" spans="1:7" x14ac:dyDescent="0.25">
      <c r="A25" s="2"/>
      <c r="B25" s="3"/>
      <c r="C25" s="51"/>
      <c r="D25" s="29"/>
      <c r="E25" s="30"/>
      <c r="F25" s="3"/>
      <c r="G25" s="2"/>
    </row>
    <row r="26" spans="1:7" x14ac:dyDescent="0.25">
      <c r="A26" s="2"/>
      <c r="B26" s="3"/>
      <c r="C26" s="51"/>
      <c r="D26" s="29"/>
      <c r="E26" s="30"/>
      <c r="F26" s="3"/>
      <c r="G26" s="2"/>
    </row>
    <row r="27" spans="1:7" x14ac:dyDescent="0.25">
      <c r="A27" s="2"/>
      <c r="B27" s="3"/>
      <c r="C27" s="51"/>
      <c r="D27" s="29"/>
      <c r="E27" s="30"/>
      <c r="F27" s="3"/>
      <c r="G27" s="2"/>
    </row>
    <row r="28" spans="1:7" x14ac:dyDescent="0.25">
      <c r="A28" s="2"/>
      <c r="B28" s="3"/>
      <c r="C28" s="51"/>
      <c r="D28" s="29"/>
      <c r="E28" s="30"/>
      <c r="F28" s="3"/>
      <c r="G28" s="2"/>
    </row>
    <row r="29" spans="1:7" x14ac:dyDescent="0.25">
      <c r="A29" s="2"/>
      <c r="B29" s="3"/>
      <c r="C29" s="51"/>
      <c r="D29" s="29"/>
      <c r="E29" s="30"/>
      <c r="F29" s="3"/>
      <c r="G29" s="2"/>
    </row>
    <row r="30" spans="1:7" x14ac:dyDescent="0.25">
      <c r="A30" s="2"/>
      <c r="B30" s="3"/>
      <c r="C30" s="51"/>
      <c r="D30" s="29"/>
      <c r="E30" s="30"/>
      <c r="F30" s="3"/>
      <c r="G30" s="2"/>
    </row>
    <row r="31" spans="1:7" x14ac:dyDescent="0.25">
      <c r="A31" s="2"/>
      <c r="B31" s="3"/>
      <c r="C31" s="51"/>
      <c r="D31" s="29"/>
      <c r="E31" s="30"/>
      <c r="F31" s="3"/>
      <c r="G31" s="2"/>
    </row>
    <row r="32" spans="1:7" x14ac:dyDescent="0.25">
      <c r="A32" s="2"/>
      <c r="B32" s="3"/>
      <c r="C32" s="51"/>
      <c r="D32" s="29"/>
      <c r="E32" s="30"/>
      <c r="F32" s="3"/>
      <c r="G32" s="2"/>
    </row>
    <row r="33" spans="1:7" x14ac:dyDescent="0.25">
      <c r="A33" s="2"/>
      <c r="B33" s="3"/>
      <c r="C33" s="51"/>
      <c r="D33" s="29"/>
      <c r="E33" s="30"/>
      <c r="F33" s="3"/>
      <c r="G33" s="2"/>
    </row>
    <row r="34" spans="1:7" x14ac:dyDescent="0.25">
      <c r="A34" s="2"/>
      <c r="B34" s="3"/>
      <c r="C34" s="51"/>
      <c r="D34" s="29"/>
      <c r="E34" s="30"/>
      <c r="F34" s="3"/>
      <c r="G34" s="2"/>
    </row>
    <row r="35" spans="1:7" x14ac:dyDescent="0.25">
      <c r="A35" s="2"/>
      <c r="B35" s="3"/>
      <c r="C35" s="51"/>
      <c r="D35" s="29"/>
      <c r="E35" s="30"/>
      <c r="F35" s="3"/>
      <c r="G35" s="2"/>
    </row>
    <row r="36" spans="1:7" x14ac:dyDescent="0.25">
      <c r="A36" s="2"/>
      <c r="B36" s="3"/>
      <c r="C36" s="51"/>
      <c r="D36" s="29"/>
      <c r="E36" s="30"/>
      <c r="F36" s="3"/>
      <c r="G36" s="2"/>
    </row>
    <row r="37" spans="1:7" x14ac:dyDescent="0.25">
      <c r="A37" s="2"/>
      <c r="B37" s="3"/>
      <c r="C37" s="51"/>
      <c r="D37" s="29"/>
      <c r="E37" s="30"/>
      <c r="F37" s="3"/>
      <c r="G37" s="2"/>
    </row>
    <row r="38" spans="1:7" x14ac:dyDescent="0.25">
      <c r="A38" s="2"/>
      <c r="B38" s="3"/>
      <c r="C38" s="51"/>
      <c r="D38" s="29"/>
      <c r="E38" s="30"/>
      <c r="F38" s="3"/>
      <c r="G38" s="2"/>
    </row>
    <row r="39" spans="1:7" x14ac:dyDescent="0.25">
      <c r="A39" s="2"/>
      <c r="B39" s="3"/>
      <c r="C39" s="51"/>
      <c r="D39" s="29"/>
      <c r="E39" s="30"/>
      <c r="F39" s="3"/>
      <c r="G39" s="2"/>
    </row>
    <row r="40" spans="1:7" x14ac:dyDescent="0.25">
      <c r="A40" s="2"/>
      <c r="B40" s="3"/>
      <c r="C40" s="51"/>
      <c r="D40" s="29"/>
      <c r="E40" s="30"/>
      <c r="F40" s="3"/>
      <c r="G40" s="2"/>
    </row>
    <row r="41" spans="1:7" x14ac:dyDescent="0.25">
      <c r="A41" s="2"/>
      <c r="B41" s="3"/>
      <c r="C41" s="51"/>
      <c r="D41" s="29"/>
      <c r="E41" s="30"/>
      <c r="F41" s="3"/>
      <c r="G41" s="2"/>
    </row>
    <row r="42" spans="1:7" x14ac:dyDescent="0.25">
      <c r="A42" s="2"/>
      <c r="B42" s="3"/>
      <c r="C42" s="51"/>
      <c r="D42" s="29"/>
      <c r="E42" s="30"/>
      <c r="F42" s="3"/>
      <c r="G42" s="2"/>
    </row>
    <row r="43" spans="1:7" x14ac:dyDescent="0.25">
      <c r="A43" s="2"/>
      <c r="B43" s="3"/>
      <c r="C43" s="51"/>
      <c r="D43" s="29"/>
      <c r="E43" s="30"/>
      <c r="F43" s="3"/>
      <c r="G43" s="2"/>
    </row>
    <row r="44" spans="1:7" x14ac:dyDescent="0.25">
      <c r="A44" s="2"/>
      <c r="B44" s="3"/>
      <c r="C44" s="51"/>
      <c r="D44" s="29"/>
      <c r="E44" s="30"/>
      <c r="F44" s="3"/>
      <c r="G44" s="2"/>
    </row>
    <row r="45" spans="1:7" x14ac:dyDescent="0.25">
      <c r="A45" s="2"/>
      <c r="B45" s="3"/>
      <c r="C45" s="51"/>
      <c r="D45" s="29"/>
      <c r="E45" s="30"/>
      <c r="F45" s="3"/>
      <c r="G45" s="2"/>
    </row>
    <row r="46" spans="1:7" x14ac:dyDescent="0.25">
      <c r="A46" s="2"/>
      <c r="B46" s="3"/>
      <c r="C46" s="51"/>
      <c r="D46" s="29"/>
      <c r="E46" s="30"/>
      <c r="F46" s="3"/>
      <c r="G46" s="2"/>
    </row>
    <row r="47" spans="1:7" x14ac:dyDescent="0.25">
      <c r="A47" s="2"/>
      <c r="B47" s="3"/>
      <c r="C47" s="51"/>
      <c r="D47" s="29"/>
      <c r="E47" s="30"/>
      <c r="F47" s="3"/>
      <c r="G47" s="2"/>
    </row>
    <row r="48" spans="1:7" x14ac:dyDescent="0.25">
      <c r="A48" s="2"/>
      <c r="B48" s="3"/>
      <c r="C48" s="51"/>
      <c r="D48" s="29"/>
      <c r="E48" s="30"/>
      <c r="F48" s="3"/>
      <c r="G48" s="2"/>
    </row>
    <row r="49" spans="1:7" x14ac:dyDescent="0.25">
      <c r="A49" s="2"/>
      <c r="B49" s="3"/>
      <c r="C49" s="51"/>
      <c r="D49" s="29"/>
      <c r="E49" s="30"/>
      <c r="F49" s="3"/>
      <c r="G49" s="2"/>
    </row>
    <row r="50" spans="1:7" x14ac:dyDescent="0.25">
      <c r="A50" s="2"/>
      <c r="B50" s="3"/>
      <c r="C50" s="51"/>
      <c r="D50" s="29"/>
      <c r="E50" s="30"/>
      <c r="F50" s="3"/>
      <c r="G50" s="2"/>
    </row>
  </sheetData>
  <sortState ref="A8:G21">
    <sortCondition descending="1" ref="D8:D21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workbookViewId="0">
      <selection activeCell="C1" sqref="C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1218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43162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670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1212</v>
      </c>
      <c r="C5" s="22"/>
      <c r="D5" s="22"/>
      <c r="E5" s="22" t="s">
        <v>55</v>
      </c>
      <c r="F5" s="38">
        <f>AVERAGE(C8:C10)*(AVERAGE(D8:D10)/100)</f>
        <v>1.7181913705205606E-2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71</v>
      </c>
      <c r="B8" s="3" t="s">
        <v>1034</v>
      </c>
      <c r="C8" s="28">
        <v>2.1010416666666667E-2</v>
      </c>
      <c r="D8" s="29">
        <f>INDEX('Points Summary'!$F$4:$F$1143,G8)</f>
        <v>84.278844281290986</v>
      </c>
      <c r="E8" s="124">
        <f>(AVERAGE($D$8:$D$10)/100*AVERAGE($C$8:$C$10))/C8</f>
        <v>0.81778072171528915</v>
      </c>
      <c r="F8" s="3"/>
      <c r="G8" s="2">
        <f>MATCH(B8,'Points Summary'!$B$4:$B$1144,0)</f>
        <v>103</v>
      </c>
    </row>
    <row r="9" spans="1:7" x14ac:dyDescent="0.25">
      <c r="A9" s="2">
        <v>37</v>
      </c>
      <c r="B9" s="3" t="s">
        <v>714</v>
      </c>
      <c r="C9" s="28">
        <v>1.9130787037037036E-2</v>
      </c>
      <c r="D9" s="29">
        <f>INDEX('Points Summary'!$F$4:$F$1143,G9)</f>
        <v>83.939036057542722</v>
      </c>
      <c r="E9" s="124">
        <f>(AVERAGE($D$8:$D$10)/100*AVERAGE($C$8:$C$10))/C9</f>
        <v>0.89812895161822515</v>
      </c>
      <c r="F9" s="3"/>
      <c r="G9" s="2">
        <f>MATCH(B9,'Points Summary'!$B$4:$B$1144,0)</f>
        <v>220</v>
      </c>
    </row>
    <row r="10" spans="1:7" x14ac:dyDescent="0.25">
      <c r="A10" s="2">
        <v>79</v>
      </c>
      <c r="B10" s="3" t="s">
        <v>796</v>
      </c>
      <c r="C10" s="28">
        <v>2.1828703703703701E-2</v>
      </c>
      <c r="D10" s="29">
        <f>INDEX('Points Summary'!$F$4:$F$1143,G10)</f>
        <v>81.31811191337728</v>
      </c>
      <c r="E10" s="124">
        <f>(AVERAGE($D$8:$D$10)/100*AVERAGE($C$8:$C$10))/C10</f>
        <v>0.78712478479839054</v>
      </c>
      <c r="F10" s="3"/>
      <c r="G10" s="2">
        <f>MATCH(B10,'Points Summary'!$B$4:$B$1144,0)</f>
        <v>320</v>
      </c>
    </row>
    <row r="11" spans="1:7" x14ac:dyDescent="0.25">
      <c r="A11" s="2">
        <v>86</v>
      </c>
      <c r="B11" s="3" t="s">
        <v>711</v>
      </c>
      <c r="C11" s="28">
        <v>2.2850694444444444E-2</v>
      </c>
      <c r="D11" s="29">
        <f>INDEX('Points Summary'!$F$4:$F$1143,G11)</f>
        <v>79.623449982589136</v>
      </c>
      <c r="E11" s="124">
        <f>(AVERAGE($D$8:$D$10)/100*AVERAGE($C$8:$C$10))/C11</f>
        <v>0.75192085505230433</v>
      </c>
      <c r="F11" s="3"/>
      <c r="G11" s="2">
        <f>MATCH(B11,'Points Summary'!$B$4:$B$1144,0)</f>
        <v>85</v>
      </c>
    </row>
    <row r="12" spans="1:7" x14ac:dyDescent="0.25">
      <c r="A12" s="2"/>
      <c r="B12" s="3"/>
      <c r="C12" s="28"/>
      <c r="D12" s="29"/>
      <c r="E12" s="124"/>
      <c r="F12" s="3"/>
      <c r="G12" s="2"/>
    </row>
    <row r="13" spans="1:7" x14ac:dyDescent="0.25">
      <c r="A13" s="2"/>
      <c r="B13" s="3"/>
      <c r="C13" s="28"/>
      <c r="D13" s="29"/>
      <c r="E13" s="124"/>
      <c r="F13" s="3"/>
      <c r="G13" s="2"/>
    </row>
    <row r="14" spans="1:7" x14ac:dyDescent="0.25">
      <c r="A14" s="2"/>
      <c r="B14" s="3"/>
      <c r="C14" s="28"/>
      <c r="D14" s="29"/>
      <c r="E14" s="124"/>
      <c r="F14" s="3"/>
      <c r="G14" s="2"/>
    </row>
    <row r="15" spans="1:7" x14ac:dyDescent="0.25">
      <c r="A15" s="2"/>
      <c r="B15" s="3"/>
      <c r="C15" s="28"/>
      <c r="D15" s="29"/>
      <c r="E15" s="124"/>
      <c r="F15" s="3"/>
      <c r="G15" s="2"/>
    </row>
    <row r="16" spans="1:7" x14ac:dyDescent="0.25">
      <c r="A16" s="2"/>
      <c r="B16" s="3"/>
      <c r="C16" s="28"/>
      <c r="D16" s="29"/>
      <c r="E16" s="124"/>
      <c r="F16" s="3"/>
      <c r="G16" s="2"/>
    </row>
    <row r="17" spans="1:7" x14ac:dyDescent="0.25">
      <c r="A17" s="2"/>
      <c r="B17" s="3"/>
      <c r="C17" s="28"/>
      <c r="D17" s="29"/>
      <c r="E17" s="124"/>
      <c r="F17" s="3"/>
      <c r="G17" s="2"/>
    </row>
    <row r="18" spans="1:7" x14ac:dyDescent="0.25">
      <c r="A18" s="2"/>
      <c r="B18" s="3"/>
      <c r="C18" s="28"/>
      <c r="D18" s="29"/>
      <c r="E18" s="124"/>
      <c r="F18" s="3"/>
      <c r="G18" s="2"/>
    </row>
    <row r="19" spans="1:7" x14ac:dyDescent="0.25">
      <c r="A19" s="2"/>
      <c r="B19" s="3"/>
      <c r="C19" s="28"/>
      <c r="D19" s="29"/>
      <c r="E19" s="124"/>
      <c r="F19" s="3"/>
      <c r="G19" s="2"/>
    </row>
    <row r="20" spans="1:7" x14ac:dyDescent="0.25">
      <c r="A20" s="2"/>
      <c r="B20" s="3"/>
      <c r="C20" s="28"/>
      <c r="D20" s="29"/>
      <c r="E20" s="124"/>
      <c r="F20" s="3"/>
      <c r="G20" s="2"/>
    </row>
    <row r="21" spans="1:7" x14ac:dyDescent="0.25">
      <c r="A21" s="2"/>
      <c r="B21" s="3"/>
      <c r="C21" s="28"/>
      <c r="D21" s="29"/>
      <c r="E21" s="124"/>
      <c r="F21" s="3"/>
      <c r="G21" s="2"/>
    </row>
    <row r="22" spans="1:7" x14ac:dyDescent="0.25">
      <c r="A22" s="2"/>
      <c r="B22" s="3"/>
      <c r="C22" s="28"/>
      <c r="D22" s="29"/>
      <c r="E22" s="30"/>
      <c r="F22" s="3"/>
      <c r="G22" s="2"/>
    </row>
    <row r="23" spans="1:7" x14ac:dyDescent="0.25">
      <c r="A23" s="2"/>
      <c r="B23" s="3"/>
      <c r="C23" s="28"/>
      <c r="D23" s="29"/>
      <c r="E23" s="30"/>
      <c r="F23" s="3"/>
      <c r="G23" s="2"/>
    </row>
    <row r="24" spans="1:7" x14ac:dyDescent="0.25">
      <c r="A24" s="2"/>
      <c r="B24" s="3"/>
      <c r="C24" s="28"/>
      <c r="D24" s="29"/>
      <c r="E24" s="30"/>
      <c r="F24" s="3"/>
      <c r="G24" s="2"/>
    </row>
    <row r="25" spans="1:7" x14ac:dyDescent="0.25">
      <c r="A25" s="2"/>
      <c r="B25" s="3"/>
      <c r="C25" s="28"/>
      <c r="D25" s="29"/>
      <c r="E25" s="30"/>
      <c r="F25" s="3"/>
      <c r="G25" s="2"/>
    </row>
    <row r="26" spans="1:7" x14ac:dyDescent="0.25">
      <c r="A26" s="2"/>
      <c r="B26" s="3"/>
      <c r="C26" s="28"/>
      <c r="D26" s="29"/>
      <c r="E26" s="30"/>
      <c r="F26" s="3"/>
      <c r="G26" s="2"/>
    </row>
    <row r="27" spans="1:7" x14ac:dyDescent="0.25">
      <c r="A27" s="2"/>
      <c r="B27" s="3"/>
      <c r="C27" s="28"/>
      <c r="D27" s="29"/>
      <c r="E27" s="30"/>
      <c r="F27" s="3"/>
      <c r="G27" s="2"/>
    </row>
    <row r="28" spans="1:7" x14ac:dyDescent="0.25">
      <c r="A28" s="2"/>
      <c r="B28" s="3"/>
      <c r="C28" s="28"/>
      <c r="D28" s="29"/>
      <c r="E28" s="30"/>
      <c r="F28" s="3"/>
      <c r="G28" s="2"/>
    </row>
    <row r="29" spans="1:7" x14ac:dyDescent="0.25">
      <c r="A29" s="2"/>
      <c r="B29" s="3"/>
      <c r="C29" s="28"/>
      <c r="D29" s="29"/>
      <c r="E29" s="30"/>
      <c r="F29" s="3"/>
      <c r="G29" s="2"/>
    </row>
    <row r="30" spans="1:7" x14ac:dyDescent="0.25">
      <c r="A30" s="2"/>
      <c r="B30" s="3"/>
      <c r="C30" s="28"/>
      <c r="D30" s="29"/>
      <c r="E30" s="30"/>
      <c r="F30" s="3"/>
      <c r="G30" s="2"/>
    </row>
    <row r="31" spans="1:7" x14ac:dyDescent="0.25">
      <c r="A31" s="2"/>
      <c r="B31" s="3"/>
      <c r="C31" s="28"/>
      <c r="D31" s="29"/>
      <c r="E31" s="30"/>
      <c r="F31" s="3"/>
      <c r="G31" s="2"/>
    </row>
    <row r="32" spans="1:7" x14ac:dyDescent="0.25">
      <c r="A32" s="2"/>
      <c r="B32" s="3"/>
      <c r="C32" s="28"/>
      <c r="D32" s="29"/>
      <c r="E32" s="30"/>
      <c r="F32" s="3"/>
      <c r="G32" s="2"/>
    </row>
    <row r="33" spans="1:7" x14ac:dyDescent="0.25">
      <c r="A33" s="2"/>
      <c r="B33" s="3"/>
      <c r="C33" s="28"/>
      <c r="D33" s="29"/>
      <c r="E33" s="30"/>
      <c r="F33" s="3"/>
      <c r="G33" s="2"/>
    </row>
    <row r="34" spans="1:7" x14ac:dyDescent="0.25">
      <c r="A34" s="2"/>
      <c r="B34" s="3"/>
      <c r="C34" s="28"/>
      <c r="D34" s="29"/>
      <c r="E34" s="30"/>
      <c r="F34" s="3"/>
      <c r="G34" s="2"/>
    </row>
    <row r="35" spans="1:7" x14ac:dyDescent="0.25">
      <c r="A35" s="2"/>
      <c r="B35" s="3"/>
      <c r="C35" s="28"/>
      <c r="D35" s="29"/>
      <c r="E35" s="30"/>
      <c r="F35" s="3"/>
      <c r="G35" s="2"/>
    </row>
    <row r="36" spans="1:7" x14ac:dyDescent="0.25">
      <c r="A36" s="2"/>
      <c r="B36" s="3"/>
      <c r="C36" s="28"/>
      <c r="D36" s="29"/>
      <c r="E36" s="30"/>
      <c r="F36" s="3"/>
      <c r="G36" s="2"/>
    </row>
    <row r="37" spans="1:7" x14ac:dyDescent="0.25">
      <c r="A37" s="2"/>
      <c r="B37" s="3"/>
      <c r="C37" s="28"/>
      <c r="D37" s="29"/>
      <c r="E37" s="30"/>
      <c r="F37" s="3"/>
      <c r="G37" s="2"/>
    </row>
    <row r="38" spans="1:7" x14ac:dyDescent="0.25">
      <c r="A38" s="2"/>
      <c r="B38" s="3"/>
      <c r="C38" s="28"/>
      <c r="D38" s="29"/>
      <c r="E38" s="30"/>
      <c r="F38" s="3"/>
      <c r="G38" s="2"/>
    </row>
    <row r="39" spans="1:7" x14ac:dyDescent="0.25">
      <c r="A39" s="2"/>
      <c r="B39" s="3"/>
      <c r="C39" s="28"/>
      <c r="D39" s="29"/>
      <c r="E39" s="30"/>
      <c r="F39" s="3"/>
      <c r="G39" s="2"/>
    </row>
    <row r="40" spans="1:7" x14ac:dyDescent="0.25">
      <c r="A40" s="2"/>
      <c r="B40" s="3"/>
      <c r="C40" s="28"/>
      <c r="D40" s="29"/>
      <c r="E40" s="30"/>
      <c r="F40" s="3"/>
      <c r="G40" s="2"/>
    </row>
    <row r="41" spans="1:7" x14ac:dyDescent="0.25">
      <c r="A41" s="2"/>
      <c r="B41" s="3"/>
      <c r="C41" s="28"/>
      <c r="D41" s="29"/>
      <c r="E41" s="30"/>
      <c r="F41" s="3"/>
      <c r="G41" s="2"/>
    </row>
    <row r="42" spans="1:7" x14ac:dyDescent="0.25">
      <c r="A42" s="2"/>
      <c r="B42" s="3"/>
      <c r="C42" s="28"/>
      <c r="D42" s="29"/>
      <c r="E42" s="30"/>
      <c r="F42" s="3"/>
      <c r="G42" s="2"/>
    </row>
    <row r="43" spans="1:7" x14ac:dyDescent="0.25">
      <c r="A43" s="2"/>
      <c r="B43" s="3"/>
      <c r="C43" s="28"/>
      <c r="D43" s="29"/>
      <c r="E43" s="30"/>
      <c r="F43" s="3"/>
      <c r="G43" s="2"/>
    </row>
    <row r="44" spans="1:7" x14ac:dyDescent="0.25">
      <c r="A44" s="2"/>
      <c r="B44" s="3"/>
      <c r="C44" s="28"/>
      <c r="D44" s="29"/>
      <c r="E44" s="30"/>
      <c r="F44" s="3"/>
      <c r="G44" s="2"/>
    </row>
    <row r="45" spans="1:7" x14ac:dyDescent="0.25">
      <c r="A45" s="2"/>
      <c r="B45" s="3"/>
      <c r="C45" s="28"/>
      <c r="D45" s="29"/>
      <c r="E45" s="30"/>
      <c r="F45" s="3"/>
      <c r="G45" s="2"/>
    </row>
    <row r="46" spans="1:7" x14ac:dyDescent="0.25">
      <c r="A46" s="2"/>
      <c r="B46" s="3"/>
      <c r="C46" s="28"/>
      <c r="D46" s="29"/>
      <c r="E46" s="30"/>
      <c r="F46" s="3"/>
      <c r="G46" s="2"/>
    </row>
    <row r="47" spans="1:7" x14ac:dyDescent="0.25">
      <c r="A47" s="2"/>
      <c r="B47" s="3"/>
      <c r="C47" s="28"/>
      <c r="D47" s="29"/>
      <c r="E47" s="30"/>
      <c r="F47" s="3"/>
      <c r="G47" s="2"/>
    </row>
  </sheetData>
  <sortState ref="A8:G20">
    <sortCondition descending="1" ref="D8:D20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workbookViewId="0">
      <selection activeCell="G11" sqref="G1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1219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43163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899</v>
      </c>
      <c r="C3" s="22"/>
      <c r="D3" s="22"/>
      <c r="E3" s="22"/>
      <c r="F3" s="22" t="s">
        <v>29</v>
      </c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1212</v>
      </c>
      <c r="C5" s="22"/>
      <c r="D5" s="22"/>
      <c r="E5" s="22" t="s">
        <v>55</v>
      </c>
      <c r="F5" s="38">
        <f>AVERAGE(C8:C12)*(AVERAGE(D8:D12)/100)</f>
        <v>2.0395401467940215E-2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24</v>
      </c>
      <c r="B8" s="3" t="s">
        <v>756</v>
      </c>
      <c r="C8" s="28">
        <f>E13-F13</f>
        <v>2.2141203703703705E-2</v>
      </c>
      <c r="D8" s="29">
        <f>INDEX('Points Summary'!$F$4:$F$1143,G8)</f>
        <v>93.114680449247487</v>
      </c>
      <c r="E8" s="124">
        <f>(AVERAGE($D$8:$D$12)/100*AVERAGE($C$8:$C$12))/C8</f>
        <v>0.92115143064821459</v>
      </c>
      <c r="F8" s="3"/>
      <c r="G8" s="2">
        <f>MATCH(B8,'Points Summary'!$B$4:$B$1144,0)</f>
        <v>80</v>
      </c>
    </row>
    <row r="9" spans="1:7" x14ac:dyDescent="0.25">
      <c r="A9" s="2">
        <v>47</v>
      </c>
      <c r="B9" s="3" t="s">
        <v>805</v>
      </c>
      <c r="C9" s="28">
        <f>E14-F14</f>
        <v>2.3320601851851853E-2</v>
      </c>
      <c r="D9" s="29">
        <f>INDEX('Points Summary'!$F$4:$F$1143,G9)</f>
        <v>88.827744779758717</v>
      </c>
      <c r="E9" s="124">
        <f>(AVERAGE($D$8:$D$12)/100*AVERAGE($C$8:$C$12))/C9</f>
        <v>0.87456582799644378</v>
      </c>
      <c r="F9" s="3"/>
      <c r="G9" s="2">
        <f>MATCH(B9,'Points Summary'!$B$4:$B$1144,0)</f>
        <v>307</v>
      </c>
    </row>
    <row r="10" spans="1:7" x14ac:dyDescent="0.25">
      <c r="A10" s="2">
        <v>46</v>
      </c>
      <c r="B10" s="3" t="s">
        <v>1028</v>
      </c>
      <c r="C10" s="28">
        <f>E15-F15</f>
        <v>2.3135416666666669E-2</v>
      </c>
      <c r="D10" s="29">
        <f>INDEX('Points Summary'!$F$4:$F$1143,G10)</f>
        <v>85.646563457473988</v>
      </c>
      <c r="E10" s="124">
        <f>(AVERAGE($D$8:$D$12)/100*AVERAGE($C$8:$C$12))/C10</f>
        <v>0.88156620482767245</v>
      </c>
      <c r="F10" s="3"/>
      <c r="G10" s="2">
        <f>MATCH(B10,'Points Summary'!$B$4:$B$1144,0)</f>
        <v>28</v>
      </c>
    </row>
    <row r="11" spans="1:7" x14ac:dyDescent="0.25">
      <c r="A11" s="2"/>
      <c r="B11" s="3"/>
      <c r="C11" s="28"/>
      <c r="D11" s="29"/>
      <c r="E11" s="124"/>
      <c r="F11" s="3"/>
      <c r="G11" s="2"/>
    </row>
    <row r="12" spans="1:7" x14ac:dyDescent="0.25">
      <c r="A12" s="2"/>
      <c r="B12" s="3"/>
      <c r="C12" s="28"/>
      <c r="D12" s="29"/>
      <c r="E12" s="124"/>
      <c r="F12" s="3"/>
      <c r="G12" s="2"/>
    </row>
    <row r="13" spans="1:7" x14ac:dyDescent="0.25">
      <c r="A13" s="2"/>
      <c r="B13" s="3"/>
      <c r="C13" s="28">
        <v>2.0500000000000001E-2</v>
      </c>
      <c r="D13" s="28">
        <v>3.0185185185185189E-3</v>
      </c>
      <c r="E13" s="28">
        <f>C13+D13</f>
        <v>2.3518518518518518E-2</v>
      </c>
      <c r="F13" s="28">
        <f>TIME(0,1,59)</f>
        <v>1.3773148148148147E-3</v>
      </c>
      <c r="G13" s="2"/>
    </row>
    <row r="14" spans="1:7" x14ac:dyDescent="0.25">
      <c r="A14" s="2"/>
      <c r="B14" s="3"/>
      <c r="C14" s="28">
        <v>2.0500000000000001E-2</v>
      </c>
      <c r="D14" s="28">
        <v>4.7997685185185183E-3</v>
      </c>
      <c r="E14" s="28">
        <f>C14+D14</f>
        <v>2.529976851851852E-2</v>
      </c>
      <c r="F14" s="28">
        <f>TIME(0,2,51)</f>
        <v>1.9791666666666668E-3</v>
      </c>
      <c r="G14" s="2"/>
    </row>
    <row r="15" spans="1:7" x14ac:dyDescent="0.25">
      <c r="A15" s="2"/>
      <c r="B15" s="3"/>
      <c r="C15" s="28">
        <v>2.0500000000000001E-2</v>
      </c>
      <c r="D15" s="28">
        <v>4.7303240740740734E-3</v>
      </c>
      <c r="E15" s="28">
        <f>C15+D15</f>
        <v>2.5230324074074075E-2</v>
      </c>
      <c r="F15" s="28">
        <f>TIME(0,3,1)</f>
        <v>2.0949074074074073E-3</v>
      </c>
      <c r="G15" s="2"/>
    </row>
    <row r="16" spans="1:7" x14ac:dyDescent="0.25">
      <c r="A16" s="2"/>
      <c r="B16" s="3"/>
      <c r="C16" s="28"/>
      <c r="D16" s="29"/>
      <c r="E16" s="124"/>
      <c r="F16" s="3"/>
      <c r="G16" s="2"/>
    </row>
    <row r="17" spans="1:7" x14ac:dyDescent="0.25">
      <c r="A17" s="2"/>
      <c r="B17" s="3"/>
      <c r="C17" s="28"/>
      <c r="D17" s="28"/>
      <c r="E17" s="124"/>
      <c r="F17" s="3"/>
      <c r="G17" s="2"/>
    </row>
    <row r="18" spans="1:7" x14ac:dyDescent="0.25">
      <c r="A18" s="2"/>
      <c r="B18" s="3"/>
      <c r="C18" s="28"/>
      <c r="D18" s="29"/>
      <c r="E18" s="124"/>
      <c r="F18" s="3"/>
      <c r="G18" s="2"/>
    </row>
    <row r="19" spans="1:7" x14ac:dyDescent="0.25">
      <c r="A19" s="2"/>
      <c r="B19" s="3"/>
      <c r="C19" s="28"/>
      <c r="D19" s="29"/>
      <c r="E19" s="124"/>
      <c r="F19" s="3"/>
      <c r="G19" s="2"/>
    </row>
    <row r="20" spans="1:7" x14ac:dyDescent="0.25">
      <c r="A20" s="2"/>
      <c r="B20" s="3"/>
      <c r="C20" s="28"/>
      <c r="D20" s="29"/>
      <c r="E20" s="124"/>
      <c r="F20" s="3"/>
      <c r="G20" s="2"/>
    </row>
    <row r="21" spans="1:7" x14ac:dyDescent="0.25">
      <c r="A21" s="2"/>
      <c r="B21" s="3"/>
      <c r="C21" s="28"/>
      <c r="D21" s="29"/>
      <c r="E21" s="124"/>
      <c r="F21" s="3"/>
      <c r="G21" s="2"/>
    </row>
    <row r="22" spans="1:7" x14ac:dyDescent="0.25">
      <c r="A22" s="2"/>
      <c r="B22" s="3"/>
      <c r="C22" s="28"/>
      <c r="D22" s="29"/>
      <c r="E22" s="30"/>
      <c r="F22" s="3"/>
      <c r="G22" s="2"/>
    </row>
    <row r="23" spans="1:7" x14ac:dyDescent="0.25">
      <c r="A23" s="2"/>
      <c r="B23" s="3"/>
      <c r="C23" s="28"/>
      <c r="D23" s="29"/>
      <c r="E23" s="30"/>
      <c r="F23" s="3"/>
      <c r="G23" s="2"/>
    </row>
    <row r="24" spans="1:7" x14ac:dyDescent="0.25">
      <c r="A24" s="2"/>
      <c r="B24" s="3"/>
      <c r="C24" s="28"/>
      <c r="D24" s="29"/>
      <c r="E24" s="30"/>
      <c r="F24" s="3"/>
      <c r="G24" s="2"/>
    </row>
    <row r="25" spans="1:7" x14ac:dyDescent="0.25">
      <c r="A25" s="2"/>
      <c r="B25" s="3"/>
      <c r="C25" s="28"/>
      <c r="D25" s="29"/>
      <c r="E25" s="30"/>
      <c r="F25" s="3"/>
      <c r="G25" s="2"/>
    </row>
    <row r="26" spans="1:7" x14ac:dyDescent="0.25">
      <c r="B26" s="3"/>
      <c r="C26" s="28"/>
      <c r="D26" s="29"/>
      <c r="E26" s="30"/>
      <c r="F26" s="3"/>
      <c r="G26" s="2"/>
    </row>
    <row r="27" spans="1:7" x14ac:dyDescent="0.25">
      <c r="B27" s="3"/>
      <c r="C27" s="28"/>
      <c r="D27" s="29"/>
      <c r="E27" s="30"/>
      <c r="F27" s="3"/>
      <c r="G27" s="2"/>
    </row>
    <row r="28" spans="1:7" x14ac:dyDescent="0.25">
      <c r="B28" s="3"/>
      <c r="C28" s="28"/>
      <c r="D28" s="29"/>
      <c r="E28" s="30"/>
      <c r="F28" s="3"/>
      <c r="G28" s="2"/>
    </row>
    <row r="29" spans="1:7" x14ac:dyDescent="0.25">
      <c r="B29" s="3"/>
      <c r="C29" s="28"/>
      <c r="D29" s="29"/>
      <c r="E29" s="30"/>
      <c r="F29" s="3"/>
      <c r="G29" s="2"/>
    </row>
    <row r="30" spans="1:7" x14ac:dyDescent="0.25">
      <c r="B30" s="3"/>
      <c r="C30" s="28"/>
      <c r="D30" s="29"/>
      <c r="E30" s="30"/>
      <c r="F30" s="3"/>
      <c r="G30" s="2"/>
    </row>
    <row r="31" spans="1:7" x14ac:dyDescent="0.25">
      <c r="B31" s="3"/>
      <c r="C31" s="28"/>
      <c r="D31" s="29"/>
      <c r="E31" s="30"/>
      <c r="F31" s="3"/>
      <c r="G31" s="2"/>
    </row>
    <row r="32" spans="1:7" x14ac:dyDescent="0.25">
      <c r="B32" s="3"/>
      <c r="C32" s="28"/>
      <c r="D32" s="29"/>
      <c r="E32" s="30"/>
      <c r="F32" s="3"/>
      <c r="G32" s="2"/>
    </row>
    <row r="33" spans="2:7" x14ac:dyDescent="0.25">
      <c r="B33" s="3"/>
      <c r="C33" s="28"/>
      <c r="D33" s="29"/>
      <c r="E33" s="30"/>
      <c r="F33" s="3"/>
      <c r="G33" s="2"/>
    </row>
    <row r="34" spans="2:7" x14ac:dyDescent="0.25">
      <c r="B34" s="3"/>
      <c r="C34" s="28"/>
      <c r="D34" s="29"/>
      <c r="E34" s="30"/>
      <c r="F34" s="3"/>
      <c r="G34" s="2"/>
    </row>
    <row r="35" spans="2:7" x14ac:dyDescent="0.25">
      <c r="B35" s="3"/>
    </row>
    <row r="36" spans="2:7" x14ac:dyDescent="0.25">
      <c r="B36" s="3"/>
    </row>
    <row r="37" spans="2:7" x14ac:dyDescent="0.25">
      <c r="B37" s="3"/>
    </row>
  </sheetData>
  <sortState ref="A8:G19">
    <sortCondition descending="1" ref="D8:D19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7"/>
  <sheetViews>
    <sheetView workbookViewId="0">
      <selection activeCell="E8" sqref="E8"/>
    </sheetView>
  </sheetViews>
  <sheetFormatPr defaultRowHeight="13.2" x14ac:dyDescent="0.25"/>
  <cols>
    <col min="2" max="2" width="24.6640625" customWidth="1"/>
    <col min="3" max="3" width="9.6640625" style="42" customWidth="1"/>
    <col min="4" max="7" width="9.6640625" customWidth="1"/>
  </cols>
  <sheetData>
    <row r="1" spans="1:11" x14ac:dyDescent="0.25">
      <c r="A1" s="16" t="s">
        <v>22</v>
      </c>
      <c r="B1" s="17" t="s">
        <v>1220</v>
      </c>
      <c r="C1" s="133"/>
      <c r="D1" s="18"/>
      <c r="E1" s="18"/>
      <c r="F1" s="18"/>
      <c r="G1" s="19"/>
    </row>
    <row r="2" spans="1:11" x14ac:dyDescent="0.25">
      <c r="A2" s="20" t="s">
        <v>23</v>
      </c>
      <c r="B2" s="21">
        <v>43164</v>
      </c>
      <c r="C2" s="56"/>
      <c r="D2" s="22"/>
      <c r="E2" s="22"/>
      <c r="F2" s="22"/>
      <c r="G2" s="23"/>
    </row>
    <row r="3" spans="1:11" x14ac:dyDescent="0.25">
      <c r="A3" s="20" t="s">
        <v>24</v>
      </c>
      <c r="B3" s="24" t="s">
        <v>421</v>
      </c>
      <c r="C3" s="56"/>
      <c r="D3" s="22"/>
      <c r="E3" s="22"/>
      <c r="F3" s="22"/>
      <c r="G3" s="23"/>
    </row>
    <row r="4" spans="1:11" x14ac:dyDescent="0.25">
      <c r="A4" s="20" t="s">
        <v>1</v>
      </c>
      <c r="B4" s="24" t="s">
        <v>26</v>
      </c>
      <c r="C4" s="56"/>
      <c r="D4" s="22"/>
      <c r="E4" s="22"/>
      <c r="F4" s="22"/>
      <c r="G4" s="23"/>
    </row>
    <row r="5" spans="1:11" x14ac:dyDescent="0.25">
      <c r="A5" s="20" t="s">
        <v>27</v>
      </c>
      <c r="B5" s="24" t="s">
        <v>879</v>
      </c>
      <c r="C5" s="56"/>
      <c r="D5" s="22"/>
      <c r="E5" s="22" t="s">
        <v>55</v>
      </c>
      <c r="F5" s="38">
        <f>AVERAGE(C8:C12)*(AVERAGE(D8:D12)/100)</f>
        <v>1.5417264929217496E-2</v>
      </c>
      <c r="G5" s="23"/>
    </row>
    <row r="6" spans="1:11" x14ac:dyDescent="0.25">
      <c r="A6" s="25" t="s">
        <v>29</v>
      </c>
      <c r="B6" s="26"/>
      <c r="C6" s="134"/>
      <c r="D6" s="26"/>
      <c r="E6" s="26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11" x14ac:dyDescent="0.25">
      <c r="A8" s="2">
        <v>1</v>
      </c>
      <c r="B8" s="3" t="s">
        <v>765</v>
      </c>
      <c r="C8" s="51">
        <f>TIME(0,27,31.4)</f>
        <v>1.9108796296296294E-2</v>
      </c>
      <c r="D8" s="29">
        <f>INDEX('Points Summary'!$F$4:$F$1143,G8)</f>
        <v>89.06928922635062</v>
      </c>
      <c r="E8" s="124">
        <f t="shared" ref="E8:E29" si="0">(AVERAGE($D$8:$D$12)/100*AVERAGE($C$8:$C$12))/C8</f>
        <v>0.80681507564166677</v>
      </c>
      <c r="F8" s="3"/>
      <c r="G8" s="2">
        <f>MATCH(B8,'Points Summary'!$B$4:$B$1144,0)</f>
        <v>97</v>
      </c>
      <c r="I8" s="51"/>
      <c r="J8" s="28"/>
      <c r="K8" s="28"/>
    </row>
    <row r="9" spans="1:11" x14ac:dyDescent="0.25">
      <c r="A9" s="2">
        <v>2</v>
      </c>
      <c r="B9" s="3" t="s">
        <v>375</v>
      </c>
      <c r="C9" s="51">
        <f>TIME(0,33,51.2)</f>
        <v>2.3506944444444445E-2</v>
      </c>
      <c r="D9" s="29">
        <f>INDEX('Points Summary'!$F$4:$F$1143,G9)</f>
        <v>65.891897567275805</v>
      </c>
      <c r="E9" s="124">
        <f t="shared" si="0"/>
        <v>0.65586001471412692</v>
      </c>
      <c r="F9" s="3"/>
      <c r="G9" s="2">
        <f>MATCH(B9,'Points Summary'!$B$4:$B$1144,0)</f>
        <v>86</v>
      </c>
      <c r="I9" s="51"/>
      <c r="J9" s="28"/>
      <c r="K9" s="28"/>
    </row>
    <row r="10" spans="1:11" x14ac:dyDescent="0.25">
      <c r="A10" s="2">
        <v>3</v>
      </c>
      <c r="B10" s="3" t="s">
        <v>789</v>
      </c>
      <c r="C10" s="51">
        <f>TIME(0,33,56.1)</f>
        <v>2.3564814814814813E-2</v>
      </c>
      <c r="D10" s="29">
        <f>INDEX('Points Summary'!$F$4:$F$1143,G10)</f>
        <v>61.69120709013751</v>
      </c>
      <c r="E10" s="124">
        <f t="shared" si="0"/>
        <v>0.65424935652475036</v>
      </c>
      <c r="F10" s="3"/>
      <c r="G10" s="2">
        <f>MATCH(B10,'Points Summary'!$B$4:$B$1144,0)</f>
        <v>138</v>
      </c>
      <c r="I10" s="51"/>
      <c r="J10" s="28"/>
      <c r="K10" s="28"/>
    </row>
    <row r="11" spans="1:11" x14ac:dyDescent="0.25">
      <c r="A11" s="2">
        <v>5</v>
      </c>
      <c r="B11" s="3" t="s">
        <v>465</v>
      </c>
      <c r="C11" s="51">
        <f>TIME(0,36,24.2)</f>
        <v>2.5277777777777777E-2</v>
      </c>
      <c r="D11" s="29">
        <f>INDEX('Points Summary'!$F$4:$F$1143,G11)</f>
        <v>59.072121846033831</v>
      </c>
      <c r="E11" s="124">
        <f t="shared" si="0"/>
        <v>0.60991377741959329</v>
      </c>
      <c r="F11" s="3"/>
      <c r="G11" s="2">
        <f>MATCH(B11,'Points Summary'!$B$4:$B$1144,0)</f>
        <v>241</v>
      </c>
      <c r="I11" s="51"/>
      <c r="J11" s="28"/>
      <c r="K11" s="28"/>
    </row>
    <row r="12" spans="1:11" x14ac:dyDescent="0.25">
      <c r="A12" s="2">
        <v>4</v>
      </c>
      <c r="B12" s="3" t="s">
        <v>880</v>
      </c>
      <c r="C12" s="51">
        <f>TIME(0,35,19.7)</f>
        <v>2.4525462962962968E-2</v>
      </c>
      <c r="D12" s="29">
        <f>INDEX('Points Summary'!$F$4:$F$1143,G12)</f>
        <v>56.590545113529153</v>
      </c>
      <c r="E12" s="124">
        <f t="shared" si="0"/>
        <v>0.62862278899688129</v>
      </c>
      <c r="F12" s="3"/>
      <c r="G12" s="2">
        <f>MATCH(B12,'Points Summary'!$B$4:$B$1144,0)</f>
        <v>78</v>
      </c>
      <c r="I12" s="51"/>
    </row>
    <row r="13" spans="1:11" x14ac:dyDescent="0.25">
      <c r="A13" s="2">
        <v>9</v>
      </c>
      <c r="B13" s="3" t="s">
        <v>907</v>
      </c>
      <c r="C13" s="51">
        <f>TIME(0,39,16.3)</f>
        <v>2.7268518518518515E-2</v>
      </c>
      <c r="D13" s="29">
        <f>INDEX('Points Summary'!$F$4:$F$1143,G13)</f>
        <v>55.901532955447941</v>
      </c>
      <c r="E13" s="124">
        <f t="shared" si="0"/>
        <v>0.56538696514617648</v>
      </c>
      <c r="F13" s="3"/>
      <c r="G13" s="2">
        <f>MATCH(B13,'Points Summary'!$B$4:$B$1144,0)</f>
        <v>250</v>
      </c>
      <c r="I13" s="51"/>
    </row>
    <row r="14" spans="1:11" x14ac:dyDescent="0.25">
      <c r="A14" s="2">
        <v>7</v>
      </c>
      <c r="B14" s="3" t="s">
        <v>792</v>
      </c>
      <c r="C14" s="51">
        <f>TIME(0,37,31.1)</f>
        <v>2.6053240740740738E-2</v>
      </c>
      <c r="D14" s="29">
        <f>INDEX('Points Summary'!$F$4:$F$1143,G14)</f>
        <v>54.791216542900059</v>
      </c>
      <c r="E14" s="124">
        <f t="shared" si="0"/>
        <v>0.59175996885135129</v>
      </c>
      <c r="F14" s="3"/>
      <c r="G14" s="2">
        <f>MATCH(B14,'Points Summary'!$B$4:$B$1144,0)</f>
        <v>235</v>
      </c>
      <c r="I14" s="51"/>
    </row>
    <row r="15" spans="1:11" x14ac:dyDescent="0.25">
      <c r="A15" s="2">
        <v>6</v>
      </c>
      <c r="B15" s="3" t="s">
        <v>751</v>
      </c>
      <c r="C15" s="51">
        <f>TIME(0,37,5.5)</f>
        <v>2.5752314814814815E-2</v>
      </c>
      <c r="D15" s="29">
        <f>INDEX('Points Summary'!$F$4:$F$1143,G15)</f>
        <v>54.420067040886281</v>
      </c>
      <c r="E15" s="124">
        <f t="shared" si="0"/>
        <v>0.59867491680197382</v>
      </c>
      <c r="F15" s="3"/>
      <c r="G15" s="2">
        <f>MATCH(B15,'Points Summary'!$B$4:$B$1144,0)</f>
        <v>190</v>
      </c>
      <c r="I15" s="51"/>
    </row>
    <row r="16" spans="1:11" x14ac:dyDescent="0.25">
      <c r="A16" s="2">
        <v>8</v>
      </c>
      <c r="B16" s="3" t="s">
        <v>815</v>
      </c>
      <c r="C16" s="51">
        <f>TIME(0,39,15.1)</f>
        <v>2.7256944444444445E-2</v>
      </c>
      <c r="D16" s="29">
        <f>INDEX('Points Summary'!$F$4:$F$1143,G16)</f>
        <v>54.310602177213042</v>
      </c>
      <c r="E16" s="124">
        <f t="shared" si="0"/>
        <v>0.56562704453689672</v>
      </c>
      <c r="F16" s="3"/>
      <c r="G16" s="2">
        <f>MATCH(B16,'Points Summary'!$B$4:$B$1144,0)</f>
        <v>322</v>
      </c>
      <c r="I16" s="51"/>
    </row>
    <row r="17" spans="1:9" x14ac:dyDescent="0.25">
      <c r="A17" s="2">
        <v>12</v>
      </c>
      <c r="B17" s="3" t="s">
        <v>1092</v>
      </c>
      <c r="C17" s="51">
        <f>TIME(0,42,10.4)</f>
        <v>2.9282407407407406E-2</v>
      </c>
      <c r="D17" s="29">
        <f>INDEX('Points Summary'!$F$4:$F$1143,G17)</f>
        <v>52.381673963354459</v>
      </c>
      <c r="E17" s="124">
        <f t="shared" si="0"/>
        <v>0.52650264422307969</v>
      </c>
      <c r="F17" s="3"/>
      <c r="G17" s="2">
        <f>MATCH(B17,'Points Summary'!$B$4:$B$1144,0)</f>
        <v>234</v>
      </c>
      <c r="I17" s="51"/>
    </row>
    <row r="18" spans="1:9" x14ac:dyDescent="0.25">
      <c r="A18" s="2">
        <v>17</v>
      </c>
      <c r="B18" s="3" t="s">
        <v>881</v>
      </c>
      <c r="C18" s="51">
        <f>TIME(0,44,22.5)</f>
        <v>3.0810185185185187E-2</v>
      </c>
      <c r="D18" s="29">
        <f>INDEX('Points Summary'!$F$4:$F$1143,G18)</f>
        <v>48.533282593654661</v>
      </c>
      <c r="E18" s="124">
        <f t="shared" si="0"/>
        <v>0.50039507508805092</v>
      </c>
      <c r="F18" s="3"/>
      <c r="G18" s="2">
        <f>MATCH(B18,'Points Summary'!$B$4:$B$1144,0)</f>
        <v>263</v>
      </c>
      <c r="I18" s="51"/>
    </row>
    <row r="19" spans="1:9" x14ac:dyDescent="0.25">
      <c r="A19" s="2">
        <v>13</v>
      </c>
      <c r="B19" s="3" t="s">
        <v>825</v>
      </c>
      <c r="C19" s="51">
        <f>TIME(0,42,55.7)</f>
        <v>2.9803240740740741E-2</v>
      </c>
      <c r="D19" s="29">
        <f>INDEX('Points Summary'!$F$4:$F$1143,G19)</f>
        <v>47.857249998406772</v>
      </c>
      <c r="E19" s="124">
        <f t="shared" si="0"/>
        <v>0.51730162713956962</v>
      </c>
      <c r="F19" s="3"/>
      <c r="G19" s="2">
        <f>MATCH(B19,'Points Summary'!$B$4:$B$1144,0)</f>
        <v>279</v>
      </c>
      <c r="I19" s="51"/>
    </row>
    <row r="20" spans="1:9" x14ac:dyDescent="0.25">
      <c r="A20" s="2">
        <v>14</v>
      </c>
      <c r="B20" s="3" t="s">
        <v>752</v>
      </c>
      <c r="C20" s="51">
        <f>TIME(0,42,57.9)</f>
        <v>2.9826388888888892E-2</v>
      </c>
      <c r="D20" s="29">
        <f>INDEX('Points Summary'!$F$4:$F$1143,G20)</f>
        <v>47.579363425109044</v>
      </c>
      <c r="E20" s="124">
        <f t="shared" si="0"/>
        <v>0.51690015129390432</v>
      </c>
      <c r="F20" s="3"/>
      <c r="G20" s="2">
        <f>MATCH(B20,'Points Summary'!$B$4:$B$1144,0)</f>
        <v>6</v>
      </c>
      <c r="I20" s="51"/>
    </row>
    <row r="21" spans="1:9" x14ac:dyDescent="0.25">
      <c r="A21" s="2">
        <v>11</v>
      </c>
      <c r="B21" s="3" t="s">
        <v>750</v>
      </c>
      <c r="C21" s="51">
        <f>TIME(0,41,28.2)</f>
        <v>2.8796296296296296E-2</v>
      </c>
      <c r="D21" s="29">
        <f>INDEX('Points Summary'!$F$4:$F$1143,G21)</f>
        <v>47.294153385554111</v>
      </c>
      <c r="E21" s="124">
        <f t="shared" si="0"/>
        <v>0.53539055059662044</v>
      </c>
      <c r="F21" s="3"/>
      <c r="G21" s="2">
        <f>MATCH(B21,'Points Summary'!$B$4:$B$1144,0)</f>
        <v>244</v>
      </c>
      <c r="I21" s="51"/>
    </row>
    <row r="22" spans="1:9" x14ac:dyDescent="0.25">
      <c r="A22" s="2">
        <v>15</v>
      </c>
      <c r="B22" s="3" t="s">
        <v>824</v>
      </c>
      <c r="C22" s="51">
        <f>TIME(0,42,52.9)</f>
        <v>2.9768518518518517E-2</v>
      </c>
      <c r="D22" s="29">
        <f>INDEX('Points Summary'!$F$4:$F$1143,G22)</f>
        <v>45.662834399900476</v>
      </c>
      <c r="E22" s="124">
        <f t="shared" si="0"/>
        <v>0.51790501161912583</v>
      </c>
      <c r="F22" s="3"/>
      <c r="G22" s="2">
        <f>MATCH(B22,'Points Summary'!$B$4:$B$1144,0)</f>
        <v>160</v>
      </c>
      <c r="I22" s="51"/>
    </row>
    <row r="23" spans="1:9" x14ac:dyDescent="0.25">
      <c r="A23" s="2">
        <v>16</v>
      </c>
      <c r="B23" s="3" t="s">
        <v>791</v>
      </c>
      <c r="C23" s="51">
        <f>TIME(0,43,13.2)</f>
        <v>3.0011574074074076E-2</v>
      </c>
      <c r="D23" s="29">
        <f>INDEX('Points Summary'!$F$4:$F$1143,G23)</f>
        <v>45.159446971124666</v>
      </c>
      <c r="E23" s="124">
        <f t="shared" si="0"/>
        <v>0.51371064014052892</v>
      </c>
      <c r="F23" s="3"/>
      <c r="G23" s="2">
        <f>MATCH(B23,'Points Summary'!$B$4:$B$1144,0)</f>
        <v>52</v>
      </c>
      <c r="I23" s="51"/>
    </row>
    <row r="24" spans="1:9" x14ac:dyDescent="0.25">
      <c r="A24" s="2">
        <v>19</v>
      </c>
      <c r="B24" s="3" t="s">
        <v>1172</v>
      </c>
      <c r="C24" s="51">
        <f>TIME(0,46,33.5)</f>
        <v>3.2326388888888884E-2</v>
      </c>
      <c r="D24" s="29">
        <f>INDEX('Points Summary'!$F$4:$F$1143,G24)</f>
        <v>43.87461929889286</v>
      </c>
      <c r="E24" s="124">
        <f t="shared" si="0"/>
        <v>0.47692505903486998</v>
      </c>
      <c r="F24" s="3"/>
      <c r="G24" s="2">
        <f>MATCH(B24,'Points Summary'!$B$4:$B$1144,0)</f>
        <v>312</v>
      </c>
      <c r="I24" s="51"/>
    </row>
    <row r="25" spans="1:9" x14ac:dyDescent="0.25">
      <c r="A25" s="2">
        <v>18</v>
      </c>
      <c r="B25" s="3" t="s">
        <v>908</v>
      </c>
      <c r="C25" s="51">
        <f>TIME(0,45,10)</f>
        <v>3.1365740740740743E-2</v>
      </c>
      <c r="D25" s="29">
        <f>INDEX('Points Summary'!$F$4:$F$1143,G25)</f>
        <v>43.584396331857015</v>
      </c>
      <c r="E25" s="124">
        <f t="shared" si="0"/>
        <v>0.49153198888722938</v>
      </c>
      <c r="F25" s="3"/>
      <c r="G25" s="2">
        <f>MATCH(B25,'Points Summary'!$B$4:$B$1144,0)</f>
        <v>200</v>
      </c>
      <c r="I25" s="51"/>
    </row>
    <row r="26" spans="1:9" x14ac:dyDescent="0.25">
      <c r="A26" s="2">
        <v>22</v>
      </c>
      <c r="B26" s="3" t="s">
        <v>817</v>
      </c>
      <c r="C26" s="51">
        <f>TIME(0,52,34.3)</f>
        <v>3.650462962962963E-2</v>
      </c>
      <c r="D26" s="29">
        <f>INDEX('Points Summary'!$F$4:$F$1143,G26)</f>
        <v>38.386646967874427</v>
      </c>
      <c r="E26" s="124">
        <f t="shared" si="0"/>
        <v>0.42233725107304748</v>
      </c>
      <c r="F26" s="3"/>
      <c r="G26" s="2">
        <f>MATCH(B26,'Points Summary'!$B$4:$B$1144,0)</f>
        <v>420</v>
      </c>
      <c r="I26" s="51"/>
    </row>
    <row r="27" spans="1:9" x14ac:dyDescent="0.25">
      <c r="A27" s="2">
        <v>21</v>
      </c>
      <c r="B27" s="3" t="s">
        <v>1096</v>
      </c>
      <c r="C27" s="51">
        <f>TIME(0,52,30.2)</f>
        <v>3.6458333333333336E-2</v>
      </c>
      <c r="D27" s="29">
        <f>INDEX('Points Summary'!$F$4:$F$1143,G27)</f>
        <v>33.508534352952715</v>
      </c>
      <c r="E27" s="124">
        <f t="shared" si="0"/>
        <v>0.42287355234425128</v>
      </c>
      <c r="F27" s="3"/>
      <c r="G27" s="2">
        <f>MATCH(B27,'Points Summary'!$B$4:$B$1144,0)</f>
        <v>313</v>
      </c>
      <c r="I27" s="51"/>
    </row>
    <row r="28" spans="1:9" x14ac:dyDescent="0.25">
      <c r="A28" s="2">
        <v>10</v>
      </c>
      <c r="B28" s="3" t="s">
        <v>1221</v>
      </c>
      <c r="C28" s="51">
        <f>TIME(0,40,9.2)</f>
        <v>2.7881944444444445E-2</v>
      </c>
      <c r="D28" s="29">
        <f>INDEX('Points Summary'!$F$4:$F$1143,G28)</f>
        <v>0</v>
      </c>
      <c r="E28" s="124">
        <f t="shared" si="0"/>
        <v>0.55294798251738964</v>
      </c>
      <c r="F28" s="3"/>
      <c r="G28" s="2">
        <f>MATCH(B28,'Points Summary'!$B$4:$B$1144,0)</f>
        <v>287</v>
      </c>
      <c r="I28" s="51"/>
    </row>
    <row r="29" spans="1:9" x14ac:dyDescent="0.25">
      <c r="A29" s="2">
        <v>20</v>
      </c>
      <c r="B29" s="3" t="s">
        <v>1222</v>
      </c>
      <c r="C29" s="51">
        <f>TIME(0,49,0.2)</f>
        <v>3.4027777777777775E-2</v>
      </c>
      <c r="D29" s="29">
        <f>INDEX('Points Summary'!$F$4:$F$1143,G29)</f>
        <v>0</v>
      </c>
      <c r="E29" s="124">
        <f t="shared" si="0"/>
        <v>0.45307880608312645</v>
      </c>
      <c r="F29" s="3"/>
      <c r="G29" s="2">
        <f>MATCH(B29,'Points Summary'!$B$4:$B$1144,0)</f>
        <v>394</v>
      </c>
      <c r="I29" s="51"/>
    </row>
    <row r="30" spans="1:9" x14ac:dyDescent="0.25">
      <c r="A30" s="2"/>
      <c r="B30" s="3"/>
      <c r="C30" s="51"/>
      <c r="D30" s="29"/>
      <c r="E30" s="124"/>
      <c r="F30" s="3"/>
      <c r="G30" s="2"/>
    </row>
    <row r="31" spans="1:9" x14ac:dyDescent="0.25">
      <c r="A31" s="2"/>
      <c r="B31" s="3"/>
      <c r="C31" s="51"/>
      <c r="D31" s="29"/>
      <c r="E31" s="124"/>
      <c r="F31" s="3"/>
      <c r="G31" s="2"/>
    </row>
    <row r="32" spans="1:9" x14ac:dyDescent="0.25">
      <c r="A32" s="2"/>
      <c r="B32" s="3"/>
      <c r="C32" s="51"/>
      <c r="D32" s="29"/>
      <c r="E32" s="124"/>
      <c r="F32" s="3"/>
      <c r="G32" s="2"/>
    </row>
    <row r="33" spans="1:7" x14ac:dyDescent="0.25">
      <c r="A33" s="2"/>
      <c r="B33" s="3"/>
      <c r="C33" s="51"/>
      <c r="D33" s="29"/>
      <c r="E33" s="124"/>
      <c r="F33" s="3"/>
      <c r="G33" s="2"/>
    </row>
    <row r="34" spans="1:7" x14ac:dyDescent="0.25">
      <c r="A34" s="2"/>
      <c r="B34" s="3"/>
      <c r="C34" s="51"/>
      <c r="D34" s="29"/>
      <c r="E34" s="124"/>
      <c r="F34" s="3"/>
      <c r="G34" s="2"/>
    </row>
    <row r="35" spans="1:7" x14ac:dyDescent="0.25">
      <c r="A35" s="2"/>
      <c r="B35" s="3"/>
      <c r="C35" s="51"/>
      <c r="D35" s="29"/>
      <c r="E35" s="124"/>
      <c r="F35" s="3"/>
      <c r="G35" s="2"/>
    </row>
    <row r="36" spans="1:7" x14ac:dyDescent="0.25">
      <c r="A36" s="2"/>
      <c r="B36" s="3"/>
      <c r="C36" s="51"/>
      <c r="D36" s="29"/>
      <c r="E36" s="124"/>
      <c r="F36" s="3"/>
      <c r="G36" s="2"/>
    </row>
    <row r="37" spans="1:7" x14ac:dyDescent="0.25">
      <c r="A37" s="2"/>
      <c r="B37" s="3"/>
      <c r="C37" s="51"/>
      <c r="D37" s="29"/>
      <c r="E37" s="124"/>
      <c r="F37" s="3"/>
      <c r="G37" s="2"/>
    </row>
    <row r="38" spans="1:7" x14ac:dyDescent="0.25">
      <c r="A38" s="2"/>
      <c r="B38" s="3"/>
      <c r="C38" s="51"/>
      <c r="D38" s="29"/>
      <c r="E38" s="124"/>
      <c r="F38" s="3"/>
      <c r="G38" s="2"/>
    </row>
    <row r="39" spans="1:7" x14ac:dyDescent="0.25">
      <c r="A39" s="2"/>
      <c r="B39" s="3"/>
      <c r="C39" s="51"/>
      <c r="D39" s="29"/>
      <c r="E39" s="124"/>
      <c r="F39" s="3"/>
      <c r="G39" s="2"/>
    </row>
    <row r="40" spans="1:7" x14ac:dyDescent="0.25">
      <c r="A40" s="2"/>
      <c r="B40" s="3"/>
      <c r="C40" s="51"/>
      <c r="D40" s="29"/>
      <c r="E40" s="124"/>
      <c r="F40" s="3"/>
      <c r="G40" s="2"/>
    </row>
    <row r="41" spans="1:7" x14ac:dyDescent="0.25">
      <c r="A41" s="2"/>
      <c r="B41" s="3"/>
      <c r="C41" s="51"/>
      <c r="D41" s="29"/>
      <c r="E41" s="124"/>
      <c r="F41" s="3"/>
      <c r="G41" s="2"/>
    </row>
    <row r="42" spans="1:7" x14ac:dyDescent="0.25">
      <c r="A42" s="2"/>
      <c r="B42" s="3"/>
      <c r="C42" s="51"/>
      <c r="D42" s="29"/>
      <c r="E42" s="124"/>
      <c r="F42" s="3"/>
      <c r="G42" s="2"/>
    </row>
    <row r="43" spans="1:7" x14ac:dyDescent="0.25">
      <c r="A43" s="2"/>
      <c r="B43" s="3"/>
      <c r="C43" s="51"/>
      <c r="D43" s="29"/>
      <c r="E43" s="124"/>
      <c r="F43" s="3"/>
      <c r="G43" s="2"/>
    </row>
    <row r="44" spans="1:7" x14ac:dyDescent="0.25">
      <c r="A44" s="2"/>
      <c r="B44" s="3"/>
      <c r="C44" s="51"/>
      <c r="D44" s="29"/>
      <c r="E44" s="124"/>
      <c r="F44" s="3"/>
      <c r="G44" s="2"/>
    </row>
    <row r="45" spans="1:7" x14ac:dyDescent="0.25">
      <c r="A45" s="2"/>
      <c r="B45" s="3"/>
      <c r="C45" s="51"/>
      <c r="D45" s="29"/>
      <c r="E45" s="124"/>
      <c r="F45" s="3"/>
      <c r="G45" s="2"/>
    </row>
    <row r="46" spans="1:7" x14ac:dyDescent="0.25">
      <c r="A46" s="2"/>
      <c r="B46" s="3"/>
      <c r="C46" s="51"/>
      <c r="D46" s="29"/>
      <c r="E46" s="124"/>
      <c r="F46" s="3"/>
      <c r="G46" s="2"/>
    </row>
    <row r="47" spans="1:7" x14ac:dyDescent="0.25">
      <c r="A47" s="2"/>
      <c r="B47" s="3"/>
      <c r="C47" s="51"/>
      <c r="D47" s="29"/>
      <c r="E47" s="124"/>
      <c r="F47" s="3"/>
      <c r="G47" s="2"/>
    </row>
    <row r="48" spans="1:7" x14ac:dyDescent="0.25">
      <c r="A48" s="2"/>
      <c r="B48" s="3"/>
      <c r="C48" s="51"/>
      <c r="D48" s="29"/>
      <c r="E48" s="124"/>
      <c r="F48" s="3"/>
      <c r="G48" s="2"/>
    </row>
    <row r="49" spans="1:7" x14ac:dyDescent="0.25">
      <c r="A49" s="2"/>
      <c r="B49" s="3"/>
      <c r="C49" s="51"/>
      <c r="D49" s="29"/>
      <c r="E49" s="124"/>
      <c r="F49" s="3"/>
      <c r="G49" s="2"/>
    </row>
    <row r="50" spans="1:7" x14ac:dyDescent="0.25">
      <c r="A50" s="2"/>
      <c r="B50" s="3"/>
      <c r="C50" s="51"/>
      <c r="D50" s="29"/>
      <c r="E50" s="124"/>
      <c r="F50" s="3"/>
      <c r="G50" s="2"/>
    </row>
    <row r="51" spans="1:7" x14ac:dyDescent="0.25">
      <c r="A51" s="2"/>
      <c r="B51" s="3"/>
      <c r="C51" s="51"/>
      <c r="D51" s="29"/>
      <c r="E51" s="124"/>
      <c r="F51" s="3"/>
      <c r="G51" s="2"/>
    </row>
    <row r="52" spans="1:7" x14ac:dyDescent="0.25">
      <c r="A52" s="2"/>
      <c r="B52" s="3"/>
      <c r="C52" s="51"/>
      <c r="D52" s="29"/>
      <c r="E52" s="124"/>
      <c r="F52" s="3"/>
      <c r="G52" s="2"/>
    </row>
    <row r="53" spans="1:7" x14ac:dyDescent="0.25">
      <c r="A53" s="2"/>
      <c r="B53" s="3"/>
      <c r="C53" s="51"/>
      <c r="D53" s="29"/>
      <c r="E53" s="124"/>
      <c r="F53" s="3"/>
      <c r="G53" s="2"/>
    </row>
    <row r="54" spans="1:7" x14ac:dyDescent="0.25">
      <c r="A54" s="2"/>
      <c r="B54" s="3"/>
      <c r="C54" s="51"/>
      <c r="D54" s="29"/>
      <c r="E54" s="124"/>
      <c r="F54" s="3"/>
      <c r="G54" s="2"/>
    </row>
    <row r="55" spans="1:7" x14ac:dyDescent="0.25">
      <c r="A55" s="2"/>
      <c r="B55" s="3"/>
      <c r="C55" s="51"/>
      <c r="D55" s="29"/>
      <c r="E55" s="124"/>
      <c r="F55" s="3"/>
      <c r="G55" s="2"/>
    </row>
    <row r="56" spans="1:7" x14ac:dyDescent="0.25">
      <c r="A56" s="2"/>
      <c r="B56" s="3"/>
      <c r="C56" s="51"/>
      <c r="D56" s="29"/>
      <c r="E56" s="124"/>
      <c r="F56" s="3"/>
      <c r="G56" s="2"/>
    </row>
    <row r="57" spans="1:7" x14ac:dyDescent="0.25">
      <c r="A57" s="2"/>
      <c r="B57" s="3"/>
      <c r="C57" s="51"/>
      <c r="D57" s="29"/>
      <c r="E57" s="124"/>
      <c r="F57" s="3"/>
      <c r="G57" s="2"/>
    </row>
    <row r="58" spans="1:7" x14ac:dyDescent="0.25">
      <c r="A58" s="2"/>
      <c r="B58" s="3"/>
      <c r="C58" s="51"/>
      <c r="D58" s="29"/>
      <c r="E58" s="124"/>
      <c r="F58" s="3"/>
      <c r="G58" s="2"/>
    </row>
    <row r="59" spans="1:7" x14ac:dyDescent="0.25">
      <c r="A59" s="2"/>
      <c r="B59" s="3"/>
      <c r="C59" s="51"/>
      <c r="D59" s="29"/>
      <c r="E59" s="124"/>
      <c r="F59" s="3"/>
      <c r="G59" s="2"/>
    </row>
    <row r="60" spans="1:7" x14ac:dyDescent="0.25">
      <c r="A60" s="2"/>
      <c r="B60" s="3"/>
      <c r="C60" s="51"/>
      <c r="D60" s="29"/>
      <c r="E60" s="124"/>
      <c r="F60" s="3"/>
      <c r="G60" s="2"/>
    </row>
    <row r="61" spans="1:7" x14ac:dyDescent="0.25">
      <c r="A61" s="2"/>
      <c r="B61" s="3"/>
      <c r="C61" s="51"/>
      <c r="D61" s="29"/>
      <c r="E61" s="124"/>
      <c r="F61" s="3"/>
      <c r="G61" s="2"/>
    </row>
    <row r="62" spans="1:7" x14ac:dyDescent="0.25">
      <c r="A62" s="2"/>
      <c r="B62" s="3"/>
      <c r="C62" s="51"/>
      <c r="D62" s="29"/>
      <c r="E62" s="124"/>
      <c r="F62" s="3"/>
      <c r="G62" s="2"/>
    </row>
    <row r="63" spans="1:7" x14ac:dyDescent="0.25">
      <c r="A63" s="2"/>
      <c r="B63" s="3"/>
      <c r="C63" s="51"/>
      <c r="D63" s="29"/>
      <c r="E63" s="124"/>
      <c r="F63" s="3"/>
      <c r="G63" s="2"/>
    </row>
    <row r="64" spans="1:7" x14ac:dyDescent="0.25">
      <c r="A64" s="2"/>
      <c r="B64" s="3"/>
      <c r="C64" s="51"/>
      <c r="D64" s="29"/>
      <c r="E64" s="124"/>
      <c r="F64" s="3"/>
      <c r="G64" s="2"/>
    </row>
    <row r="65" spans="1:7" x14ac:dyDescent="0.25">
      <c r="A65" s="2"/>
      <c r="B65" s="3"/>
      <c r="C65" s="51"/>
      <c r="D65" s="29"/>
      <c r="E65" s="124"/>
      <c r="F65" s="3"/>
      <c r="G65" s="2"/>
    </row>
    <row r="66" spans="1:7" x14ac:dyDescent="0.25">
      <c r="A66" s="2"/>
      <c r="B66" s="3"/>
      <c r="C66" s="51"/>
      <c r="D66" s="29"/>
      <c r="E66" s="124"/>
      <c r="F66" s="3"/>
      <c r="G66" s="2"/>
    </row>
    <row r="67" spans="1:7" x14ac:dyDescent="0.25">
      <c r="A67" s="2"/>
      <c r="B67" s="3"/>
      <c r="C67" s="51"/>
      <c r="D67" s="29"/>
      <c r="E67" s="124"/>
      <c r="F67" s="3"/>
      <c r="G67" s="2"/>
    </row>
    <row r="68" spans="1:7" x14ac:dyDescent="0.25">
      <c r="A68" s="2"/>
      <c r="B68" s="3"/>
      <c r="C68" s="51"/>
      <c r="D68" s="29"/>
      <c r="E68" s="124"/>
      <c r="F68" s="3"/>
      <c r="G68" s="2"/>
    </row>
    <row r="69" spans="1:7" x14ac:dyDescent="0.25">
      <c r="A69" s="2"/>
      <c r="B69" s="3"/>
      <c r="C69" s="51"/>
      <c r="D69" s="29"/>
      <c r="E69" s="124"/>
      <c r="F69" s="3"/>
      <c r="G69" s="2"/>
    </row>
    <row r="70" spans="1:7" x14ac:dyDescent="0.25">
      <c r="A70" s="2"/>
      <c r="B70" s="3"/>
      <c r="C70" s="51"/>
      <c r="D70" s="29"/>
      <c r="E70" s="124"/>
      <c r="F70" s="3"/>
      <c r="G70" s="2"/>
    </row>
    <row r="71" spans="1:7" x14ac:dyDescent="0.25">
      <c r="A71" s="2"/>
      <c r="B71" s="3"/>
      <c r="C71" s="51"/>
      <c r="D71" s="29"/>
      <c r="E71" s="124"/>
      <c r="F71" s="3"/>
      <c r="G71" s="2"/>
    </row>
    <row r="72" spans="1:7" x14ac:dyDescent="0.25">
      <c r="A72" s="2"/>
      <c r="B72" s="3"/>
      <c r="C72" s="51"/>
      <c r="D72" s="29"/>
      <c r="E72" s="124"/>
      <c r="F72" s="3"/>
      <c r="G72" s="2"/>
    </row>
    <row r="73" spans="1:7" x14ac:dyDescent="0.25">
      <c r="A73" s="2"/>
      <c r="B73" s="3"/>
      <c r="C73" s="51"/>
      <c r="D73" s="29"/>
      <c r="E73" s="124"/>
      <c r="F73" s="3"/>
      <c r="G73" s="2"/>
    </row>
    <row r="74" spans="1:7" x14ac:dyDescent="0.25">
      <c r="A74" s="2"/>
      <c r="B74" s="3"/>
      <c r="C74" s="51"/>
      <c r="D74" s="29"/>
      <c r="E74" s="124"/>
      <c r="F74" s="3"/>
      <c r="G74" s="2"/>
    </row>
    <row r="75" spans="1:7" x14ac:dyDescent="0.25">
      <c r="A75" s="2"/>
      <c r="B75" s="3"/>
      <c r="C75" s="51"/>
      <c r="D75" s="29"/>
      <c r="E75" s="124"/>
      <c r="F75" s="3"/>
      <c r="G75" s="2"/>
    </row>
    <row r="76" spans="1:7" x14ac:dyDescent="0.25">
      <c r="A76" s="2"/>
      <c r="B76" s="3"/>
      <c r="C76" s="51"/>
      <c r="D76" s="29"/>
      <c r="E76" s="124"/>
      <c r="F76" s="3"/>
      <c r="G76" s="2"/>
    </row>
    <row r="77" spans="1:7" x14ac:dyDescent="0.25">
      <c r="A77" s="2"/>
      <c r="B77" s="3"/>
      <c r="C77" s="51"/>
      <c r="D77" s="29"/>
      <c r="E77" s="30"/>
      <c r="F77" s="3"/>
      <c r="G77" s="2"/>
    </row>
    <row r="78" spans="1:7" x14ac:dyDescent="0.25">
      <c r="A78" s="2"/>
      <c r="B78" s="3"/>
      <c r="C78" s="51"/>
      <c r="D78" s="29"/>
      <c r="E78" s="30"/>
      <c r="F78" s="3"/>
      <c r="G78" s="2"/>
    </row>
    <row r="79" spans="1:7" x14ac:dyDescent="0.25">
      <c r="A79" s="2"/>
      <c r="B79" s="3"/>
      <c r="C79" s="51"/>
      <c r="D79" s="29"/>
      <c r="E79" s="30"/>
      <c r="F79" s="3"/>
      <c r="G79" s="2"/>
    </row>
    <row r="80" spans="1:7" x14ac:dyDescent="0.25">
      <c r="A80" s="2"/>
      <c r="B80" s="3"/>
      <c r="C80" s="51"/>
      <c r="D80" s="29"/>
      <c r="E80" s="30"/>
      <c r="F80" s="3"/>
      <c r="G80" s="2"/>
    </row>
    <row r="81" spans="1:7" x14ac:dyDescent="0.25">
      <c r="A81" s="2"/>
      <c r="B81" s="3"/>
      <c r="C81" s="51"/>
      <c r="D81" s="29"/>
      <c r="E81" s="30"/>
      <c r="F81" s="3"/>
      <c r="G81" s="2"/>
    </row>
    <row r="82" spans="1:7" x14ac:dyDescent="0.25">
      <c r="A82" s="2"/>
      <c r="B82" s="3"/>
      <c r="C82" s="51"/>
      <c r="D82" s="29"/>
      <c r="E82" s="30"/>
      <c r="F82" s="3"/>
      <c r="G82" s="2"/>
    </row>
    <row r="83" spans="1:7" x14ac:dyDescent="0.25">
      <c r="A83" s="2"/>
      <c r="B83" s="3"/>
      <c r="C83" s="51"/>
      <c r="D83" s="29"/>
      <c r="E83" s="30"/>
      <c r="F83" s="3"/>
      <c r="G83" s="2"/>
    </row>
    <row r="84" spans="1:7" x14ac:dyDescent="0.25">
      <c r="A84" s="2"/>
      <c r="B84" s="3"/>
      <c r="C84" s="51"/>
      <c r="D84" s="29"/>
      <c r="E84" s="30"/>
      <c r="F84" s="3"/>
      <c r="G84" s="2"/>
    </row>
    <row r="85" spans="1:7" x14ac:dyDescent="0.25">
      <c r="A85" s="2"/>
      <c r="B85" s="3"/>
      <c r="C85" s="51"/>
      <c r="D85" s="29"/>
      <c r="E85" s="30"/>
      <c r="F85" s="3"/>
      <c r="G85" s="2"/>
    </row>
    <row r="86" spans="1:7" x14ac:dyDescent="0.25">
      <c r="A86" s="2"/>
      <c r="B86" s="3"/>
      <c r="C86" s="51"/>
      <c r="D86" s="29"/>
      <c r="E86" s="30"/>
      <c r="F86" s="3"/>
      <c r="G86" s="2"/>
    </row>
    <row r="87" spans="1:7" x14ac:dyDescent="0.25">
      <c r="A87" s="2"/>
      <c r="B87" s="3"/>
      <c r="C87" s="51"/>
      <c r="D87" s="29"/>
      <c r="E87" s="30"/>
      <c r="F87" s="3"/>
      <c r="G87" s="2"/>
    </row>
    <row r="88" spans="1:7" x14ac:dyDescent="0.25">
      <c r="A88" s="2"/>
      <c r="B88" s="3"/>
      <c r="C88" s="51"/>
      <c r="D88" s="29"/>
      <c r="E88" s="30"/>
      <c r="F88" s="3"/>
      <c r="G88" s="2"/>
    </row>
    <row r="89" spans="1:7" x14ac:dyDescent="0.25">
      <c r="A89" s="2"/>
      <c r="B89" s="3"/>
      <c r="C89" s="51"/>
      <c r="D89" s="29"/>
      <c r="E89" s="30"/>
      <c r="F89" s="3"/>
      <c r="G89" s="2"/>
    </row>
    <row r="90" spans="1:7" x14ac:dyDescent="0.25">
      <c r="A90" s="2"/>
      <c r="B90" s="3"/>
      <c r="C90" s="51"/>
      <c r="D90" s="29"/>
      <c r="E90" s="30"/>
      <c r="F90" s="3"/>
      <c r="G90" s="2"/>
    </row>
    <row r="91" spans="1:7" x14ac:dyDescent="0.25">
      <c r="A91" s="2"/>
      <c r="B91" s="3"/>
      <c r="C91" s="51"/>
      <c r="D91" s="29"/>
      <c r="E91" s="30"/>
      <c r="F91" s="3"/>
      <c r="G91" s="2"/>
    </row>
    <row r="92" spans="1:7" x14ac:dyDescent="0.25">
      <c r="A92" s="2"/>
      <c r="B92" s="3"/>
      <c r="C92" s="51"/>
      <c r="D92" s="29"/>
      <c r="E92" s="30"/>
      <c r="F92" s="3"/>
      <c r="G92" s="2"/>
    </row>
    <row r="93" spans="1:7" x14ac:dyDescent="0.25">
      <c r="A93" s="2"/>
      <c r="B93" s="3"/>
      <c r="C93" s="51"/>
      <c r="D93" s="29"/>
      <c r="E93" s="30"/>
      <c r="F93" s="3"/>
      <c r="G93" s="2"/>
    </row>
    <row r="94" spans="1:7" x14ac:dyDescent="0.25">
      <c r="A94" s="2"/>
      <c r="B94" s="3"/>
      <c r="C94" s="51"/>
      <c r="D94" s="29"/>
      <c r="E94" s="30"/>
      <c r="F94" s="3"/>
      <c r="G94" s="2"/>
    </row>
    <row r="95" spans="1:7" x14ac:dyDescent="0.25">
      <c r="A95" s="2"/>
      <c r="B95" s="3"/>
      <c r="C95" s="51"/>
      <c r="D95" s="29"/>
      <c r="E95" s="30"/>
      <c r="F95" s="3"/>
      <c r="G95" s="2"/>
    </row>
    <row r="96" spans="1:7" x14ac:dyDescent="0.25">
      <c r="A96" s="2"/>
      <c r="B96" s="3"/>
      <c r="C96" s="51"/>
      <c r="D96" s="29"/>
      <c r="E96" s="30"/>
      <c r="F96" s="3"/>
      <c r="G96" s="2"/>
    </row>
    <row r="97" spans="1:7" x14ac:dyDescent="0.25">
      <c r="A97" s="2"/>
      <c r="B97" s="3"/>
      <c r="C97" s="51"/>
      <c r="D97" s="29"/>
      <c r="E97" s="30"/>
      <c r="F97" s="3"/>
      <c r="G97" s="2"/>
    </row>
  </sheetData>
  <sortState ref="A8:G29">
    <sortCondition descending="1" ref="D8:D29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2"/>
  <sheetViews>
    <sheetView workbookViewId="0">
      <selection activeCell="E8" sqref="E8"/>
    </sheetView>
  </sheetViews>
  <sheetFormatPr defaultRowHeight="13.2" x14ac:dyDescent="0.25"/>
  <cols>
    <col min="2" max="2" width="24.6640625" customWidth="1"/>
    <col min="3" max="3" width="9.6640625" style="42" customWidth="1"/>
    <col min="4" max="4" width="9.6640625" customWidth="1"/>
    <col min="5" max="5" width="9.6640625" style="42" customWidth="1"/>
    <col min="6" max="7" width="9.6640625" customWidth="1"/>
  </cols>
  <sheetData>
    <row r="1" spans="1:11" x14ac:dyDescent="0.25">
      <c r="A1" s="16" t="s">
        <v>22</v>
      </c>
      <c r="B1" s="17" t="s">
        <v>1223</v>
      </c>
      <c r="C1" s="133"/>
      <c r="D1" s="18"/>
      <c r="E1" s="133"/>
      <c r="F1" s="18"/>
      <c r="G1" s="19"/>
    </row>
    <row r="2" spans="1:11" x14ac:dyDescent="0.25">
      <c r="A2" s="20" t="s">
        <v>23</v>
      </c>
      <c r="B2" s="21">
        <v>43161</v>
      </c>
      <c r="C2" s="56"/>
      <c r="D2" s="22"/>
      <c r="E2" s="56"/>
      <c r="F2" s="22"/>
      <c r="G2" s="23"/>
    </row>
    <row r="3" spans="1:11" x14ac:dyDescent="0.25">
      <c r="A3" s="20" t="s">
        <v>24</v>
      </c>
      <c r="B3" s="24" t="s">
        <v>421</v>
      </c>
      <c r="C3" s="56"/>
      <c r="D3" s="22"/>
      <c r="E3" s="56"/>
      <c r="F3" s="22"/>
      <c r="G3" s="23"/>
    </row>
    <row r="4" spans="1:11" x14ac:dyDescent="0.25">
      <c r="A4" s="20" t="s">
        <v>1</v>
      </c>
      <c r="B4" s="24" t="s">
        <v>26</v>
      </c>
      <c r="C4" s="56"/>
      <c r="D4" s="22"/>
      <c r="E4" s="56"/>
      <c r="F4" s="22"/>
      <c r="G4" s="23"/>
    </row>
    <row r="5" spans="1:11" x14ac:dyDescent="0.25">
      <c r="A5" s="20" t="s">
        <v>27</v>
      </c>
      <c r="B5" s="24" t="s">
        <v>1224</v>
      </c>
      <c r="C5" s="56"/>
      <c r="D5" s="22"/>
      <c r="E5" s="56" t="s">
        <v>55</v>
      </c>
      <c r="F5" s="38">
        <f>AVERAGE(C8:C12)*(AVERAGE(D8:D12)/100)</f>
        <v>2.6262359929829282E-2</v>
      </c>
      <c r="G5" s="23"/>
    </row>
    <row r="6" spans="1:11" x14ac:dyDescent="0.25">
      <c r="A6" s="25" t="s">
        <v>29</v>
      </c>
      <c r="B6" s="26"/>
      <c r="C6" s="134"/>
      <c r="D6" s="26"/>
      <c r="E6" s="134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11" x14ac:dyDescent="0.25">
      <c r="A8" s="2">
        <v>1</v>
      </c>
      <c r="B8" s="3" t="s">
        <v>765</v>
      </c>
      <c r="C8" s="51">
        <v>3.0115740740740738E-2</v>
      </c>
      <c r="D8" s="29">
        <f>INDEX('Points Summary'!$F$4:$F$1143,G8)</f>
        <v>89.06928922635062</v>
      </c>
      <c r="E8" s="124">
        <f t="shared" ref="E8:E39" si="0">(AVERAGE($D$8:$D$12)/100*AVERAGE($C$8:$C$12))/C8</f>
        <v>0.87204761642476947</v>
      </c>
      <c r="F8" s="3"/>
      <c r="G8" s="2">
        <f>MATCH(B8,'Points Summary'!$B$4:$B$1144,0)</f>
        <v>97</v>
      </c>
      <c r="I8" s="28"/>
      <c r="J8" s="28"/>
      <c r="K8" s="28"/>
    </row>
    <row r="9" spans="1:11" x14ac:dyDescent="0.25">
      <c r="A9" s="53">
        <v>1</v>
      </c>
      <c r="B9" s="3" t="s">
        <v>9</v>
      </c>
      <c r="C9" s="51">
        <v>3.1319444444444448E-2</v>
      </c>
      <c r="D9" s="29">
        <f>INDEX('Points Summary'!$F$4:$F$1143,G9)</f>
        <v>81.414794603727941</v>
      </c>
      <c r="E9" s="124">
        <f t="shared" si="0"/>
        <v>0.83853211305885056</v>
      </c>
      <c r="F9" s="3"/>
      <c r="G9" s="2">
        <f>MATCH(B9,'Points Summary'!$B$4:$B$1144,0)</f>
        <v>124</v>
      </c>
      <c r="I9" s="28"/>
      <c r="J9" s="28"/>
      <c r="K9" s="28"/>
    </row>
    <row r="10" spans="1:11" x14ac:dyDescent="0.25">
      <c r="A10" s="2">
        <v>4</v>
      </c>
      <c r="B10" s="114" t="s">
        <v>718</v>
      </c>
      <c r="C10" s="51">
        <v>3.3333333333333333E-2</v>
      </c>
      <c r="D10" s="29">
        <f>INDEX('Points Summary'!$F$4:$F$1143,G10)</f>
        <v>81.013290109009503</v>
      </c>
      <c r="E10" s="124">
        <f t="shared" si="0"/>
        <v>0.78787079789487846</v>
      </c>
      <c r="F10" s="3"/>
      <c r="G10" s="2">
        <f>MATCH(B10,'Points Summary'!$B$4:$B$1144,0)</f>
        <v>305</v>
      </c>
      <c r="I10" s="28"/>
      <c r="J10" s="28"/>
      <c r="K10" s="28"/>
    </row>
    <row r="11" spans="1:11" x14ac:dyDescent="0.25">
      <c r="A11" s="2">
        <v>6</v>
      </c>
      <c r="B11" s="3" t="s">
        <v>1128</v>
      </c>
      <c r="C11" s="51">
        <v>3.4768518518518525E-2</v>
      </c>
      <c r="D11" s="29">
        <f>INDEX('Points Summary'!$F$4:$F$1143,G11)</f>
        <v>78.23941171923417</v>
      </c>
      <c r="E11" s="124">
        <f t="shared" si="0"/>
        <v>0.75534883420014964</v>
      </c>
      <c r="F11" s="3"/>
      <c r="G11" s="2">
        <f>MATCH(B11,'Points Summary'!$B$4:$B$1144,0)</f>
        <v>462</v>
      </c>
      <c r="I11" s="28"/>
      <c r="J11" s="28"/>
      <c r="K11" s="28"/>
    </row>
    <row r="12" spans="1:11" x14ac:dyDescent="0.25">
      <c r="A12" s="2">
        <v>3</v>
      </c>
      <c r="B12" s="3" t="s">
        <v>730</v>
      </c>
      <c r="C12" s="51">
        <v>3.2083333333333332E-2</v>
      </c>
      <c r="D12" s="29">
        <f>INDEX('Points Summary'!$F$4:$F$1143,G12)</f>
        <v>76.49851546192447</v>
      </c>
      <c r="E12" s="124">
        <f t="shared" si="0"/>
        <v>0.81856706274792568</v>
      </c>
      <c r="F12" s="3"/>
      <c r="G12" s="2">
        <f>MATCH(B12,'Points Summary'!$B$4:$B$1144,0)</f>
        <v>355</v>
      </c>
    </row>
    <row r="13" spans="1:11" x14ac:dyDescent="0.25">
      <c r="A13" s="2">
        <v>2</v>
      </c>
      <c r="B13" s="114" t="s">
        <v>394</v>
      </c>
      <c r="C13" s="51">
        <v>3.1203703703703702E-2</v>
      </c>
      <c r="D13" s="29">
        <f>INDEX('Points Summary'!$F$4:$F$1143,G13)</f>
        <v>76.465649687424957</v>
      </c>
      <c r="E13" s="124">
        <f t="shared" si="0"/>
        <v>0.84164239537731833</v>
      </c>
      <c r="F13" s="3"/>
      <c r="G13" s="2">
        <f>MATCH(B13,'Points Summary'!$B$4:$B$1144,0)</f>
        <v>106</v>
      </c>
    </row>
    <row r="14" spans="1:11" x14ac:dyDescent="0.25">
      <c r="A14" s="2">
        <v>5</v>
      </c>
      <c r="B14" s="3" t="s">
        <v>729</v>
      </c>
      <c r="C14" s="51">
        <v>3.4224537037037032E-2</v>
      </c>
      <c r="D14" s="29">
        <f>INDEX('Points Summary'!$F$4:$F$1143,G14)</f>
        <v>74.818918747524734</v>
      </c>
      <c r="E14" s="124">
        <f t="shared" si="0"/>
        <v>0.76735471692162671</v>
      </c>
      <c r="F14" s="3"/>
      <c r="G14" s="2">
        <f>MATCH(B14,'Points Summary'!$B$4:$B$1144,0)</f>
        <v>252</v>
      </c>
    </row>
    <row r="15" spans="1:11" x14ac:dyDescent="0.25">
      <c r="A15" s="53">
        <v>2</v>
      </c>
      <c r="B15" s="3" t="s">
        <v>5</v>
      </c>
      <c r="C15" s="51">
        <v>3.1493055555555559E-2</v>
      </c>
      <c r="D15" s="29">
        <f>INDEX('Points Summary'!$F$4:$F$1143,G15)</f>
        <v>73.952833974019228</v>
      </c>
      <c r="E15" s="124">
        <f t="shared" si="0"/>
        <v>0.83390955455246218</v>
      </c>
      <c r="F15" s="3"/>
      <c r="G15" s="2">
        <f>MATCH(B15,'Points Summary'!$B$4:$B$1144,0)</f>
        <v>404</v>
      </c>
    </row>
    <row r="16" spans="1:11" x14ac:dyDescent="0.25">
      <c r="A16" s="53">
        <v>1</v>
      </c>
      <c r="B16" s="3" t="s">
        <v>918</v>
      </c>
      <c r="C16" s="51">
        <v>3.7164351851851851E-2</v>
      </c>
      <c r="D16" s="29">
        <f>INDEX('Points Summary'!$F$4:$F$1143,G16)</f>
        <v>73.838322342535349</v>
      </c>
      <c r="E16" s="124">
        <f t="shared" si="0"/>
        <v>0.70665459294215194</v>
      </c>
      <c r="F16" s="3"/>
      <c r="G16" s="2">
        <f>MATCH(B16,'Points Summary'!$B$4:$B$1144,0)</f>
        <v>212</v>
      </c>
    </row>
    <row r="17" spans="1:7" x14ac:dyDescent="0.25">
      <c r="A17" s="53">
        <v>5</v>
      </c>
      <c r="B17" s="3" t="s">
        <v>694</v>
      </c>
      <c r="C17" s="51">
        <v>3.6087962962962968E-2</v>
      </c>
      <c r="D17" s="29">
        <f>INDEX('Points Summary'!$F$4:$F$1143,G17)</f>
        <v>73.634681818425506</v>
      </c>
      <c r="E17" s="124">
        <f t="shared" si="0"/>
        <v>0.72773184667647517</v>
      </c>
      <c r="F17" s="3"/>
      <c r="G17" s="2">
        <f>MATCH(B17,'Points Summary'!$B$4:$B$1144,0)</f>
        <v>298</v>
      </c>
    </row>
    <row r="18" spans="1:7" x14ac:dyDescent="0.25">
      <c r="A18" s="53">
        <v>9</v>
      </c>
      <c r="B18" s="3" t="s">
        <v>1124</v>
      </c>
      <c r="C18" s="51">
        <v>4.4351851851851858E-2</v>
      </c>
      <c r="D18" s="29">
        <f>INDEX('Points Summary'!$F$4:$F$1143,G18)</f>
        <v>72.397743156607177</v>
      </c>
      <c r="E18" s="124">
        <f t="shared" si="0"/>
        <v>0.59213671658070188</v>
      </c>
      <c r="F18" s="3"/>
      <c r="G18" s="2">
        <f>MATCH(B18,'Points Summary'!$B$4:$B$1144,0)</f>
        <v>22</v>
      </c>
    </row>
    <row r="19" spans="1:7" x14ac:dyDescent="0.25">
      <c r="A19" s="53">
        <v>3</v>
      </c>
      <c r="B19" s="3" t="s">
        <v>250</v>
      </c>
      <c r="C19" s="51">
        <v>3.4895833333333334E-2</v>
      </c>
      <c r="D19" s="29">
        <f>INDEX('Points Summary'!$F$4:$F$1143,G19)</f>
        <v>71.480726370714407</v>
      </c>
      <c r="E19" s="124">
        <f t="shared" si="0"/>
        <v>0.75259300097421222</v>
      </c>
      <c r="F19" s="3"/>
      <c r="G19" s="2">
        <f>MATCH(B19,'Points Summary'!$B$4:$B$1144,0)</f>
        <v>442</v>
      </c>
    </row>
    <row r="20" spans="1:7" x14ac:dyDescent="0.25">
      <c r="A20" s="53">
        <v>4</v>
      </c>
      <c r="B20" s="3" t="s">
        <v>1127</v>
      </c>
      <c r="C20" s="51">
        <v>3.5381944444444445E-2</v>
      </c>
      <c r="D20" s="29">
        <f>INDEX('Points Summary'!$F$4:$F$1143,G20)</f>
        <v>70.8506582328273</v>
      </c>
      <c r="E20" s="124">
        <f t="shared" si="0"/>
        <v>0.74225315601480202</v>
      </c>
      <c r="F20" s="3"/>
      <c r="G20" s="2">
        <f>MATCH(B20,'Points Summary'!$B$4:$B$1144,0)</f>
        <v>254</v>
      </c>
    </row>
    <row r="21" spans="1:7" x14ac:dyDescent="0.25">
      <c r="A21" s="2">
        <v>8</v>
      </c>
      <c r="B21" s="3" t="s">
        <v>1129</v>
      </c>
      <c r="C21" s="51">
        <v>3.9004629629629632E-2</v>
      </c>
      <c r="D21" s="29">
        <f>INDEX('Points Summary'!$F$4:$F$1143,G21)</f>
        <v>69.462945408894683</v>
      </c>
      <c r="E21" s="124">
        <f t="shared" si="0"/>
        <v>0.67331391630185455</v>
      </c>
      <c r="F21" s="3"/>
      <c r="G21" s="2">
        <f>MATCH(B21,'Points Summary'!$B$4:$B$1144,0)</f>
        <v>246</v>
      </c>
    </row>
    <row r="22" spans="1:7" x14ac:dyDescent="0.25">
      <c r="A22" s="53">
        <v>7</v>
      </c>
      <c r="B22" s="3" t="s">
        <v>150</v>
      </c>
      <c r="C22" s="51">
        <v>3.9560185185185184E-2</v>
      </c>
      <c r="D22" s="29">
        <f>INDEX('Points Summary'!$F$4:$F$1143,G22)</f>
        <v>68.67926480485005</v>
      </c>
      <c r="E22" s="124">
        <f t="shared" si="0"/>
        <v>0.66385836686285837</v>
      </c>
      <c r="F22" s="3"/>
      <c r="G22" s="2">
        <f>MATCH(B22,'Points Summary'!$B$4:$B$1144,0)</f>
        <v>323</v>
      </c>
    </row>
    <row r="23" spans="1:7" x14ac:dyDescent="0.25">
      <c r="A23" s="2">
        <v>7</v>
      </c>
      <c r="B23" s="3" t="s">
        <v>806</v>
      </c>
      <c r="C23" s="51">
        <v>3.6793981481481483E-2</v>
      </c>
      <c r="D23" s="29">
        <f>INDEX('Points Summary'!$F$4:$F$1143,G23)</f>
        <v>67.297156904055669</v>
      </c>
      <c r="E23" s="124">
        <f t="shared" si="0"/>
        <v>0.71376781942033651</v>
      </c>
      <c r="F23" s="3"/>
      <c r="G23" s="2">
        <f>MATCH(B23,'Points Summary'!$B$4:$B$1144,0)</f>
        <v>107</v>
      </c>
    </row>
    <row r="24" spans="1:7" x14ac:dyDescent="0.25">
      <c r="A24" s="53">
        <v>6</v>
      </c>
      <c r="B24" s="3" t="s">
        <v>116</v>
      </c>
      <c r="C24" s="51">
        <v>3.7523148148148146E-2</v>
      </c>
      <c r="D24" s="29">
        <f>INDEX('Points Summary'!$F$4:$F$1143,G24)</f>
        <v>65.870234715866289</v>
      </c>
      <c r="E24" s="124">
        <f t="shared" si="0"/>
        <v>0.69989756259631408</v>
      </c>
      <c r="F24" s="3"/>
      <c r="G24" s="2">
        <f>MATCH(B24,'Points Summary'!$B$4:$B$1144,0)</f>
        <v>155</v>
      </c>
    </row>
    <row r="25" spans="1:7" x14ac:dyDescent="0.25">
      <c r="A25" s="53">
        <v>6</v>
      </c>
      <c r="B25" s="3" t="s">
        <v>922</v>
      </c>
      <c r="C25" s="51">
        <v>4.4972222222222219E-2</v>
      </c>
      <c r="D25" s="29">
        <f>INDEX('Points Summary'!$F$4:$F$1143,G25)</f>
        <v>62.778085096258472</v>
      </c>
      <c r="E25" s="124">
        <f t="shared" si="0"/>
        <v>0.58396847280658071</v>
      </c>
      <c r="F25" s="3"/>
      <c r="G25" s="2">
        <f>MATCH(B25,'Points Summary'!$B$4:$B$1144,0)</f>
        <v>372</v>
      </c>
    </row>
    <row r="26" spans="1:7" x14ac:dyDescent="0.25">
      <c r="A26" s="2">
        <v>12</v>
      </c>
      <c r="B26" s="3" t="s">
        <v>493</v>
      </c>
      <c r="C26" s="51">
        <v>4.3599537037037034E-2</v>
      </c>
      <c r="D26" s="29">
        <f>INDEX('Points Summary'!$F$4:$F$1143,G26)</f>
        <v>61.975109289140804</v>
      </c>
      <c r="E26" s="124">
        <f t="shared" si="0"/>
        <v>0.60235410085937091</v>
      </c>
      <c r="F26" s="3"/>
      <c r="G26" s="2">
        <f>MATCH(B26,'Points Summary'!$B$4:$B$1144,0)</f>
        <v>81</v>
      </c>
    </row>
    <row r="27" spans="1:7" x14ac:dyDescent="0.25">
      <c r="A27" s="53">
        <v>8</v>
      </c>
      <c r="B27" s="3" t="s">
        <v>98</v>
      </c>
      <c r="C27" s="51">
        <v>4.0497685185185185E-2</v>
      </c>
      <c r="D27" s="29">
        <f>INDEX('Points Summary'!$F$4:$F$1143,G27)</f>
        <v>61.16734161191328</v>
      </c>
      <c r="E27" s="124">
        <f t="shared" si="0"/>
        <v>0.64849039666683339</v>
      </c>
      <c r="F27" s="3"/>
      <c r="G27" s="2">
        <f>MATCH(B27,'Points Summary'!$B$4:$B$1144,0)</f>
        <v>38</v>
      </c>
    </row>
    <row r="28" spans="1:7" x14ac:dyDescent="0.25">
      <c r="A28" s="53">
        <v>10</v>
      </c>
      <c r="B28" s="3" t="s">
        <v>720</v>
      </c>
      <c r="C28" s="51">
        <v>4.5000000000000005E-2</v>
      </c>
      <c r="D28" s="29">
        <f>INDEX('Points Summary'!$F$4:$F$1143,G28)</f>
        <v>61.010855957768854</v>
      </c>
      <c r="E28" s="124">
        <f t="shared" si="0"/>
        <v>0.58360799844065059</v>
      </c>
      <c r="F28" s="3"/>
      <c r="G28" s="2">
        <f>MATCH(B28,'Points Summary'!$B$4:$B$1144,0)</f>
        <v>242</v>
      </c>
    </row>
    <row r="29" spans="1:7" x14ac:dyDescent="0.25">
      <c r="A29" s="2">
        <v>11</v>
      </c>
      <c r="B29" s="3" t="s">
        <v>913</v>
      </c>
      <c r="C29" s="51">
        <v>4.2534722222222217E-2</v>
      </c>
      <c r="D29" s="29">
        <f>INDEX('Points Summary'!$F$4:$F$1143,G29)</f>
        <v>59.906850173155213</v>
      </c>
      <c r="E29" s="124">
        <f t="shared" si="0"/>
        <v>0.61743344161557834</v>
      </c>
      <c r="F29" s="3"/>
      <c r="G29" s="2">
        <f>MATCH(B29,'Points Summary'!$B$4:$B$1144,0)</f>
        <v>113</v>
      </c>
    </row>
    <row r="30" spans="1:7" x14ac:dyDescent="0.25">
      <c r="A30" s="2">
        <v>16</v>
      </c>
      <c r="B30" s="3" t="s">
        <v>886</v>
      </c>
      <c r="C30" s="51">
        <v>4.4918981481481483E-2</v>
      </c>
      <c r="D30" s="29">
        <f>INDEX('Points Summary'!$F$4:$F$1143,G30)</f>
        <v>59.774999352344693</v>
      </c>
      <c r="E30" s="124">
        <f t="shared" si="0"/>
        <v>0.58466062817244269</v>
      </c>
      <c r="F30" s="3"/>
      <c r="G30" s="2">
        <f>MATCH(B30,'Points Summary'!$B$4:$B$1144,0)</f>
        <v>326</v>
      </c>
    </row>
    <row r="31" spans="1:7" x14ac:dyDescent="0.25">
      <c r="A31" s="53">
        <v>3</v>
      </c>
      <c r="B31" s="3" t="s">
        <v>1144</v>
      </c>
      <c r="C31" s="51">
        <v>3.9421296296296295E-2</v>
      </c>
      <c r="D31" s="29">
        <f>INDEX('Points Summary'!$F$4:$F$1143,G31)</f>
        <v>59.548809582616713</v>
      </c>
      <c r="E31" s="124">
        <f t="shared" si="0"/>
        <v>0.66619726891874631</v>
      </c>
      <c r="F31" s="3"/>
      <c r="G31" s="2">
        <f>MATCH(B31,'Points Summary'!$B$4:$B$1144,0)</f>
        <v>145</v>
      </c>
    </row>
    <row r="32" spans="1:7" x14ac:dyDescent="0.25">
      <c r="A32" s="2">
        <v>10</v>
      </c>
      <c r="B32" s="3" t="s">
        <v>1130</v>
      </c>
      <c r="C32" s="51">
        <v>4.1793981481481481E-2</v>
      </c>
      <c r="D32" s="29">
        <f>INDEX('Points Summary'!$F$4:$F$1143,G32)</f>
        <v>59.464436660691</v>
      </c>
      <c r="E32" s="124">
        <f t="shared" si="0"/>
        <v>0.62837659870873719</v>
      </c>
      <c r="F32" s="3"/>
      <c r="G32" s="2">
        <f>MATCH(B32,'Points Summary'!$B$4:$B$1144,0)</f>
        <v>306</v>
      </c>
    </row>
    <row r="33" spans="1:7" x14ac:dyDescent="0.25">
      <c r="A33" s="2">
        <v>9</v>
      </c>
      <c r="B33" s="3" t="s">
        <v>1296</v>
      </c>
      <c r="C33" s="51">
        <v>4.1377314814814818E-2</v>
      </c>
      <c r="D33" s="29">
        <f>INDEX('Points Summary'!$F$4:$F$1143,G33)</f>
        <v>58.88165568946232</v>
      </c>
      <c r="E33" s="124">
        <f t="shared" si="0"/>
        <v>0.63470430711531467</v>
      </c>
      <c r="F33" s="3"/>
      <c r="G33" s="2">
        <f>MATCH(B33,'Points Summary'!$B$4:$B$1144,0)</f>
        <v>266</v>
      </c>
    </row>
    <row r="34" spans="1:7" x14ac:dyDescent="0.25">
      <c r="A34" s="2">
        <v>13</v>
      </c>
      <c r="B34" s="3" t="s">
        <v>889</v>
      </c>
      <c r="C34" s="51">
        <v>4.3900462962962961E-2</v>
      </c>
      <c r="D34" s="29">
        <f>INDEX('Points Summary'!$F$4:$F$1143,G34)</f>
        <v>58.723388520488008</v>
      </c>
      <c r="E34" s="124">
        <f t="shared" si="0"/>
        <v>0.5982251246868574</v>
      </c>
      <c r="F34" s="3"/>
      <c r="G34" s="2">
        <f>MATCH(B34,'Points Summary'!$B$4:$B$1144,0)</f>
        <v>281</v>
      </c>
    </row>
    <row r="35" spans="1:7" x14ac:dyDescent="0.25">
      <c r="A35" s="53">
        <v>15</v>
      </c>
      <c r="B35" s="3" t="s">
        <v>1122</v>
      </c>
      <c r="C35" s="51">
        <v>4.7418981481481486E-2</v>
      </c>
      <c r="D35" s="29">
        <f>INDEX('Points Summary'!$F$4:$F$1143,G35)</f>
        <v>58.362117442456707</v>
      </c>
      <c r="E35" s="124">
        <f t="shared" si="0"/>
        <v>0.55383644079503291</v>
      </c>
      <c r="F35" s="3"/>
      <c r="G35" s="2">
        <f>MATCH(B35,'Points Summary'!$B$4:$B$1144,0)</f>
        <v>381</v>
      </c>
    </row>
    <row r="36" spans="1:7" x14ac:dyDescent="0.25">
      <c r="A36" s="53">
        <v>23</v>
      </c>
      <c r="B36" s="3" t="s">
        <v>1146</v>
      </c>
      <c r="C36" s="51">
        <v>4.9085648148148149E-2</v>
      </c>
      <c r="D36" s="29">
        <f>INDEX('Points Summary'!$F$4:$F$1143,G36)</f>
        <v>57.852607909142236</v>
      </c>
      <c r="E36" s="124">
        <f t="shared" si="0"/>
        <v>0.53503133646244982</v>
      </c>
      <c r="F36" s="3"/>
      <c r="G36" s="2">
        <f>MATCH(B36,'Points Summary'!$B$4:$B$1144,0)</f>
        <v>24</v>
      </c>
    </row>
    <row r="37" spans="1:7" x14ac:dyDescent="0.25">
      <c r="A37" s="2">
        <v>15</v>
      </c>
      <c r="B37" s="3" t="s">
        <v>1132</v>
      </c>
      <c r="C37" s="51">
        <v>4.4641203703703704E-2</v>
      </c>
      <c r="D37" s="29">
        <f>INDEX('Points Summary'!$F$4:$F$1143,G37)</f>
        <v>56.689987157321418</v>
      </c>
      <c r="E37" s="124">
        <f t="shared" si="0"/>
        <v>0.58829865126711178</v>
      </c>
      <c r="F37" s="3"/>
      <c r="G37" s="2">
        <f>MATCH(B37,'Points Summary'!$B$4:$B$1144,0)</f>
        <v>327</v>
      </c>
    </row>
    <row r="38" spans="1:7" x14ac:dyDescent="0.25">
      <c r="A38" s="2">
        <v>18</v>
      </c>
      <c r="B38" s="3" t="s">
        <v>721</v>
      </c>
      <c r="C38" s="51">
        <v>4.6712962962962963E-2</v>
      </c>
      <c r="D38" s="29">
        <f>INDEX('Points Summary'!$F$4:$F$1143,G38)</f>
        <v>56.531401063788202</v>
      </c>
      <c r="E38" s="124">
        <f t="shared" si="0"/>
        <v>0.56220711048990335</v>
      </c>
      <c r="F38" s="3"/>
      <c r="G38" s="2">
        <f>MATCH(B38,'Points Summary'!$B$4:$B$1144,0)</f>
        <v>352</v>
      </c>
    </row>
    <row r="39" spans="1:7" x14ac:dyDescent="0.25">
      <c r="A39" s="53">
        <v>11</v>
      </c>
      <c r="B39" s="3" t="s">
        <v>757</v>
      </c>
      <c r="C39" s="51">
        <v>4.5243055555555557E-2</v>
      </c>
      <c r="D39" s="29">
        <f>INDEX('Points Summary'!$F$4:$F$1143,G39)</f>
        <v>56.070637340025378</v>
      </c>
      <c r="E39" s="124">
        <f t="shared" si="0"/>
        <v>0.58047272907067027</v>
      </c>
      <c r="F39" s="3"/>
      <c r="G39" s="2">
        <f>MATCH(B39,'Points Summary'!$B$4:$B$1144,0)</f>
        <v>240</v>
      </c>
    </row>
    <row r="40" spans="1:7" x14ac:dyDescent="0.25">
      <c r="A40" s="53">
        <v>12</v>
      </c>
      <c r="B40" s="3" t="s">
        <v>710</v>
      </c>
      <c r="C40" s="51">
        <v>4.5902777777777772E-2</v>
      </c>
      <c r="D40" s="29">
        <f>INDEX('Points Summary'!$F$4:$F$1143,G40)</f>
        <v>55.86857146731198</v>
      </c>
      <c r="E40" s="124">
        <f t="shared" ref="E40:E71" si="1">(AVERAGE($D$8:$D$12)/100*AVERAGE($C$8:$C$12))/C40</f>
        <v>0.5721300801657212</v>
      </c>
      <c r="F40" s="3"/>
      <c r="G40" s="2">
        <f>MATCH(B40,'Points Summary'!$B$4:$B$1144,0)</f>
        <v>351</v>
      </c>
    </row>
    <row r="41" spans="1:7" x14ac:dyDescent="0.25">
      <c r="A41" s="2">
        <v>14</v>
      </c>
      <c r="B41" s="3" t="s">
        <v>118</v>
      </c>
      <c r="C41" s="51">
        <v>4.4212962962962961E-2</v>
      </c>
      <c r="D41" s="29">
        <f>INDEX('Points Summary'!$F$4:$F$1143,G41)</f>
        <v>55.750882109682479</v>
      </c>
      <c r="E41" s="124">
        <f t="shared" si="1"/>
        <v>0.59399683192074604</v>
      </c>
      <c r="F41" s="3"/>
      <c r="G41" s="2">
        <f>MATCH(B41,'Points Summary'!$B$4:$B$1144,0)</f>
        <v>37</v>
      </c>
    </row>
    <row r="42" spans="1:7" x14ac:dyDescent="0.25">
      <c r="A42" s="53">
        <v>5</v>
      </c>
      <c r="B42" s="3" t="s">
        <v>1299</v>
      </c>
      <c r="C42" s="51">
        <v>4.4945601851851848E-2</v>
      </c>
      <c r="D42" s="29">
        <f>INDEX('Points Summary'!$F$4:$F$1143,G42)</f>
        <v>55.488084335700002</v>
      </c>
      <c r="E42" s="124">
        <f t="shared" si="1"/>
        <v>0.58431434551470407</v>
      </c>
      <c r="F42" s="3"/>
      <c r="G42" s="2">
        <f>MATCH(B42,'Points Summary'!$B$4:$B$1144,0)</f>
        <v>216</v>
      </c>
    </row>
    <row r="43" spans="1:7" x14ac:dyDescent="0.25">
      <c r="A43" s="53">
        <v>24</v>
      </c>
      <c r="B43" s="3" t="s">
        <v>449</v>
      </c>
      <c r="C43" s="51">
        <v>4.943287037037037E-2</v>
      </c>
      <c r="D43" s="29">
        <f>INDEX('Points Summary'!$F$4:$F$1143,G43)</f>
        <v>55.404980572977784</v>
      </c>
      <c r="E43" s="124">
        <f t="shared" si="1"/>
        <v>0.53127321422084994</v>
      </c>
      <c r="F43" s="3"/>
      <c r="G43" s="2">
        <f>MATCH(B43,'Points Summary'!$B$4:$B$1144,0)</f>
        <v>21</v>
      </c>
    </row>
    <row r="44" spans="1:7" x14ac:dyDescent="0.25">
      <c r="A44" s="53">
        <v>13</v>
      </c>
      <c r="B44" s="3" t="s">
        <v>797</v>
      </c>
      <c r="C44" s="51">
        <v>4.6712962962962963E-2</v>
      </c>
      <c r="D44" s="29">
        <f>INDEX('Points Summary'!$F$4:$F$1143,G44)</f>
        <v>53.946105899327328</v>
      </c>
      <c r="E44" s="124">
        <f t="shared" si="1"/>
        <v>0.56220711048990335</v>
      </c>
      <c r="F44" s="3"/>
      <c r="G44" s="2">
        <f>MATCH(B44,'Points Summary'!$B$4:$B$1144,0)</f>
        <v>181</v>
      </c>
    </row>
    <row r="45" spans="1:7" x14ac:dyDescent="0.25">
      <c r="A45" s="53">
        <v>22</v>
      </c>
      <c r="B45" s="3" t="s">
        <v>401</v>
      </c>
      <c r="C45" s="51">
        <v>4.9085648148148149E-2</v>
      </c>
      <c r="D45" s="29">
        <f>INDEX('Points Summary'!$F$4:$F$1143,G45)</f>
        <v>53.902504097851107</v>
      </c>
      <c r="E45" s="124">
        <f t="shared" si="1"/>
        <v>0.53503133646244982</v>
      </c>
      <c r="F45" s="3"/>
      <c r="G45" s="2">
        <f>MATCH(B45,'Points Summary'!$B$4:$B$1144,0)</f>
        <v>457</v>
      </c>
    </row>
    <row r="46" spans="1:7" x14ac:dyDescent="0.25">
      <c r="A46" s="53">
        <v>32</v>
      </c>
      <c r="B46" s="3" t="s">
        <v>1157</v>
      </c>
      <c r="C46" s="51">
        <v>7.2627314814814811E-2</v>
      </c>
      <c r="D46" s="29">
        <f>INDEX('Points Summary'!$F$4:$F$1143,G46)</f>
        <v>53.204849909808686</v>
      </c>
      <c r="E46" s="124">
        <f t="shared" si="1"/>
        <v>0.36160444588641438</v>
      </c>
      <c r="F46" s="3"/>
      <c r="G46" s="2">
        <f>MATCH(B46,'Points Summary'!$B$4:$B$1144,0)</f>
        <v>412</v>
      </c>
    </row>
    <row r="47" spans="1:7" x14ac:dyDescent="0.25">
      <c r="A47" s="53">
        <v>20</v>
      </c>
      <c r="B47" s="3" t="s">
        <v>1134</v>
      </c>
      <c r="C47" s="51">
        <v>4.8182870370370369E-2</v>
      </c>
      <c r="D47" s="29">
        <f>INDEX('Points Summary'!$F$4:$F$1143,G47)</f>
        <v>53.03402415872749</v>
      </c>
      <c r="E47" s="124">
        <f t="shared" si="1"/>
        <v>0.54505594473630792</v>
      </c>
      <c r="F47" s="3"/>
      <c r="G47" s="2">
        <f>MATCH(B47,'Points Summary'!$B$4:$B$1144,0)</f>
        <v>231</v>
      </c>
    </row>
    <row r="48" spans="1:7" x14ac:dyDescent="0.25">
      <c r="A48" s="53">
        <v>14</v>
      </c>
      <c r="B48" s="3" t="s">
        <v>917</v>
      </c>
      <c r="C48" s="51">
        <v>4.6840277777777779E-2</v>
      </c>
      <c r="D48" s="29">
        <f>INDEX('Points Summary'!$F$4:$F$1143,G48)</f>
        <v>52.845765543978409</v>
      </c>
      <c r="E48" s="124">
        <f t="shared" si="1"/>
        <v>0.56067899627804541</v>
      </c>
      <c r="F48" s="3"/>
      <c r="G48" s="2">
        <f>MATCH(B48,'Points Summary'!$B$4:$B$1144,0)</f>
        <v>165</v>
      </c>
    </row>
    <row r="49" spans="1:7" x14ac:dyDescent="0.25">
      <c r="A49" s="53">
        <v>20</v>
      </c>
      <c r="B49" s="3" t="s">
        <v>532</v>
      </c>
      <c r="C49" s="51">
        <v>5.1030092592592592E-2</v>
      </c>
      <c r="D49" s="29">
        <f>INDEX('Points Summary'!$F$4:$F$1143,G49)</f>
        <v>52.635124150761698</v>
      </c>
      <c r="E49" s="124">
        <f t="shared" si="1"/>
        <v>0.51464456746138576</v>
      </c>
      <c r="F49" s="3"/>
      <c r="G49" s="2">
        <f>MATCH(B49,'Points Summary'!$B$4:$B$1144,0)</f>
        <v>348</v>
      </c>
    </row>
    <row r="50" spans="1:7" x14ac:dyDescent="0.25">
      <c r="A50" s="53">
        <v>16</v>
      </c>
      <c r="B50" s="3" t="s">
        <v>724</v>
      </c>
      <c r="C50" s="51">
        <v>4.8414351851851854E-2</v>
      </c>
      <c r="D50" s="29">
        <f>INDEX('Points Summary'!$F$4:$F$1143,G50)</f>
        <v>52.088337517195143</v>
      </c>
      <c r="E50" s="124">
        <f t="shared" si="1"/>
        <v>0.54244989192857995</v>
      </c>
      <c r="F50" s="3"/>
      <c r="G50" s="2">
        <f>MATCH(B50,'Points Summary'!$B$4:$B$1144,0)</f>
        <v>302</v>
      </c>
    </row>
    <row r="51" spans="1:7" x14ac:dyDescent="0.25">
      <c r="A51" s="53">
        <v>26</v>
      </c>
      <c r="B51" s="3" t="s">
        <v>727</v>
      </c>
      <c r="C51" s="51">
        <v>5.3043981481481484E-2</v>
      </c>
      <c r="D51" s="29">
        <f>INDEX('Points Summary'!$F$4:$F$1143,G51)</f>
        <v>50.254433655003247</v>
      </c>
      <c r="E51" s="124">
        <f t="shared" si="1"/>
        <v>0.49510536721301546</v>
      </c>
      <c r="F51" s="3"/>
      <c r="G51" s="2">
        <f>MATCH(B51,'Points Summary'!$B$4:$B$1144,0)</f>
        <v>197</v>
      </c>
    </row>
    <row r="52" spans="1:7" x14ac:dyDescent="0.25">
      <c r="A52" s="53">
        <v>19</v>
      </c>
      <c r="B52" s="3" t="s">
        <v>507</v>
      </c>
      <c r="C52" s="51">
        <v>4.7685185185185185E-2</v>
      </c>
      <c r="D52" s="29">
        <f>INDEX('Points Summary'!$F$4:$F$1143,G52)</f>
        <v>50.128881320376735</v>
      </c>
      <c r="E52" s="124">
        <f t="shared" si="1"/>
        <v>0.55074463542166263</v>
      </c>
      <c r="F52" s="3"/>
      <c r="G52" s="2">
        <f>MATCH(B52,'Points Summary'!$B$4:$B$1144,0)</f>
        <v>288</v>
      </c>
    </row>
    <row r="53" spans="1:7" x14ac:dyDescent="0.25">
      <c r="A53" s="53">
        <v>2</v>
      </c>
      <c r="B53" s="3" t="s">
        <v>1067</v>
      </c>
      <c r="C53" s="51">
        <v>3.8703703703703705E-2</v>
      </c>
      <c r="D53" s="29">
        <f>INDEX('Points Summary'!$F$4:$F$1143,G53)</f>
        <v>49.403054375011301</v>
      </c>
      <c r="E53" s="124">
        <f t="shared" si="1"/>
        <v>0.67854901254104361</v>
      </c>
      <c r="F53" s="3"/>
      <c r="G53" s="2">
        <f>MATCH(B53,'Points Summary'!$B$4:$B$1144,0)</f>
        <v>419</v>
      </c>
    </row>
    <row r="54" spans="1:7" x14ac:dyDescent="0.25">
      <c r="A54" s="53">
        <v>10</v>
      </c>
      <c r="B54" s="3" t="s">
        <v>1149</v>
      </c>
      <c r="C54" s="51">
        <v>5.1811342592592589E-2</v>
      </c>
      <c r="D54" s="29">
        <f>INDEX('Points Summary'!$F$4:$F$1143,G54)</f>
        <v>48.449587624618452</v>
      </c>
      <c r="E54" s="124">
        <f t="shared" si="1"/>
        <v>0.50688437349206972</v>
      </c>
      <c r="F54" s="3"/>
      <c r="G54" s="2">
        <f>MATCH(B54,'Points Summary'!$B$4:$B$1144,0)</f>
        <v>116</v>
      </c>
    </row>
    <row r="55" spans="1:7" x14ac:dyDescent="0.25">
      <c r="A55" s="53">
        <v>7</v>
      </c>
      <c r="B55" s="3" t="s">
        <v>1150</v>
      </c>
      <c r="C55" s="51">
        <v>4.8018518518518516E-2</v>
      </c>
      <c r="D55" s="29">
        <f>INDEX('Points Summary'!$F$4:$F$1143,G55)</f>
        <v>47.85477580473799</v>
      </c>
      <c r="E55" s="124">
        <f t="shared" si="1"/>
        <v>0.54692149487496389</v>
      </c>
      <c r="F55" s="3"/>
      <c r="G55" s="2">
        <f>MATCH(B55,'Points Summary'!$B$4:$B$1144,0)</f>
        <v>341</v>
      </c>
    </row>
    <row r="56" spans="1:7" x14ac:dyDescent="0.25">
      <c r="A56" s="2">
        <v>17</v>
      </c>
      <c r="B56" s="3" t="s">
        <v>700</v>
      </c>
      <c r="C56" s="51">
        <v>4.5717592592592594E-2</v>
      </c>
      <c r="D56" s="29">
        <f>INDEX('Points Summary'!$F$4:$F$1143,G56)</f>
        <v>47.751602901196883</v>
      </c>
      <c r="E56" s="124">
        <f t="shared" si="1"/>
        <v>0.57444756909803796</v>
      </c>
      <c r="F56" s="3"/>
      <c r="G56" s="2">
        <f>MATCH(B56,'Points Summary'!$B$4:$B$1144,0)</f>
        <v>25</v>
      </c>
    </row>
    <row r="57" spans="1:7" x14ac:dyDescent="0.25">
      <c r="A57" s="53">
        <v>19</v>
      </c>
      <c r="B57" s="3" t="s">
        <v>129</v>
      </c>
      <c r="C57" s="51">
        <v>5.0798611111111114E-2</v>
      </c>
      <c r="D57" s="29">
        <f>INDEX('Points Summary'!$F$4:$F$1143,G57)</f>
        <v>47.714365226853097</v>
      </c>
      <c r="E57" s="124">
        <f t="shared" si="1"/>
        <v>0.51698972384079511</v>
      </c>
      <c r="F57" s="3"/>
      <c r="G57" s="2">
        <f>MATCH(B57,'Points Summary'!$B$4:$B$1144,0)</f>
        <v>243</v>
      </c>
    </row>
    <row r="58" spans="1:7" x14ac:dyDescent="0.25">
      <c r="A58" s="53">
        <v>35</v>
      </c>
      <c r="B58" s="3" t="s">
        <v>925</v>
      </c>
      <c r="C58" s="51">
        <v>8.2395833333333335E-2</v>
      </c>
      <c r="D58" s="29">
        <f>INDEX('Points Summary'!$F$4:$F$1143,G58)</f>
        <v>47.707549249949977</v>
      </c>
      <c r="E58" s="124">
        <f t="shared" si="1"/>
        <v>0.31873407753016575</v>
      </c>
      <c r="F58" s="3"/>
      <c r="G58" s="2">
        <f>MATCH(B58,'Points Summary'!$B$4:$B$1144,0)</f>
        <v>301</v>
      </c>
    </row>
    <row r="59" spans="1:7" x14ac:dyDescent="0.25">
      <c r="A59" s="53">
        <v>28</v>
      </c>
      <c r="B59" s="3" t="s">
        <v>452</v>
      </c>
      <c r="C59" s="51">
        <v>5.5578703703703707E-2</v>
      </c>
      <c r="D59" s="29">
        <f>INDEX('Points Summary'!$F$4:$F$1143,G59)</f>
        <v>47.64486299656258</v>
      </c>
      <c r="E59" s="124">
        <f t="shared" si="1"/>
        <v>0.47252559307314657</v>
      </c>
      <c r="F59" s="3"/>
      <c r="G59" s="2">
        <f>MATCH(B59,'Points Summary'!$B$4:$B$1144,0)</f>
        <v>225</v>
      </c>
    </row>
    <row r="60" spans="1:7" x14ac:dyDescent="0.25">
      <c r="A60" s="53">
        <v>27</v>
      </c>
      <c r="B60" s="3" t="s">
        <v>1294</v>
      </c>
      <c r="C60" s="51">
        <v>5.4675925925925926E-2</v>
      </c>
      <c r="D60" s="29">
        <f>INDEX('Points Summary'!$F$4:$F$1143,G60)</f>
        <v>47.342994841832436</v>
      </c>
      <c r="E60" s="124">
        <f t="shared" si="1"/>
        <v>0.48032766679450678</v>
      </c>
      <c r="F60" s="3"/>
      <c r="G60" s="2">
        <f>MATCH(B60,'Points Summary'!$B$4:$B$1144,0)</f>
        <v>284</v>
      </c>
    </row>
    <row r="61" spans="1:7" x14ac:dyDescent="0.25">
      <c r="A61" s="53">
        <v>17</v>
      </c>
      <c r="B61" s="3" t="s">
        <v>1142</v>
      </c>
      <c r="C61" s="51">
        <v>4.9814814814814812E-2</v>
      </c>
      <c r="D61" s="29">
        <f>INDEX('Points Summary'!$F$4:$F$1143,G61)</f>
        <v>47.342049369280687</v>
      </c>
      <c r="E61" s="124">
        <f t="shared" si="1"/>
        <v>0.52719979041292986</v>
      </c>
      <c r="F61" s="3"/>
      <c r="G61" s="2">
        <f>MATCH(B61,'Points Summary'!$B$4:$B$1144,0)</f>
        <v>1</v>
      </c>
    </row>
    <row r="62" spans="1:7" x14ac:dyDescent="0.25">
      <c r="A62" s="53">
        <v>21</v>
      </c>
      <c r="B62" s="3" t="s">
        <v>132</v>
      </c>
      <c r="C62" s="51">
        <v>5.1990740740740747E-2</v>
      </c>
      <c r="D62" s="29">
        <f>INDEX('Points Summary'!$F$4:$F$1143,G62)</f>
        <v>46.5521889772631</v>
      </c>
      <c r="E62" s="124">
        <f t="shared" si="1"/>
        <v>0.50513532901541625</v>
      </c>
      <c r="F62" s="3"/>
      <c r="G62" s="2">
        <f>MATCH(B62,'Points Summary'!$B$4:$B$1144,0)</f>
        <v>398</v>
      </c>
    </row>
    <row r="63" spans="1:7" x14ac:dyDescent="0.25">
      <c r="A63" s="53">
        <v>12</v>
      </c>
      <c r="B63" s="3" t="s">
        <v>1152</v>
      </c>
      <c r="C63" s="51">
        <v>5.8825231481481478E-2</v>
      </c>
      <c r="D63" s="29">
        <f>INDEX('Points Summary'!$F$4:$F$1143,G63)</f>
        <v>45.608101996078105</v>
      </c>
      <c r="E63" s="124">
        <f t="shared" si="1"/>
        <v>0.44644720077466798</v>
      </c>
      <c r="F63" s="3"/>
      <c r="G63" s="2">
        <f>MATCH(B63,'Points Summary'!$B$4:$B$1144,0)</f>
        <v>387</v>
      </c>
    </row>
    <row r="64" spans="1:7" x14ac:dyDescent="0.25">
      <c r="A64" s="53">
        <v>25</v>
      </c>
      <c r="B64" s="3" t="s">
        <v>1137</v>
      </c>
      <c r="C64" s="51">
        <v>5.1053240740740746E-2</v>
      </c>
      <c r="D64" s="29">
        <f>INDEX('Points Summary'!$F$4:$F$1143,G64)</f>
        <v>45.071504375300378</v>
      </c>
      <c r="E64" s="124">
        <f t="shared" si="1"/>
        <v>0.5144112214774994</v>
      </c>
      <c r="F64" s="3"/>
      <c r="G64" s="2">
        <f>MATCH(B64,'Points Summary'!$B$4:$B$1144,0)</f>
        <v>112</v>
      </c>
    </row>
    <row r="65" spans="1:7" x14ac:dyDescent="0.25">
      <c r="A65" s="53">
        <v>4</v>
      </c>
      <c r="B65" s="3" t="s">
        <v>929</v>
      </c>
      <c r="C65" s="51">
        <v>4.3622685185185188E-2</v>
      </c>
      <c r="D65" s="29">
        <f>INDEX('Points Summary'!$F$4:$F$1143,G65)</f>
        <v>44.45267019273949</v>
      </c>
      <c r="E65" s="124">
        <f t="shared" si="1"/>
        <v>0.60203446482813738</v>
      </c>
      <c r="F65" s="3"/>
      <c r="G65" s="2">
        <f>MATCH(B65,'Points Summary'!$B$4:$B$1144,0)</f>
        <v>108</v>
      </c>
    </row>
    <row r="66" spans="1:7" x14ac:dyDescent="0.25">
      <c r="A66" s="53">
        <v>21</v>
      </c>
      <c r="B66" s="3" t="s">
        <v>903</v>
      </c>
      <c r="C66" s="51">
        <v>4.8321759259259266E-2</v>
      </c>
      <c r="D66" s="29">
        <f>INDEX('Points Summary'!$F$4:$F$1143,G66)</f>
        <v>44.330678633518588</v>
      </c>
      <c r="E66" s="124">
        <f t="shared" si="1"/>
        <v>0.5434893168711975</v>
      </c>
      <c r="F66" s="3"/>
      <c r="G66" s="2">
        <f>MATCH(B66,'Points Summary'!$B$4:$B$1144,0)</f>
        <v>61</v>
      </c>
    </row>
    <row r="67" spans="1:7" x14ac:dyDescent="0.25">
      <c r="A67" s="53">
        <v>11</v>
      </c>
      <c r="B67" s="3" t="s">
        <v>924</v>
      </c>
      <c r="C67" s="51">
        <v>5.6890046296296293E-2</v>
      </c>
      <c r="D67" s="29">
        <f>INDEX('Points Summary'!$F$4:$F$1143,G67)</f>
        <v>43.719108705951157</v>
      </c>
      <c r="E67" s="124">
        <f t="shared" si="1"/>
        <v>0.46163365368080284</v>
      </c>
      <c r="F67" s="3"/>
      <c r="G67" s="2">
        <f>MATCH(B67,'Points Summary'!$B$4:$B$1144,0)</f>
        <v>46</v>
      </c>
    </row>
    <row r="68" spans="1:7" x14ac:dyDescent="0.25">
      <c r="A68" s="53">
        <v>18</v>
      </c>
      <c r="B68" s="3" t="s">
        <v>225</v>
      </c>
      <c r="C68" s="51">
        <v>5.0266203703703709E-2</v>
      </c>
      <c r="D68" s="29">
        <f>INDEX('Points Summary'!$F$4:$F$1143,G68)</f>
        <v>43.181857403404642</v>
      </c>
      <c r="E68" s="124">
        <f t="shared" si="1"/>
        <v>0.522465553289719</v>
      </c>
      <c r="F68" s="3"/>
      <c r="G68" s="2">
        <f>MATCH(B68,'Points Summary'!$B$4:$B$1144,0)</f>
        <v>257</v>
      </c>
    </row>
    <row r="69" spans="1:7" x14ac:dyDescent="0.25">
      <c r="A69" s="53">
        <v>33</v>
      </c>
      <c r="B69" s="3" t="s">
        <v>887</v>
      </c>
      <c r="C69" s="51">
        <v>6.2152777777777779E-2</v>
      </c>
      <c r="D69" s="29">
        <f>INDEX('Points Summary'!$F$4:$F$1143,G69)</f>
        <v>42.027640937961806</v>
      </c>
      <c r="E69" s="124">
        <f t="shared" si="1"/>
        <v>0.42254523239054931</v>
      </c>
      <c r="F69" s="3"/>
      <c r="G69" s="2">
        <f>MATCH(B69,'Points Summary'!$B$4:$B$1144,0)</f>
        <v>65</v>
      </c>
    </row>
    <row r="70" spans="1:7" x14ac:dyDescent="0.25">
      <c r="A70" s="2">
        <v>16</v>
      </c>
      <c r="B70" s="3" t="s">
        <v>1135</v>
      </c>
      <c r="C70" s="51">
        <v>7.4861111111111114E-2</v>
      </c>
      <c r="D70" s="29">
        <f>INDEX('Points Summary'!$F$4:$F$1143,G70)</f>
        <v>41.224138015960648</v>
      </c>
      <c r="E70" s="124">
        <f t="shared" si="1"/>
        <v>0.35081445546339668</v>
      </c>
      <c r="F70" s="3"/>
      <c r="G70" s="2">
        <f>MATCH(B70,'Points Summary'!$B$4:$B$1144,0)</f>
        <v>153</v>
      </c>
    </row>
    <row r="71" spans="1:7" x14ac:dyDescent="0.25">
      <c r="A71" s="53">
        <v>29</v>
      </c>
      <c r="B71" s="3" t="s">
        <v>1297</v>
      </c>
      <c r="C71" s="51">
        <v>5.708333333333334E-2</v>
      </c>
      <c r="D71" s="29">
        <f>INDEX('Points Summary'!$F$4:$F$1143,G71)</f>
        <v>39.77877333376739</v>
      </c>
      <c r="E71" s="124">
        <f t="shared" si="1"/>
        <v>0.46007053891671729</v>
      </c>
      <c r="F71" s="3"/>
      <c r="G71" s="2">
        <f>MATCH(B71,'Points Summary'!$B$4:$B$1144,0)</f>
        <v>283</v>
      </c>
    </row>
    <row r="72" spans="1:7" x14ac:dyDescent="0.25">
      <c r="A72" s="2">
        <v>14</v>
      </c>
      <c r="B72" s="3" t="s">
        <v>1138</v>
      </c>
      <c r="C72" s="51">
        <v>6.1387731481481488E-2</v>
      </c>
      <c r="D72" s="29">
        <f>INDEX('Points Summary'!$F$4:$F$1143,G72)</f>
        <v>39.360236817448701</v>
      </c>
      <c r="E72" s="124">
        <f t="shared" ref="E72:E82" si="2">(AVERAGE($D$8:$D$12)/100*AVERAGE($C$8:$C$12))/C72</f>
        <v>0.4278112140004996</v>
      </c>
      <c r="F72" s="3"/>
      <c r="G72" s="2">
        <f>MATCH(B72,'Points Summary'!$B$4:$B$1144,0)</f>
        <v>121</v>
      </c>
    </row>
    <row r="73" spans="1:7" x14ac:dyDescent="0.25">
      <c r="A73" s="53">
        <v>34</v>
      </c>
      <c r="B73" s="3" t="s">
        <v>928</v>
      </c>
      <c r="C73" s="51">
        <v>6.8078703703703711E-2</v>
      </c>
      <c r="D73" s="29">
        <f>INDEX('Points Summary'!$F$4:$F$1143,G73)</f>
        <v>39.111039911551323</v>
      </c>
      <c r="E73" s="124">
        <f t="shared" si="2"/>
        <v>0.38576468853064427</v>
      </c>
      <c r="F73" s="3"/>
      <c r="G73" s="2">
        <f>MATCH(B73,'Points Summary'!$B$4:$B$1144,0)</f>
        <v>285</v>
      </c>
    </row>
    <row r="74" spans="1:7" x14ac:dyDescent="0.25">
      <c r="A74" s="2">
        <v>13</v>
      </c>
      <c r="B74" s="3" t="s">
        <v>890</v>
      </c>
      <c r="C74" s="51">
        <v>5.9869212962962964E-2</v>
      </c>
      <c r="D74" s="29">
        <f>INDEX('Points Summary'!$F$4:$F$1143,G74)</f>
        <v>32.476466758096421</v>
      </c>
      <c r="E74" s="124">
        <f t="shared" si="2"/>
        <v>0.43866218762681963</v>
      </c>
      <c r="F74" s="3"/>
      <c r="G74" s="2">
        <f>MATCH(B74,'Points Summary'!$B$4:$B$1144,0)</f>
        <v>73</v>
      </c>
    </row>
    <row r="75" spans="1:7" x14ac:dyDescent="0.25">
      <c r="A75" s="53">
        <v>30</v>
      </c>
      <c r="B75" s="3" t="s">
        <v>1298</v>
      </c>
      <c r="C75" s="51">
        <v>5.7824074074074076E-2</v>
      </c>
      <c r="D75" s="29">
        <f>INDEX('Points Summary'!$F$4:$F$1143,G75)</f>
        <v>0</v>
      </c>
      <c r="E75" s="124">
        <f t="shared" si="2"/>
        <v>0.45417692112434943</v>
      </c>
      <c r="F75" s="3"/>
      <c r="G75" s="2">
        <f>MATCH(B75,'Points Summary'!$B$4:$B$1144,0)</f>
        <v>23</v>
      </c>
    </row>
    <row r="76" spans="1:7" x14ac:dyDescent="0.25">
      <c r="A76" s="53">
        <v>31</v>
      </c>
      <c r="B76" s="3" t="s">
        <v>128</v>
      </c>
      <c r="C76" s="51">
        <v>6.0428240740740741E-2</v>
      </c>
      <c r="D76" s="29">
        <f>INDEX('Points Summary'!$F$4:$F$1143,G76)</f>
        <v>0</v>
      </c>
      <c r="E76" s="124">
        <f t="shared" si="2"/>
        <v>0.43460407928313544</v>
      </c>
      <c r="F76" s="3"/>
      <c r="G76" s="2">
        <f>MATCH(B76,'Points Summary'!$B$4:$B$1144,0)</f>
        <v>26</v>
      </c>
    </row>
    <row r="77" spans="1:7" x14ac:dyDescent="0.25">
      <c r="A77" s="53">
        <v>8</v>
      </c>
      <c r="B77" s="3" t="s">
        <v>1300</v>
      </c>
      <c r="C77" s="51">
        <v>4.8576388888888884E-2</v>
      </c>
      <c r="D77" s="29">
        <f>INDEX('Points Summary'!$F$4:$F$1143,G77)</f>
        <v>0</v>
      </c>
      <c r="E77" s="124">
        <f t="shared" si="2"/>
        <v>0.54064043315159638</v>
      </c>
      <c r="F77" s="3"/>
      <c r="G77" s="2">
        <f>MATCH(B77,'Points Summary'!$B$4:$B$1144,0)</f>
        <v>300</v>
      </c>
    </row>
    <row r="78" spans="1:7" x14ac:dyDescent="0.25">
      <c r="A78" s="53">
        <v>9</v>
      </c>
      <c r="B78" s="3" t="s">
        <v>1301</v>
      </c>
      <c r="C78" s="51">
        <v>5.0645833333333334E-2</v>
      </c>
      <c r="D78" s="29">
        <f>INDEX('Points Summary'!$F$4:$F$1143,G78)</f>
        <v>0</v>
      </c>
      <c r="E78" s="124">
        <f t="shared" si="2"/>
        <v>0.51854927051904798</v>
      </c>
      <c r="F78" s="3"/>
      <c r="G78" s="2">
        <f>MATCH(B78,'Points Summary'!$B$4:$B$1144,0)</f>
        <v>368</v>
      </c>
    </row>
    <row r="79" spans="1:7" x14ac:dyDescent="0.25">
      <c r="A79" s="2">
        <v>15</v>
      </c>
      <c r="B79" s="3" t="s">
        <v>1289</v>
      </c>
      <c r="C79" s="51">
        <v>7.0129629629629639E-2</v>
      </c>
      <c r="D79" s="29">
        <f>INDEX('Points Summary'!$F$4:$F$1143,G79)</f>
        <v>0</v>
      </c>
      <c r="E79" s="124">
        <f t="shared" si="2"/>
        <v>0.37448308323495672</v>
      </c>
      <c r="F79" s="3"/>
      <c r="G79" s="2">
        <f>MATCH(B79,'Points Summary'!$B$4:$B$1144,0)</f>
        <v>455</v>
      </c>
    </row>
    <row r="80" spans="1:7" x14ac:dyDescent="0.25">
      <c r="A80" s="2">
        <v>17</v>
      </c>
      <c r="B80" s="3" t="s">
        <v>1304</v>
      </c>
      <c r="C80" s="51">
        <v>7.5525462962962961E-2</v>
      </c>
      <c r="D80" s="29">
        <f>INDEX('Points Summary'!$F$4:$F$1143,G80)</f>
        <v>0</v>
      </c>
      <c r="E80" s="124">
        <f t="shared" si="2"/>
        <v>0.3477285527227833</v>
      </c>
      <c r="F80" s="3"/>
      <c r="G80" s="2">
        <f>MATCH(B80,'Points Summary'!$B$4:$B$1144,0)</f>
        <v>14</v>
      </c>
    </row>
    <row r="81" spans="1:7" x14ac:dyDescent="0.25">
      <c r="A81" s="2">
        <v>18</v>
      </c>
      <c r="B81" s="3" t="s">
        <v>1303</v>
      </c>
      <c r="C81" s="51">
        <v>7.828935185185186E-2</v>
      </c>
      <c r="D81" s="29">
        <f>INDEX('Points Summary'!$F$4:$F$1143,G81)</f>
        <v>0</v>
      </c>
      <c r="E81" s="124">
        <f t="shared" si="2"/>
        <v>0.33545251440484458</v>
      </c>
      <c r="F81" s="3"/>
      <c r="G81" s="2">
        <f>MATCH(B81,'Points Summary'!$B$4:$B$1144,0)</f>
        <v>210</v>
      </c>
    </row>
    <row r="82" spans="1:7" x14ac:dyDescent="0.25">
      <c r="A82" s="2">
        <v>19</v>
      </c>
      <c r="B82" s="3" t="s">
        <v>1302</v>
      </c>
      <c r="C82" s="51">
        <v>8.5195601851851863E-2</v>
      </c>
      <c r="D82" s="29">
        <f>INDEX('Points Summary'!$F$4:$F$1143,G82)</f>
        <v>0</v>
      </c>
      <c r="E82" s="124">
        <f t="shared" si="2"/>
        <v>0.3082595739566153</v>
      </c>
      <c r="F82" s="3"/>
      <c r="G82" s="2">
        <f>MATCH(B82,'Points Summary'!$B$4:$B$1144,0)</f>
        <v>59</v>
      </c>
    </row>
  </sheetData>
  <sortState ref="A8:G82">
    <sortCondition descending="1" ref="D8:D82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"/>
  <sheetViews>
    <sheetView topLeftCell="A16" workbookViewId="0">
      <selection activeCell="D8" sqref="D8:G8"/>
    </sheetView>
  </sheetViews>
  <sheetFormatPr defaultRowHeight="13.2" x14ac:dyDescent="0.25"/>
  <cols>
    <col min="2" max="2" width="24.6640625" customWidth="1"/>
    <col min="3" max="3" width="9.6640625" style="42" customWidth="1"/>
    <col min="4" max="7" width="9.6640625" customWidth="1"/>
    <col min="8" max="8" width="9.109375" style="42"/>
  </cols>
  <sheetData>
    <row r="1" spans="1:11" x14ac:dyDescent="0.25">
      <c r="A1" s="16" t="s">
        <v>22</v>
      </c>
      <c r="B1" s="17" t="s">
        <v>1223</v>
      </c>
      <c r="C1" s="133"/>
      <c r="D1" s="18"/>
      <c r="E1" s="18"/>
      <c r="F1" s="18"/>
      <c r="G1" s="19"/>
    </row>
    <row r="2" spans="1:11" x14ac:dyDescent="0.25">
      <c r="A2" s="20" t="s">
        <v>23</v>
      </c>
      <c r="B2" s="21">
        <v>43160</v>
      </c>
      <c r="C2" s="56"/>
      <c r="D2" s="22"/>
      <c r="E2" s="22"/>
      <c r="F2" s="22"/>
      <c r="G2" s="23"/>
    </row>
    <row r="3" spans="1:11" x14ac:dyDescent="0.25">
      <c r="A3" s="20" t="s">
        <v>24</v>
      </c>
      <c r="B3" s="24" t="s">
        <v>42</v>
      </c>
      <c r="C3" s="56"/>
      <c r="D3" s="22"/>
      <c r="E3" s="22"/>
      <c r="F3" s="22"/>
      <c r="G3" s="23"/>
    </row>
    <row r="4" spans="1:11" x14ac:dyDescent="0.25">
      <c r="A4" s="20" t="s">
        <v>1</v>
      </c>
      <c r="B4" s="24" t="s">
        <v>26</v>
      </c>
      <c r="C4" s="56"/>
      <c r="D4" s="22"/>
      <c r="E4" s="22"/>
      <c r="F4" s="22"/>
      <c r="G4" s="23"/>
    </row>
    <row r="5" spans="1:11" x14ac:dyDescent="0.25">
      <c r="A5" s="20" t="s">
        <v>27</v>
      </c>
      <c r="B5" s="24" t="s">
        <v>1224</v>
      </c>
      <c r="C5" s="56"/>
      <c r="D5" s="22"/>
      <c r="E5" s="22" t="s">
        <v>55</v>
      </c>
      <c r="F5" s="38">
        <f>AVERAGE(C8:C12)*(AVERAGE(D8:D12)/100)</f>
        <v>1.8510036266783641E-2</v>
      </c>
      <c r="G5" s="23"/>
    </row>
    <row r="6" spans="1:11" x14ac:dyDescent="0.25">
      <c r="A6" s="25" t="s">
        <v>29</v>
      </c>
      <c r="B6" s="26"/>
      <c r="C6" s="134"/>
      <c r="D6" s="26"/>
      <c r="E6" s="26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  <c r="I7" s="2"/>
      <c r="J7" s="2"/>
      <c r="K7" s="2"/>
    </row>
    <row r="8" spans="1:11" x14ac:dyDescent="0.25">
      <c r="A8" s="2">
        <v>1</v>
      </c>
      <c r="B8" s="3" t="s">
        <v>1225</v>
      </c>
      <c r="C8" s="51">
        <v>2.0393518518518283E-2</v>
      </c>
      <c r="D8" s="29">
        <f>INDEX('Points Summary'!$F$4:$F$1143,G8)</f>
        <v>89.06928922635062</v>
      </c>
      <c r="E8" s="124">
        <f t="shared" ref="E8:E39" si="0">(AVERAGE($D$8:$D$12)/100*AVERAGE($C$8:$C$12))/C8</f>
        <v>0.90764309503412322</v>
      </c>
      <c r="F8" s="3"/>
      <c r="G8" s="2">
        <f>MATCH(B8,'Points Summary'!$B$4:$B$1144,0)</f>
        <v>97</v>
      </c>
      <c r="H8" s="2" t="s">
        <v>61</v>
      </c>
      <c r="I8" s="79"/>
      <c r="J8" s="79"/>
      <c r="K8" s="44"/>
    </row>
    <row r="9" spans="1:11" x14ac:dyDescent="0.25">
      <c r="A9" s="2">
        <v>1</v>
      </c>
      <c r="B9" s="3" t="s">
        <v>1265</v>
      </c>
      <c r="C9" s="51">
        <v>2.2766203703702192E-2</v>
      </c>
      <c r="D9" s="29">
        <f>INDEX('Points Summary'!$F$4:$F$1143,G9)</f>
        <v>81.414794603727941</v>
      </c>
      <c r="E9" s="124">
        <f t="shared" si="0"/>
        <v>0.81304887313178076</v>
      </c>
      <c r="F9" s="3"/>
      <c r="G9" s="2">
        <f>MATCH(B9,'Points Summary'!$B$4:$B$1144,0)</f>
        <v>124</v>
      </c>
      <c r="H9" s="2" t="s">
        <v>159</v>
      </c>
      <c r="I9" s="79"/>
      <c r="J9" s="79"/>
      <c r="K9" s="44"/>
    </row>
    <row r="10" spans="1:11" x14ac:dyDescent="0.25">
      <c r="A10" s="2">
        <v>6</v>
      </c>
      <c r="B10" s="3" t="s">
        <v>1230</v>
      </c>
      <c r="C10" s="51">
        <v>2.3761574074073089E-2</v>
      </c>
      <c r="D10" s="29">
        <f>INDEX('Points Summary'!$F$4:$F$1143,G10)</f>
        <v>81.013290109009503</v>
      </c>
      <c r="E10" s="124">
        <f t="shared" si="0"/>
        <v>0.77899032316131167</v>
      </c>
      <c r="F10" s="3"/>
      <c r="G10" s="2">
        <f>MATCH(B10,'Points Summary'!$B$4:$B$1144,0)</f>
        <v>305</v>
      </c>
      <c r="H10" s="2" t="s">
        <v>1284</v>
      </c>
      <c r="I10" s="79"/>
      <c r="J10" s="79"/>
      <c r="K10" s="44"/>
    </row>
    <row r="11" spans="1:11" x14ac:dyDescent="0.25">
      <c r="A11" s="2">
        <v>5</v>
      </c>
      <c r="B11" s="3" t="s">
        <v>1229</v>
      </c>
      <c r="C11" s="51">
        <v>2.3518518518516829E-2</v>
      </c>
      <c r="D11" s="29">
        <f>INDEX('Points Summary'!$F$4:$F$1143,G11)</f>
        <v>78.23941171923417</v>
      </c>
      <c r="E11" s="124">
        <f t="shared" si="0"/>
        <v>0.78704091213101446</v>
      </c>
      <c r="F11" s="3"/>
      <c r="G11" s="2">
        <f>MATCH(B11,'Points Summary'!$B$4:$B$1144,0)</f>
        <v>462</v>
      </c>
      <c r="H11" s="2" t="s">
        <v>58</v>
      </c>
      <c r="I11" s="79"/>
      <c r="J11" s="79"/>
      <c r="K11" s="44"/>
    </row>
    <row r="12" spans="1:11" x14ac:dyDescent="0.25">
      <c r="A12" s="2">
        <v>3</v>
      </c>
      <c r="B12" s="3" t="s">
        <v>1227</v>
      </c>
      <c r="C12" s="51">
        <v>2.3472222222220895E-2</v>
      </c>
      <c r="D12" s="29">
        <f>INDEX('Points Summary'!$F$4:$F$1143,G12)</f>
        <v>76.49851546192447</v>
      </c>
      <c r="E12" s="124">
        <f t="shared" si="0"/>
        <v>0.78859326107011685</v>
      </c>
      <c r="F12" s="3"/>
      <c r="G12" s="2">
        <f>MATCH(B12,'Points Summary'!$B$4:$B$1144,0)</f>
        <v>355</v>
      </c>
      <c r="H12" s="2" t="s">
        <v>58</v>
      </c>
    </row>
    <row r="13" spans="1:11" x14ac:dyDescent="0.25">
      <c r="A13" s="2">
        <v>2</v>
      </c>
      <c r="B13" s="3" t="s">
        <v>1226</v>
      </c>
      <c r="C13" s="51">
        <v>2.3078703703703185E-2</v>
      </c>
      <c r="D13" s="29">
        <f>INDEX('Points Summary'!$F$4:$F$1143,G13)</f>
        <v>76.465649687424957</v>
      </c>
      <c r="E13" s="124">
        <f t="shared" si="0"/>
        <v>0.80203968578241847</v>
      </c>
      <c r="F13" s="3"/>
      <c r="G13" s="2">
        <f>MATCH(B13,'Points Summary'!$B$4:$B$1144,0)</f>
        <v>106</v>
      </c>
      <c r="H13" s="2" t="s">
        <v>58</v>
      </c>
    </row>
    <row r="14" spans="1:11" x14ac:dyDescent="0.25">
      <c r="A14" s="2">
        <v>4</v>
      </c>
      <c r="B14" s="3" t="s">
        <v>1228</v>
      </c>
      <c r="C14" s="51">
        <v>2.3506944444443345E-2</v>
      </c>
      <c r="D14" s="29">
        <f>INDEX('Points Summary'!$F$4:$F$1143,G14)</f>
        <v>73.952833974019228</v>
      </c>
      <c r="E14" s="124">
        <f t="shared" si="0"/>
        <v>0.78742842612022712</v>
      </c>
      <c r="F14" s="3"/>
      <c r="G14" s="2">
        <f>MATCH(B14,'Points Summary'!$B$4:$B$1144,0)</f>
        <v>404</v>
      </c>
      <c r="H14" s="2" t="s">
        <v>67</v>
      </c>
    </row>
    <row r="15" spans="1:11" x14ac:dyDescent="0.25">
      <c r="A15" s="2">
        <v>1</v>
      </c>
      <c r="B15" s="3" t="s">
        <v>1251</v>
      </c>
      <c r="C15" s="51">
        <v>2.4803240740737642E-2</v>
      </c>
      <c r="D15" s="29">
        <f>INDEX('Points Summary'!$F$4:$F$1143,G15)</f>
        <v>73.838322342535349</v>
      </c>
      <c r="E15" s="124">
        <f t="shared" si="0"/>
        <v>0.74627491061610185</v>
      </c>
      <c r="F15" s="3"/>
      <c r="G15" s="2">
        <f>MATCH(B15,'Points Summary'!$B$4:$B$1144,0)</f>
        <v>212</v>
      </c>
      <c r="H15" s="2" t="s">
        <v>87</v>
      </c>
    </row>
    <row r="16" spans="1:11" x14ac:dyDescent="0.25">
      <c r="A16" s="2">
        <v>4</v>
      </c>
      <c r="B16" s="3" t="s">
        <v>1267</v>
      </c>
      <c r="C16" s="51">
        <v>2.6770833333331301E-2</v>
      </c>
      <c r="D16" s="29">
        <f>INDEX('Points Summary'!$F$4:$F$1143,G16)</f>
        <v>73.634681818425506</v>
      </c>
      <c r="E16" s="124">
        <f t="shared" si="0"/>
        <v>0.69142547922621189</v>
      </c>
      <c r="F16" s="3"/>
      <c r="G16" s="2">
        <f>MATCH(B16,'Points Summary'!$B$4:$B$1144,0)</f>
        <v>298</v>
      </c>
      <c r="H16" s="2" t="s">
        <v>67</v>
      </c>
    </row>
    <row r="17" spans="1:8" x14ac:dyDescent="0.25">
      <c r="A17" s="2">
        <v>2</v>
      </c>
      <c r="B17" s="3" t="s">
        <v>1266</v>
      </c>
      <c r="C17" s="51">
        <v>2.4062499999997489E-2</v>
      </c>
      <c r="D17" s="29">
        <f>INDEX('Points Summary'!$F$4:$F$1143,G17)</f>
        <v>70.8506582328273</v>
      </c>
      <c r="E17" s="124">
        <f t="shared" si="0"/>
        <v>0.769248260437842</v>
      </c>
      <c r="F17" s="3"/>
      <c r="G17" s="2">
        <f>MATCH(B17,'Points Summary'!$B$4:$B$1144,0)</f>
        <v>254</v>
      </c>
      <c r="H17" s="2" t="s">
        <v>58</v>
      </c>
    </row>
    <row r="18" spans="1:8" x14ac:dyDescent="0.25">
      <c r="A18" s="2">
        <v>8</v>
      </c>
      <c r="B18" s="3" t="s">
        <v>1231</v>
      </c>
      <c r="C18" s="51">
        <v>2.8101851851851489E-2</v>
      </c>
      <c r="D18" s="29">
        <f>INDEX('Points Summary'!$F$4:$F$1143,G18)</f>
        <v>69.462945408894683</v>
      </c>
      <c r="E18" s="124">
        <f t="shared" si="0"/>
        <v>0.65867674359560424</v>
      </c>
      <c r="F18" s="3"/>
      <c r="G18" s="2">
        <f>MATCH(B18,'Points Summary'!$B$4:$B$1144,0)</f>
        <v>246</v>
      </c>
      <c r="H18" s="2" t="s">
        <v>58</v>
      </c>
    </row>
    <row r="19" spans="1:8" x14ac:dyDescent="0.25">
      <c r="A19" s="2">
        <v>5</v>
      </c>
      <c r="B19" s="3" t="s">
        <v>1268</v>
      </c>
      <c r="C19" s="51">
        <v>2.7789351851849609E-2</v>
      </c>
      <c r="D19" s="29">
        <f>INDEX('Points Summary'!$F$4:$F$1143,G19)</f>
        <v>68.67926480485005</v>
      </c>
      <c r="E19" s="124">
        <f t="shared" si="0"/>
        <v>0.66608377069980662</v>
      </c>
      <c r="F19" s="3"/>
      <c r="G19" s="2">
        <f>MATCH(B19,'Points Summary'!$B$4:$B$1144,0)</f>
        <v>323</v>
      </c>
      <c r="H19" s="2" t="s">
        <v>58</v>
      </c>
    </row>
    <row r="20" spans="1:8" x14ac:dyDescent="0.25">
      <c r="A20" s="2">
        <v>12</v>
      </c>
      <c r="B20" s="3" t="s">
        <v>1233</v>
      </c>
      <c r="C20" s="51">
        <v>3.0833333333331825E-2</v>
      </c>
      <c r="D20" s="29">
        <f>INDEX('Points Summary'!$F$4:$F$1143,G20)</f>
        <v>66.06235864701496</v>
      </c>
      <c r="E20" s="124">
        <f t="shared" si="0"/>
        <v>0.60032550054436362</v>
      </c>
      <c r="F20" s="3"/>
      <c r="G20" s="2">
        <f>MATCH(B20,'Points Summary'!$B$4:$B$1144,0)</f>
        <v>60</v>
      </c>
      <c r="H20" s="2" t="s">
        <v>67</v>
      </c>
    </row>
    <row r="21" spans="1:8" x14ac:dyDescent="0.25">
      <c r="A21" s="2">
        <v>6</v>
      </c>
      <c r="B21" s="3" t="s">
        <v>1269</v>
      </c>
      <c r="C21" s="51">
        <v>2.8217592592589991E-2</v>
      </c>
      <c r="D21" s="29">
        <f>INDEX('Points Summary'!$F$4:$F$1143,G21)</f>
        <v>65.870234715866289</v>
      </c>
      <c r="E21" s="124">
        <f t="shared" si="0"/>
        <v>0.65597503422898029</v>
      </c>
      <c r="F21" s="3"/>
      <c r="G21" s="2">
        <f>MATCH(B21,'Points Summary'!$B$4:$B$1144,0)</f>
        <v>155</v>
      </c>
      <c r="H21" s="2" t="s">
        <v>58</v>
      </c>
    </row>
    <row r="22" spans="1:8" x14ac:dyDescent="0.25">
      <c r="A22" s="2">
        <v>5</v>
      </c>
      <c r="B22" s="3" t="s">
        <v>1254</v>
      </c>
      <c r="C22" s="51">
        <v>3.1273148148145469E-2</v>
      </c>
      <c r="D22" s="29">
        <f>INDEX('Points Summary'!$F$4:$F$1143,G22)</f>
        <v>62.778085096258472</v>
      </c>
      <c r="E22" s="124">
        <f t="shared" si="0"/>
        <v>0.5918827288861005</v>
      </c>
      <c r="F22" s="3"/>
      <c r="G22" s="2">
        <f>MATCH(B22,'Points Summary'!$B$4:$B$1144,0)</f>
        <v>372</v>
      </c>
      <c r="H22" s="2" t="s">
        <v>87</v>
      </c>
    </row>
    <row r="23" spans="1:8" x14ac:dyDescent="0.25">
      <c r="A23" s="2">
        <v>17</v>
      </c>
      <c r="B23" s="3" t="s">
        <v>1238</v>
      </c>
      <c r="C23" s="51">
        <v>3.2465277777777801E-2</v>
      </c>
      <c r="D23" s="29">
        <f>INDEX('Points Summary'!$F$4:$F$1143,G23)</f>
        <v>61.975109289140804</v>
      </c>
      <c r="E23" s="124">
        <f t="shared" si="0"/>
        <v>0.57014871067739947</v>
      </c>
      <c r="F23" s="3"/>
      <c r="G23" s="2">
        <f>MATCH(B23,'Points Summary'!$B$4:$B$1144,0)</f>
        <v>81</v>
      </c>
      <c r="H23" s="2" t="s">
        <v>76</v>
      </c>
    </row>
    <row r="24" spans="1:8" x14ac:dyDescent="0.25">
      <c r="A24" s="2">
        <v>9</v>
      </c>
      <c r="B24" s="3" t="s">
        <v>1271</v>
      </c>
      <c r="C24" s="51">
        <v>3.0497685185183032E-2</v>
      </c>
      <c r="D24" s="29">
        <f>INDEX('Points Summary'!$F$4:$F$1143,G24)</f>
        <v>61.16734161191328</v>
      </c>
      <c r="E24" s="124">
        <f t="shared" si="0"/>
        <v>0.60693249846308139</v>
      </c>
      <c r="F24" s="3"/>
      <c r="G24" s="2">
        <f>MATCH(B24,'Points Summary'!$B$4:$B$1144,0)</f>
        <v>38</v>
      </c>
      <c r="H24" s="2" t="s">
        <v>67</v>
      </c>
    </row>
    <row r="25" spans="1:8" x14ac:dyDescent="0.25">
      <c r="A25" s="2">
        <v>11</v>
      </c>
      <c r="B25" s="3" t="s">
        <v>1273</v>
      </c>
      <c r="C25" s="51">
        <v>3.1608796296295483E-2</v>
      </c>
      <c r="D25" s="29">
        <f>INDEX('Points Summary'!$F$4:$F$1143,G25)</f>
        <v>61.010855957768854</v>
      </c>
      <c r="E25" s="124">
        <f t="shared" si="0"/>
        <v>0.58559763216775829</v>
      </c>
      <c r="F25" s="3"/>
      <c r="G25" s="2">
        <f>MATCH(B25,'Points Summary'!$B$4:$B$1144,0)</f>
        <v>242</v>
      </c>
      <c r="H25" s="2" t="s">
        <v>61</v>
      </c>
    </row>
    <row r="26" spans="1:8" x14ac:dyDescent="0.25">
      <c r="A26" s="2">
        <v>9</v>
      </c>
      <c r="B26" s="3" t="s">
        <v>1232</v>
      </c>
      <c r="C26" s="51">
        <v>2.9305555555555474E-2</v>
      </c>
      <c r="D26" s="29">
        <f>INDEX('Points Summary'!$F$4:$F$1143,G26)</f>
        <v>59.906850173155213</v>
      </c>
      <c r="E26" s="124">
        <f t="shared" si="0"/>
        <v>0.63162209062010699</v>
      </c>
      <c r="F26" s="3"/>
      <c r="G26" s="2">
        <f>MATCH(B26,'Points Summary'!$B$4:$B$1144,0)</f>
        <v>113</v>
      </c>
      <c r="H26" s="2" t="s">
        <v>66</v>
      </c>
    </row>
    <row r="27" spans="1:8" x14ac:dyDescent="0.25">
      <c r="A27" s="2">
        <v>16</v>
      </c>
      <c r="B27" s="3" t="s">
        <v>1237</v>
      </c>
      <c r="C27" s="51">
        <v>3.177083333333186E-2</v>
      </c>
      <c r="D27" s="29">
        <f>INDEX('Points Summary'!$F$4:$F$1143,G27)</f>
        <v>59.774999352344693</v>
      </c>
      <c r="E27" s="124">
        <f t="shared" si="0"/>
        <v>0.58261097757747926</v>
      </c>
      <c r="F27" s="3"/>
      <c r="G27" s="2">
        <f>MATCH(B27,'Points Summary'!$B$4:$B$1144,0)</f>
        <v>326</v>
      </c>
      <c r="H27" s="2" t="s">
        <v>64</v>
      </c>
    </row>
    <row r="28" spans="1:8" x14ac:dyDescent="0.25">
      <c r="A28" s="2">
        <v>3</v>
      </c>
      <c r="B28" s="3" t="s">
        <v>1253</v>
      </c>
      <c r="C28" s="51">
        <v>2.8055555555551892E-2</v>
      </c>
      <c r="D28" s="29">
        <f>INDEX('Points Summary'!$F$4:$F$1143,G28)</f>
        <v>59.548809582616713</v>
      </c>
      <c r="E28" s="124">
        <f t="shared" si="0"/>
        <v>0.65976366891514659</v>
      </c>
      <c r="F28" s="3"/>
      <c r="G28" s="2">
        <f>MATCH(B28,'Points Summary'!$B$4:$B$1144,0)</f>
        <v>145</v>
      </c>
      <c r="H28" s="2" t="s">
        <v>62</v>
      </c>
    </row>
    <row r="29" spans="1:8" x14ac:dyDescent="0.25">
      <c r="A29" s="2">
        <v>19</v>
      </c>
      <c r="B29" s="3" t="s">
        <v>1240</v>
      </c>
      <c r="C29" s="51">
        <v>3.2974537037036233E-2</v>
      </c>
      <c r="D29" s="29">
        <f>INDEX('Points Summary'!$F$4:$F$1143,G29)</f>
        <v>59.464436660691</v>
      </c>
      <c r="E29" s="124">
        <f t="shared" si="0"/>
        <v>0.56134332518432628</v>
      </c>
      <c r="F29" s="3"/>
      <c r="G29" s="2">
        <f>MATCH(B29,'Points Summary'!$B$4:$B$1144,0)</f>
        <v>306</v>
      </c>
      <c r="H29" s="2" t="s">
        <v>78</v>
      </c>
    </row>
    <row r="30" spans="1:8" x14ac:dyDescent="0.25">
      <c r="A30" s="2">
        <v>18</v>
      </c>
      <c r="B30" s="3" t="s">
        <v>1239</v>
      </c>
      <c r="C30" s="51">
        <v>3.265046296296209E-2</v>
      </c>
      <c r="D30" s="29">
        <f>INDEX('Points Summary'!$F$4:$F$1143,G30)</f>
        <v>58.723388520488008</v>
      </c>
      <c r="E30" s="124">
        <f t="shared" si="0"/>
        <v>0.56691497109186439</v>
      </c>
      <c r="F30" s="3"/>
      <c r="G30" s="2">
        <f>MATCH(B30,'Points Summary'!$B$4:$B$1144,0)</f>
        <v>281</v>
      </c>
      <c r="H30" s="2" t="s">
        <v>63</v>
      </c>
    </row>
    <row r="31" spans="1:8" x14ac:dyDescent="0.25">
      <c r="A31" s="2">
        <v>13</v>
      </c>
      <c r="B31" s="3" t="s">
        <v>1275</v>
      </c>
      <c r="C31" s="51">
        <v>3.3402777777776116E-2</v>
      </c>
      <c r="D31" s="29">
        <f>INDEX('Points Summary'!$F$4:$F$1143,G31)</f>
        <v>58.362117442456707</v>
      </c>
      <c r="E31" s="124">
        <f t="shared" si="0"/>
        <v>0.55414661588710534</v>
      </c>
      <c r="F31" s="3"/>
      <c r="G31" s="2">
        <f>MATCH(B31,'Points Summary'!$B$4:$B$1144,0)</f>
        <v>381</v>
      </c>
      <c r="H31" s="2" t="s">
        <v>78</v>
      </c>
    </row>
    <row r="32" spans="1:8" x14ac:dyDescent="0.25">
      <c r="A32" s="2">
        <v>26</v>
      </c>
      <c r="B32" s="3" t="s">
        <v>1247</v>
      </c>
      <c r="C32" s="51">
        <v>3.8611111111110041E-2</v>
      </c>
      <c r="D32" s="29">
        <f>INDEX('Points Summary'!$F$4:$F$1143,G32)</f>
        <v>57.852607909142236</v>
      </c>
      <c r="E32" s="124">
        <f t="shared" si="0"/>
        <v>0.47939662273685579</v>
      </c>
      <c r="F32" s="3"/>
      <c r="G32" s="2">
        <f>MATCH(B32,'Points Summary'!$B$4:$B$1144,0)</f>
        <v>24</v>
      </c>
      <c r="H32" s="2" t="s">
        <v>75</v>
      </c>
    </row>
    <row r="33" spans="1:8" x14ac:dyDescent="0.25">
      <c r="A33" s="2">
        <v>13</v>
      </c>
      <c r="B33" s="3" t="s">
        <v>1234</v>
      </c>
      <c r="C33" s="51">
        <v>3.1030092592592595E-2</v>
      </c>
      <c r="D33" s="29">
        <f>INDEX('Points Summary'!$F$4:$F$1143,G33)</f>
        <v>56.689987157321418</v>
      </c>
      <c r="E33" s="124">
        <f t="shared" si="0"/>
        <v>0.59651888603137126</v>
      </c>
      <c r="F33" s="3"/>
      <c r="G33" s="2">
        <f>MATCH(B33,'Points Summary'!$B$4:$B$1144,0)</f>
        <v>327</v>
      </c>
      <c r="H33" s="2" t="s">
        <v>58</v>
      </c>
    </row>
    <row r="34" spans="1:8" x14ac:dyDescent="0.25">
      <c r="A34" s="2">
        <v>15</v>
      </c>
      <c r="B34" s="3" t="s">
        <v>1236</v>
      </c>
      <c r="C34" s="51">
        <v>3.1666666666666676E-2</v>
      </c>
      <c r="D34" s="29">
        <f>INDEX('Points Summary'!$F$4:$F$1143,G34)</f>
        <v>56.531401063788202</v>
      </c>
      <c r="E34" s="124">
        <f t="shared" si="0"/>
        <v>0.58452746105632536</v>
      </c>
      <c r="F34" s="3"/>
      <c r="G34" s="2">
        <f>MATCH(B34,'Points Summary'!$B$4:$B$1144,0)</f>
        <v>352</v>
      </c>
      <c r="H34" s="2" t="s">
        <v>89</v>
      </c>
    </row>
    <row r="35" spans="1:8" x14ac:dyDescent="0.25">
      <c r="A35" s="2">
        <v>7</v>
      </c>
      <c r="B35" s="3" t="s">
        <v>1270</v>
      </c>
      <c r="C35" s="51">
        <v>2.9803240740738035E-2</v>
      </c>
      <c r="D35" s="29">
        <f>INDEX('Points Summary'!$F$4:$F$1143,G35)</f>
        <v>56.070637340025378</v>
      </c>
      <c r="E35" s="124">
        <f t="shared" si="0"/>
        <v>0.62107461493213656</v>
      </c>
      <c r="F35" s="3"/>
      <c r="G35" s="2">
        <f>MATCH(B35,'Points Summary'!$B$4:$B$1144,0)</f>
        <v>240</v>
      </c>
      <c r="H35" s="2" t="s">
        <v>67</v>
      </c>
    </row>
    <row r="36" spans="1:8" x14ac:dyDescent="0.25">
      <c r="A36" s="2">
        <v>15</v>
      </c>
      <c r="B36" s="3" t="s">
        <v>1277</v>
      </c>
      <c r="C36" s="51">
        <v>3.3796296296294381E-2</v>
      </c>
      <c r="D36" s="29">
        <f>INDEX('Points Summary'!$F$4:$F$1143,G36)</f>
        <v>55.86857146731198</v>
      </c>
      <c r="E36" s="124">
        <f t="shared" si="0"/>
        <v>0.54769422378431409</v>
      </c>
      <c r="F36" s="3"/>
      <c r="G36" s="2">
        <f>MATCH(B36,'Points Summary'!$B$4:$B$1144,0)</f>
        <v>351</v>
      </c>
      <c r="H36" s="2" t="s">
        <v>67</v>
      </c>
    </row>
    <row r="37" spans="1:8" x14ac:dyDescent="0.25">
      <c r="A37" s="2">
        <v>14</v>
      </c>
      <c r="B37" s="3" t="s">
        <v>1235</v>
      </c>
      <c r="C37" s="51">
        <v>3.1319444444443456E-2</v>
      </c>
      <c r="D37" s="29">
        <f>INDEX('Points Summary'!$F$4:$F$1143,G37)</f>
        <v>55.750882109682479</v>
      </c>
      <c r="E37" s="124">
        <f t="shared" si="0"/>
        <v>0.59100780984854284</v>
      </c>
      <c r="F37" s="3"/>
      <c r="G37" s="2">
        <f>MATCH(B37,'Points Summary'!$B$4:$B$1144,0)</f>
        <v>37</v>
      </c>
      <c r="H37" s="2" t="s">
        <v>59</v>
      </c>
    </row>
    <row r="38" spans="1:8" x14ac:dyDescent="0.25">
      <c r="A38" s="2">
        <v>10</v>
      </c>
      <c r="B38" s="3" t="s">
        <v>1272</v>
      </c>
      <c r="C38" s="51">
        <v>3.1192129629626086E-2</v>
      </c>
      <c r="D38" s="29">
        <f>INDEX('Points Summary'!$F$4:$F$1143,G38)</f>
        <v>53.946105899327328</v>
      </c>
      <c r="E38" s="124">
        <f t="shared" si="0"/>
        <v>0.59342008662348356</v>
      </c>
      <c r="F38" s="3"/>
      <c r="G38" s="2">
        <f>MATCH(B38,'Points Summary'!$B$4:$B$1144,0)</f>
        <v>181</v>
      </c>
      <c r="H38" s="2" t="s">
        <v>62</v>
      </c>
    </row>
    <row r="39" spans="1:8" x14ac:dyDescent="0.25">
      <c r="A39" s="2">
        <v>21</v>
      </c>
      <c r="B39" s="3" t="s">
        <v>1242</v>
      </c>
      <c r="C39" s="51">
        <v>3.3773148148147303E-2</v>
      </c>
      <c r="D39" s="29">
        <f>INDEX('Points Summary'!$F$4:$F$1143,G39)</f>
        <v>53.902504097851107</v>
      </c>
      <c r="E39" s="124">
        <f t="shared" si="0"/>
        <v>0.54806961393082476</v>
      </c>
      <c r="F39" s="3"/>
      <c r="G39" s="2">
        <f>MATCH(B39,'Points Summary'!$B$4:$B$1144,0)</f>
        <v>457</v>
      </c>
      <c r="H39" s="2" t="s">
        <v>59</v>
      </c>
    </row>
    <row r="40" spans="1:8" x14ac:dyDescent="0.25">
      <c r="A40" s="2">
        <v>17</v>
      </c>
      <c r="B40" s="3" t="s">
        <v>1279</v>
      </c>
      <c r="C40" s="51">
        <v>3.5370370370367887E-2</v>
      </c>
      <c r="D40" s="29">
        <f>INDEX('Points Summary'!$F$4:$F$1143,G40)</f>
        <v>53.152822741768212</v>
      </c>
      <c r="E40" s="124">
        <f t="shared" ref="E40:E71" si="1">(AVERAGE($D$8:$D$12)/100*AVERAGE($C$8:$C$12))/C40</f>
        <v>0.52332039707140665</v>
      </c>
      <c r="F40" s="3"/>
      <c r="G40" s="2">
        <f>MATCH(B40,'Points Summary'!$B$4:$B$1144,0)</f>
        <v>193</v>
      </c>
      <c r="H40" s="2" t="s">
        <v>88</v>
      </c>
    </row>
    <row r="41" spans="1:8" x14ac:dyDescent="0.25">
      <c r="A41" s="2">
        <v>14</v>
      </c>
      <c r="B41" s="3" t="s">
        <v>1276</v>
      </c>
      <c r="C41" s="51">
        <v>3.3726851851850648E-2</v>
      </c>
      <c r="D41" s="29">
        <f>INDEX('Points Summary'!$F$4:$F$1143,G41)</f>
        <v>53.03402415872749</v>
      </c>
      <c r="E41" s="124">
        <f t="shared" si="1"/>
        <v>0.54882194009957574</v>
      </c>
      <c r="F41" s="3"/>
      <c r="G41" s="2">
        <f>MATCH(B41,'Points Summary'!$B$4:$B$1144,0)</f>
        <v>231</v>
      </c>
      <c r="H41" s="2" t="s">
        <v>88</v>
      </c>
    </row>
    <row r="42" spans="1:8" x14ac:dyDescent="0.25">
      <c r="A42" s="2">
        <v>12</v>
      </c>
      <c r="B42" s="3" t="s">
        <v>1274</v>
      </c>
      <c r="C42" s="51">
        <v>3.2581018518518079E-2</v>
      </c>
      <c r="D42" s="29">
        <f>INDEX('Points Summary'!$F$4:$F$1143,G42)</f>
        <v>52.845765543978409</v>
      </c>
      <c r="E42" s="124">
        <f t="shared" si="1"/>
        <v>0.56812331561283413</v>
      </c>
      <c r="F42" s="3"/>
      <c r="G42" s="2">
        <f>MATCH(B42,'Points Summary'!$B$4:$B$1144,0)</f>
        <v>165</v>
      </c>
      <c r="H42" s="2" t="s">
        <v>78</v>
      </c>
    </row>
    <row r="43" spans="1:8" x14ac:dyDescent="0.25">
      <c r="A43" s="2">
        <v>19</v>
      </c>
      <c r="B43" s="3" t="s">
        <v>1281</v>
      </c>
      <c r="C43" s="51">
        <v>3.5763888888887485E-2</v>
      </c>
      <c r="D43" s="29">
        <f>INDEX('Points Summary'!$F$4:$F$1143,G43)</f>
        <v>52.635124150761698</v>
      </c>
      <c r="E43" s="124">
        <f t="shared" si="1"/>
        <v>0.51756217911008717</v>
      </c>
      <c r="F43" s="3"/>
      <c r="G43" s="2">
        <f>MATCH(B43,'Points Summary'!$B$4:$B$1144,0)</f>
        <v>348</v>
      </c>
      <c r="H43" s="2" t="s">
        <v>66</v>
      </c>
    </row>
    <row r="44" spans="1:8" x14ac:dyDescent="0.25">
      <c r="A44" s="2">
        <v>18</v>
      </c>
      <c r="B44" s="3" t="s">
        <v>1280</v>
      </c>
      <c r="C44" s="51">
        <v>3.5439814814811954E-2</v>
      </c>
      <c r="D44" s="29">
        <f>INDEX('Points Summary'!$F$4:$F$1143,G44)</f>
        <v>52.088337517195143</v>
      </c>
      <c r="E44" s="124">
        <f t="shared" si="1"/>
        <v>0.52229494887336236</v>
      </c>
      <c r="F44" s="3"/>
      <c r="G44" s="2">
        <f>MATCH(B44,'Points Summary'!$B$4:$B$1144,0)</f>
        <v>302</v>
      </c>
      <c r="H44" s="2" t="s">
        <v>87</v>
      </c>
    </row>
    <row r="45" spans="1:8" x14ac:dyDescent="0.25">
      <c r="A45" s="2">
        <v>23</v>
      </c>
      <c r="B45" s="3" t="s">
        <v>1244</v>
      </c>
      <c r="C45" s="51">
        <v>3.5347222222220975E-2</v>
      </c>
      <c r="D45" s="29">
        <f>INDEX('Points Summary'!$F$4:$F$1143,G45)</f>
        <v>50.254433655003247</v>
      </c>
      <c r="E45" s="124">
        <f t="shared" si="1"/>
        <v>0.52366310852985032</v>
      </c>
      <c r="F45" s="3"/>
      <c r="G45" s="2">
        <f>MATCH(B45,'Points Summary'!$B$4:$B$1144,0)</f>
        <v>197</v>
      </c>
      <c r="H45" s="2" t="s">
        <v>64</v>
      </c>
    </row>
    <row r="46" spans="1:8" x14ac:dyDescent="0.25">
      <c r="A46" s="2">
        <v>2</v>
      </c>
      <c r="B46" s="3" t="s">
        <v>1252</v>
      </c>
      <c r="C46" s="51">
        <v>2.6562499999996159E-2</v>
      </c>
      <c r="D46" s="29">
        <f>INDEX('Points Summary'!$F$4:$F$1143,G46)</f>
        <v>49.403054375011301</v>
      </c>
      <c r="E46" s="124">
        <f t="shared" si="1"/>
        <v>0.69684842416136727</v>
      </c>
      <c r="F46" s="3"/>
      <c r="G46" s="2">
        <f>MATCH(B46,'Points Summary'!$B$4:$B$1144,0)</f>
        <v>419</v>
      </c>
      <c r="H46" s="2" t="s">
        <v>62</v>
      </c>
    </row>
    <row r="47" spans="1:8" x14ac:dyDescent="0.25">
      <c r="A47" s="2">
        <v>9</v>
      </c>
      <c r="B47" s="3" t="s">
        <v>1257</v>
      </c>
      <c r="C47" s="51">
        <v>3.7199074074071081E-2</v>
      </c>
      <c r="D47" s="29">
        <f>INDEX('Points Summary'!$F$4:$F$1143,G47)</f>
        <v>48.449587624618452</v>
      </c>
      <c r="E47" s="124">
        <f t="shared" si="1"/>
        <v>0.49759400542944471</v>
      </c>
      <c r="F47" s="3"/>
      <c r="G47" s="2">
        <f>MATCH(B47,'Points Summary'!$B$4:$B$1144,0)</f>
        <v>116</v>
      </c>
      <c r="H47" s="2" t="s">
        <v>66</v>
      </c>
    </row>
    <row r="48" spans="1:8" x14ac:dyDescent="0.25">
      <c r="A48" s="2">
        <v>8</v>
      </c>
      <c r="B48" s="3" t="s">
        <v>1256</v>
      </c>
      <c r="C48" s="51">
        <v>3.5960648148144481E-2</v>
      </c>
      <c r="D48" s="29">
        <f>INDEX('Points Summary'!$F$4:$F$1143,G48)</f>
        <v>47.85477580473799</v>
      </c>
      <c r="E48" s="124">
        <f t="shared" si="1"/>
        <v>0.51473032940143859</v>
      </c>
      <c r="F48" s="3"/>
      <c r="G48" s="2">
        <f>MATCH(B48,'Points Summary'!$B$4:$B$1144,0)</f>
        <v>341</v>
      </c>
      <c r="H48" s="2" t="s">
        <v>87</v>
      </c>
    </row>
    <row r="49" spans="1:8" x14ac:dyDescent="0.25">
      <c r="A49" s="2">
        <v>20</v>
      </c>
      <c r="B49" s="3" t="s">
        <v>1241</v>
      </c>
      <c r="C49" s="51">
        <v>3.3124999999999405E-2</v>
      </c>
      <c r="D49" s="29">
        <f>INDEX('Points Summary'!$F$4:$F$1143,G49)</f>
        <v>47.751602901196883</v>
      </c>
      <c r="E49" s="124">
        <f t="shared" si="1"/>
        <v>0.55879354767649736</v>
      </c>
      <c r="F49" s="3"/>
      <c r="G49" s="2">
        <f>MATCH(B49,'Points Summary'!$B$4:$B$1144,0)</f>
        <v>25</v>
      </c>
      <c r="H49" s="2" t="s">
        <v>58</v>
      </c>
    </row>
    <row r="50" spans="1:8" x14ac:dyDescent="0.25">
      <c r="A50" s="2">
        <v>20</v>
      </c>
      <c r="B50" s="3" t="s">
        <v>1282</v>
      </c>
      <c r="C50" s="51">
        <v>3.6874999999995828E-2</v>
      </c>
      <c r="D50" s="29">
        <f>INDEX('Points Summary'!$F$4:$F$1143,G50)</f>
        <v>47.714365226853097</v>
      </c>
      <c r="E50" s="124">
        <f t="shared" si="1"/>
        <v>0.50196708520096911</v>
      </c>
      <c r="F50" s="3"/>
      <c r="G50" s="2">
        <f>MATCH(B50,'Points Summary'!$B$4:$B$1144,0)</f>
        <v>243</v>
      </c>
      <c r="H50" s="2" t="s">
        <v>89</v>
      </c>
    </row>
    <row r="51" spans="1:8" x14ac:dyDescent="0.25">
      <c r="A51" s="2">
        <v>29</v>
      </c>
      <c r="B51" s="3" t="s">
        <v>1248</v>
      </c>
      <c r="C51" s="51">
        <v>3.9965277777777364E-2</v>
      </c>
      <c r="D51" s="29">
        <f>INDEX('Points Summary'!$F$4:$F$1143,G51)</f>
        <v>47.64486299656258</v>
      </c>
      <c r="E51" s="124">
        <f t="shared" si="1"/>
        <v>0.46315294916018623</v>
      </c>
      <c r="F51" s="3"/>
      <c r="G51" s="2">
        <f>MATCH(B51,'Points Summary'!$B$4:$B$1144,0)</f>
        <v>225</v>
      </c>
      <c r="H51" s="2" t="s">
        <v>59</v>
      </c>
    </row>
    <row r="52" spans="1:8" x14ac:dyDescent="0.25">
      <c r="A52" s="2">
        <v>16</v>
      </c>
      <c r="B52" s="3" t="s">
        <v>1278</v>
      </c>
      <c r="C52" s="51">
        <v>3.5104166666664494E-2</v>
      </c>
      <c r="D52" s="29">
        <f>INDEX('Points Summary'!$F$4:$F$1143,G52)</f>
        <v>47.342049369280687</v>
      </c>
      <c r="E52" s="124">
        <f t="shared" si="1"/>
        <v>0.52728886694698507</v>
      </c>
      <c r="F52" s="3"/>
      <c r="G52" s="2">
        <f>MATCH(B52,'Points Summary'!$B$4:$B$1144,0)</f>
        <v>1</v>
      </c>
      <c r="H52" s="2" t="s">
        <v>67</v>
      </c>
    </row>
    <row r="53" spans="1:8" x14ac:dyDescent="0.25">
      <c r="A53" s="2">
        <v>13</v>
      </c>
      <c r="B53" s="3" t="s">
        <v>1259</v>
      </c>
      <c r="C53" s="51">
        <v>3.9421296296293096E-2</v>
      </c>
      <c r="D53" s="29">
        <f>INDEX('Points Summary'!$F$4:$F$1143,G53)</f>
        <v>45.608101996078105</v>
      </c>
      <c r="E53" s="124">
        <f t="shared" si="1"/>
        <v>0.46954407911046281</v>
      </c>
      <c r="F53" s="3"/>
      <c r="G53" s="2">
        <f>MATCH(B53,'Points Summary'!$B$4:$B$1144,0)</f>
        <v>387</v>
      </c>
      <c r="H53" s="2" t="s">
        <v>87</v>
      </c>
    </row>
    <row r="54" spans="1:8" x14ac:dyDescent="0.25">
      <c r="A54" s="2">
        <v>24</v>
      </c>
      <c r="B54" s="3" t="s">
        <v>1245</v>
      </c>
      <c r="C54" s="51">
        <v>3.6574074074073371E-2</v>
      </c>
      <c r="D54" s="29">
        <f>INDEX('Points Summary'!$F$4:$F$1143,G54)</f>
        <v>45.071504375300378</v>
      </c>
      <c r="E54" s="124">
        <f t="shared" si="1"/>
        <v>0.50609719412979026</v>
      </c>
      <c r="F54" s="3"/>
      <c r="G54" s="2">
        <f>MATCH(B54,'Points Summary'!$B$4:$B$1144,0)</f>
        <v>112</v>
      </c>
      <c r="H54" s="2" t="s">
        <v>64</v>
      </c>
    </row>
    <row r="55" spans="1:8" x14ac:dyDescent="0.25">
      <c r="A55" s="2">
        <v>6</v>
      </c>
      <c r="B55" s="3" t="s">
        <v>1255</v>
      </c>
      <c r="C55" s="51">
        <v>3.1574074074074074E-2</v>
      </c>
      <c r="D55" s="29" t="e">
        <f>INDEX('Points Summary'!$F$4:$F$1143,G55)</f>
        <v>#N/A</v>
      </c>
      <c r="E55" s="124">
        <f t="shared" si="1"/>
        <v>0.58624161783361683</v>
      </c>
      <c r="F55" s="3"/>
      <c r="G55" s="2" t="e">
        <f>MATCH(B55,'Points Summary'!$B$4:$B$1144,0)</f>
        <v>#N/A</v>
      </c>
      <c r="H55" s="2" t="s">
        <v>781</v>
      </c>
    </row>
    <row r="56" spans="1:8" x14ac:dyDescent="0.25">
      <c r="A56" s="2">
        <v>22</v>
      </c>
      <c r="B56" s="3" t="s">
        <v>1243</v>
      </c>
      <c r="C56" s="51">
        <v>3.5162037037033689E-2</v>
      </c>
      <c r="D56" s="29">
        <f>INDEX('Points Summary'!$F$4:$F$1143,G56)</f>
        <v>44.330678633518588</v>
      </c>
      <c r="E56" s="124">
        <f t="shared" si="1"/>
        <v>0.52642104458533867</v>
      </c>
      <c r="F56" s="3"/>
      <c r="G56" s="2">
        <f>MATCH(B56,'Points Summary'!$B$4:$B$1144,0)</f>
        <v>61</v>
      </c>
      <c r="H56" s="2" t="s">
        <v>62</v>
      </c>
    </row>
    <row r="57" spans="1:8" x14ac:dyDescent="0.25">
      <c r="A57" s="2">
        <v>15</v>
      </c>
      <c r="B57" s="3" t="s">
        <v>1261</v>
      </c>
      <c r="C57" s="51">
        <v>4.0104166666663943E-2</v>
      </c>
      <c r="D57" s="29">
        <f>INDEX('Points Summary'!$F$4:$F$1143,G57)</f>
        <v>43.719108705951157</v>
      </c>
      <c r="E57" s="124">
        <f t="shared" si="1"/>
        <v>0.46154895626268838</v>
      </c>
      <c r="F57" s="3"/>
      <c r="G57" s="2">
        <f>MATCH(B57,'Points Summary'!$B$4:$B$1144,0)</f>
        <v>46</v>
      </c>
      <c r="H57" s="2" t="s">
        <v>781</v>
      </c>
    </row>
    <row r="58" spans="1:8" x14ac:dyDescent="0.25">
      <c r="A58" s="2">
        <v>17</v>
      </c>
      <c r="B58" s="3" t="s">
        <v>1263</v>
      </c>
      <c r="C58" s="51">
        <v>4.9259259259257011E-2</v>
      </c>
      <c r="D58" s="29">
        <f>INDEX('Points Summary'!$F$4:$F$1143,G58)</f>
        <v>41.224138015960648</v>
      </c>
      <c r="E58" s="124">
        <f t="shared" si="1"/>
        <v>0.37576765353622638</v>
      </c>
      <c r="F58" s="3"/>
      <c r="G58" s="2">
        <f>MATCH(B58,'Points Summary'!$B$4:$B$1144,0)</f>
        <v>153</v>
      </c>
      <c r="H58" s="2" t="s">
        <v>781</v>
      </c>
    </row>
    <row r="59" spans="1:8" x14ac:dyDescent="0.25">
      <c r="A59" s="2">
        <v>30</v>
      </c>
      <c r="B59" s="3" t="s">
        <v>1249</v>
      </c>
      <c r="C59" s="51">
        <v>4.1747685185184402E-2</v>
      </c>
      <c r="D59" s="29">
        <f>INDEX('Points Summary'!$F$4:$F$1143,G59)</f>
        <v>39.77877333376739</v>
      </c>
      <c r="E59" s="124">
        <f t="shared" si="1"/>
        <v>0.44337874506518898</v>
      </c>
      <c r="F59" s="3"/>
      <c r="G59" s="2">
        <f>MATCH(B59,'Points Summary'!$B$4:$B$1144,0)</f>
        <v>283</v>
      </c>
      <c r="H59" s="2" t="s">
        <v>159</v>
      </c>
    </row>
    <row r="60" spans="1:8" x14ac:dyDescent="0.25">
      <c r="A60" s="2">
        <v>16</v>
      </c>
      <c r="B60" s="3" t="s">
        <v>1262</v>
      </c>
      <c r="C60" s="51">
        <v>4.5115740740738153E-2</v>
      </c>
      <c r="D60" s="29">
        <f>INDEX('Points Summary'!$F$4:$F$1143,G60)</f>
        <v>39.360236817448701</v>
      </c>
      <c r="E60" s="124">
        <f t="shared" si="1"/>
        <v>0.4102788951898918</v>
      </c>
      <c r="F60" s="3"/>
      <c r="G60" s="2">
        <f>MATCH(B60,'Points Summary'!$B$4:$B$1144,0)</f>
        <v>121</v>
      </c>
      <c r="H60" s="2" t="s">
        <v>159</v>
      </c>
    </row>
    <row r="61" spans="1:8" x14ac:dyDescent="0.25">
      <c r="A61" s="2">
        <v>31</v>
      </c>
      <c r="B61" s="3" t="s">
        <v>1250</v>
      </c>
      <c r="C61" s="51">
        <v>5.0289351851851849E-2</v>
      </c>
      <c r="D61" s="29">
        <f>INDEX('Points Summary'!$F$4:$F$1143,G61)</f>
        <v>39.111039911551323</v>
      </c>
      <c r="E61" s="124">
        <f t="shared" si="1"/>
        <v>0.36807068663984044</v>
      </c>
      <c r="F61" s="3"/>
      <c r="G61" s="2">
        <f>MATCH(B61,'Points Summary'!$B$4:$B$1144,0)</f>
        <v>285</v>
      </c>
      <c r="H61" s="2" t="s">
        <v>159</v>
      </c>
    </row>
    <row r="62" spans="1:8" x14ac:dyDescent="0.25">
      <c r="A62" s="2">
        <v>7</v>
      </c>
      <c r="B62" s="3" t="s">
        <v>1285</v>
      </c>
      <c r="C62" s="51">
        <v>2.5624999999999787E-2</v>
      </c>
      <c r="D62" s="29">
        <f>INDEX('Points Summary'!$F$4:$F$1143,G62)</f>
        <v>74.818918747524734</v>
      </c>
      <c r="E62" s="124">
        <f t="shared" si="1"/>
        <v>0.7223428787037578</v>
      </c>
      <c r="F62" s="3"/>
      <c r="G62" s="2">
        <f>MATCH(B62,'Points Summary'!$B$4:$B$1144,0)</f>
        <v>252</v>
      </c>
      <c r="H62" s="2" t="s">
        <v>88</v>
      </c>
    </row>
    <row r="63" spans="1:8" x14ac:dyDescent="0.25">
      <c r="A63" s="2">
        <v>10</v>
      </c>
      <c r="B63" s="3" t="s">
        <v>1293</v>
      </c>
      <c r="C63" s="51">
        <v>2.9618055555553691E-2</v>
      </c>
      <c r="D63" s="29">
        <f>INDEX('Points Summary'!$F$4:$F$1143,G63)</f>
        <v>67.297156904055669</v>
      </c>
      <c r="E63" s="124">
        <f t="shared" si="1"/>
        <v>0.62495784816342603</v>
      </c>
      <c r="F63" s="3"/>
      <c r="G63" s="2">
        <f>MATCH(B63,'Points Summary'!$B$4:$B$1144,0)</f>
        <v>107</v>
      </c>
      <c r="H63" s="2" t="s">
        <v>61</v>
      </c>
    </row>
    <row r="64" spans="1:8" x14ac:dyDescent="0.25">
      <c r="A64" s="2">
        <v>11</v>
      </c>
      <c r="B64" s="3" t="s">
        <v>1292</v>
      </c>
      <c r="C64" s="51">
        <v>3.0023148148144052E-2</v>
      </c>
      <c r="D64" s="29">
        <f>INDEX('Points Summary'!$F$4:$F$1143,G64)</f>
        <v>58.88165568946232</v>
      </c>
      <c r="E64" s="124">
        <f t="shared" si="1"/>
        <v>0.61652549477653229</v>
      </c>
      <c r="F64" s="3"/>
      <c r="G64" s="2">
        <f>MATCH(B64,'Points Summary'!$B$4:$B$1144,0)</f>
        <v>266</v>
      </c>
      <c r="H64" s="2" t="s">
        <v>62</v>
      </c>
    </row>
    <row r="65" spans="1:8" x14ac:dyDescent="0.25">
      <c r="A65" s="2">
        <v>25</v>
      </c>
      <c r="B65" s="3" t="s">
        <v>1246</v>
      </c>
      <c r="C65" s="51">
        <v>3.7569444444443156E-2</v>
      </c>
      <c r="D65" s="29">
        <f>INDEX('Points Summary'!$F$4:$F$1143,G65)</f>
        <v>0</v>
      </c>
      <c r="E65" s="124">
        <f t="shared" si="1"/>
        <v>0.49268858085340772</v>
      </c>
      <c r="F65" s="3"/>
      <c r="G65" s="2">
        <f>MATCH(B65,'Points Summary'!$B$4:$B$1144,0)</f>
        <v>23</v>
      </c>
      <c r="H65" s="2" t="s">
        <v>64</v>
      </c>
    </row>
    <row r="66" spans="1:8" x14ac:dyDescent="0.25">
      <c r="A66" s="2">
        <v>27</v>
      </c>
      <c r="B66" s="3" t="s">
        <v>1291</v>
      </c>
      <c r="C66" s="51">
        <v>3.9409722222222221E-2</v>
      </c>
      <c r="D66" s="29">
        <f>INDEX('Points Summary'!$F$4:$F$1143,G66)</f>
        <v>0</v>
      </c>
      <c r="E66" s="124">
        <f t="shared" si="1"/>
        <v>0.4696819775183867</v>
      </c>
      <c r="F66" s="3"/>
      <c r="G66" s="2">
        <f>MATCH(B66,'Points Summary'!$B$4:$B$1144,0)</f>
        <v>26</v>
      </c>
      <c r="H66" s="2" t="s">
        <v>122</v>
      </c>
    </row>
    <row r="67" spans="1:8" x14ac:dyDescent="0.25">
      <c r="A67" s="2">
        <v>28</v>
      </c>
      <c r="B67" s="3" t="s">
        <v>1294</v>
      </c>
      <c r="C67" s="51">
        <v>3.969907407407014E-2</v>
      </c>
      <c r="D67" s="29">
        <f>INDEX('Points Summary'!$F$4:$F$1143,G67)</f>
        <v>47.342994841832436</v>
      </c>
      <c r="E67" s="124">
        <f t="shared" si="1"/>
        <v>0.46625863948987317</v>
      </c>
      <c r="F67" s="3"/>
      <c r="G67" s="2">
        <f>MATCH(B67,'Points Summary'!$B$4:$B$1144,0)</f>
        <v>284</v>
      </c>
      <c r="H67" s="2" t="s">
        <v>89</v>
      </c>
    </row>
    <row r="68" spans="1:8" x14ac:dyDescent="0.25">
      <c r="A68" s="2">
        <v>4</v>
      </c>
      <c r="B68" s="3" t="s">
        <v>1299</v>
      </c>
      <c r="C68" s="51">
        <v>2.9814814814810409E-2</v>
      </c>
      <c r="D68" s="29">
        <f>INDEX('Points Summary'!$F$4:$F$1143,G68)</f>
        <v>55.488084335700002</v>
      </c>
      <c r="E68" s="124">
        <f t="shared" si="1"/>
        <v>0.62083351453817659</v>
      </c>
      <c r="F68" s="3"/>
      <c r="G68" s="2">
        <f>MATCH(B68,'Points Summary'!$B$4:$B$1144,0)</f>
        <v>216</v>
      </c>
      <c r="H68" s="2" t="s">
        <v>62</v>
      </c>
    </row>
    <row r="69" spans="1:8" x14ac:dyDescent="0.25">
      <c r="A69" s="2">
        <v>7</v>
      </c>
      <c r="B69" s="3" t="s">
        <v>1290</v>
      </c>
      <c r="C69" s="51">
        <v>3.5486111111107665E-2</v>
      </c>
      <c r="D69" s="29">
        <f>INDEX('Points Summary'!$F$4:$F$1143,G69)</f>
        <v>0</v>
      </c>
      <c r="E69" s="124">
        <f t="shared" si="1"/>
        <v>0.52161354646127267</v>
      </c>
      <c r="F69" s="3"/>
      <c r="G69" s="2">
        <f>MATCH(B69,'Points Summary'!$B$4:$B$1144,0)</f>
        <v>368</v>
      </c>
      <c r="H69" s="2" t="s">
        <v>61</v>
      </c>
    </row>
    <row r="70" spans="1:8" x14ac:dyDescent="0.25">
      <c r="A70" s="2">
        <v>10</v>
      </c>
      <c r="B70" s="3" t="s">
        <v>1258</v>
      </c>
      <c r="C70" s="51">
        <v>3.7743055555552241E-2</v>
      </c>
      <c r="D70" s="29">
        <f>INDEX('Points Summary'!$F$4:$F$1143,G70)</f>
        <v>0</v>
      </c>
      <c r="E70" s="124">
        <f t="shared" si="1"/>
        <v>0.49042230403258114</v>
      </c>
      <c r="F70" s="3"/>
      <c r="G70" s="2">
        <f>MATCH(B70,'Points Summary'!$B$4:$B$1144,0)</f>
        <v>300</v>
      </c>
      <c r="H70" s="2" t="s">
        <v>59</v>
      </c>
    </row>
    <row r="71" spans="1:8" x14ac:dyDescent="0.25">
      <c r="A71" s="2">
        <v>11</v>
      </c>
      <c r="B71" s="3" t="s">
        <v>132</v>
      </c>
      <c r="C71" s="51">
        <v>3.7962962962959923E-2</v>
      </c>
      <c r="D71" s="29">
        <f>INDEX('Points Summary'!$F$4:$F$1143,G71)</f>
        <v>46.5521889772631</v>
      </c>
      <c r="E71" s="124">
        <f t="shared" si="1"/>
        <v>0.48758144312507151</v>
      </c>
      <c r="F71" s="3"/>
      <c r="G71" s="2">
        <f>MATCH(B71,'Points Summary'!$B$4:$B$1144,0)</f>
        <v>398</v>
      </c>
      <c r="H71" s="2" t="s">
        <v>79</v>
      </c>
    </row>
    <row r="72" spans="1:8" x14ac:dyDescent="0.25">
      <c r="A72" s="2">
        <v>12</v>
      </c>
      <c r="B72" s="3" t="s">
        <v>225</v>
      </c>
      <c r="C72" s="51">
        <v>3.7997685185181818E-2</v>
      </c>
      <c r="D72" s="29">
        <f>INDEX('Points Summary'!$F$4:$F$1143,G72)</f>
        <v>43.181857403404642</v>
      </c>
      <c r="E72" s="124">
        <f t="shared" ref="E72:E81" si="2">(AVERAGE($D$8:$D$12)/100*AVERAGE($C$8:$C$12))/C72</f>
        <v>0.48713589200434004</v>
      </c>
      <c r="F72" s="3"/>
      <c r="G72" s="2">
        <f>MATCH(B72,'Points Summary'!$B$4:$B$1144,0)</f>
        <v>257</v>
      </c>
      <c r="H72" s="2" t="s">
        <v>79</v>
      </c>
    </row>
    <row r="73" spans="1:8" x14ac:dyDescent="0.25">
      <c r="A73" s="2">
        <v>14</v>
      </c>
      <c r="B73" s="3" t="s">
        <v>1260</v>
      </c>
      <c r="C73" s="51">
        <v>3.9953703703700272E-2</v>
      </c>
      <c r="D73" s="29">
        <f>INDEX('Points Summary'!$F$4:$F$1143,G73)</f>
        <v>0</v>
      </c>
      <c r="E73" s="124">
        <f t="shared" si="2"/>
        <v>0.4632871186124693</v>
      </c>
      <c r="F73" s="3"/>
      <c r="G73" s="2">
        <f>MATCH(B73,'Points Summary'!$B$4:$B$1144,0)</f>
        <v>74</v>
      </c>
      <c r="H73" s="2" t="s">
        <v>781</v>
      </c>
    </row>
    <row r="74" spans="1:8" x14ac:dyDescent="0.25">
      <c r="A74" s="2">
        <v>18</v>
      </c>
      <c r="B74" s="3" t="s">
        <v>1289</v>
      </c>
      <c r="C74" s="51">
        <v>5.1122685185181982E-2</v>
      </c>
      <c r="D74" s="29">
        <f>INDEX('Points Summary'!$F$4:$F$1143,G74)</f>
        <v>0</v>
      </c>
      <c r="E74" s="124">
        <f t="shared" si="2"/>
        <v>0.36207089278927029</v>
      </c>
      <c r="F74" s="3"/>
      <c r="G74" s="2">
        <f>MATCH(B74,'Points Summary'!$B$4:$B$1144,0)</f>
        <v>455</v>
      </c>
      <c r="H74" s="2" t="s">
        <v>75</v>
      </c>
    </row>
    <row r="75" spans="1:8" x14ac:dyDescent="0.25">
      <c r="A75" s="2">
        <v>19</v>
      </c>
      <c r="B75" s="3" t="s">
        <v>1287</v>
      </c>
      <c r="C75" s="51">
        <v>5.1446759259255403E-2</v>
      </c>
      <c r="D75" s="29">
        <f>INDEX('Points Summary'!$F$4:$F$1143,G75)</f>
        <v>0</v>
      </c>
      <c r="E75" s="124">
        <f t="shared" si="2"/>
        <v>0.35979013125989345</v>
      </c>
      <c r="F75" s="3"/>
      <c r="G75" s="2">
        <f>MATCH(B75,'Points Summary'!$B$4:$B$1144,0)</f>
        <v>3</v>
      </c>
      <c r="H75" s="2" t="s">
        <v>159</v>
      </c>
    </row>
    <row r="76" spans="1:8" x14ac:dyDescent="0.25">
      <c r="A76" s="2">
        <v>20</v>
      </c>
      <c r="B76" s="3" t="s">
        <v>1288</v>
      </c>
      <c r="C76" s="51">
        <v>5.5046296296293429E-2</v>
      </c>
      <c r="D76" s="29">
        <f>INDEX('Points Summary'!$F$4:$F$1143,G76)</f>
        <v>0</v>
      </c>
      <c r="E76" s="124">
        <f t="shared" si="2"/>
        <v>0.33626306422417784</v>
      </c>
      <c r="F76" s="3"/>
      <c r="G76" s="2">
        <f>MATCH(B76,'Points Summary'!$B$4:$B$1144,0)</f>
        <v>210</v>
      </c>
      <c r="H76" s="2" t="s">
        <v>75</v>
      </c>
    </row>
    <row r="77" spans="1:8" x14ac:dyDescent="0.25">
      <c r="A77" s="2">
        <v>21</v>
      </c>
      <c r="B77" s="3" t="s">
        <v>1264</v>
      </c>
      <c r="C77" s="51">
        <v>6.0104166666663073E-2</v>
      </c>
      <c r="D77" s="29">
        <f>INDEX('Points Summary'!$F$4:$F$1143,G77)</f>
        <v>0</v>
      </c>
      <c r="E77" s="124">
        <f t="shared" si="2"/>
        <v>0.30796594135378436</v>
      </c>
      <c r="F77" s="3"/>
      <c r="G77" s="2">
        <f>MATCH(B77,'Points Summary'!$B$4:$B$1144,0)</f>
        <v>59</v>
      </c>
      <c r="H77" s="2" t="s">
        <v>57</v>
      </c>
    </row>
    <row r="78" spans="1:8" x14ac:dyDescent="0.25">
      <c r="A78" s="2">
        <v>3</v>
      </c>
      <c r="B78" s="3" t="s">
        <v>1286</v>
      </c>
      <c r="C78" s="51">
        <v>2.5428240740738906E-2</v>
      </c>
      <c r="D78" s="29">
        <f>INDEX('Points Summary'!$F$4:$F$1143,G78)</f>
        <v>71.480726370714407</v>
      </c>
      <c r="E78" s="124">
        <f t="shared" si="2"/>
        <v>0.72793224098781151</v>
      </c>
      <c r="F78" s="3"/>
      <c r="G78" s="2">
        <f>MATCH(B78,'Points Summary'!$B$4:$B$1144,0)</f>
        <v>442</v>
      </c>
      <c r="H78" s="2" t="s">
        <v>63</v>
      </c>
    </row>
    <row r="79" spans="1:8" x14ac:dyDescent="0.25">
      <c r="A79" s="2">
        <v>8</v>
      </c>
      <c r="B79" s="3" t="s">
        <v>1295</v>
      </c>
      <c r="C79" s="51">
        <v>3.0196759259255301E-2</v>
      </c>
      <c r="D79" s="29">
        <f>INDEX('Points Summary'!$F$4:$F$1143,G79)</f>
        <v>55.404980572977784</v>
      </c>
      <c r="E79" s="124">
        <f t="shared" si="2"/>
        <v>0.61298088671917061</v>
      </c>
      <c r="F79" s="3"/>
      <c r="G79" s="2">
        <f>MATCH(B79,'Points Summary'!$B$4:$B$1144,0)</f>
        <v>21</v>
      </c>
      <c r="H79" s="2" t="s">
        <v>69</v>
      </c>
    </row>
    <row r="80" spans="1:8" x14ac:dyDescent="0.25">
      <c r="A80" s="2">
        <v>21</v>
      </c>
      <c r="B80" s="3" t="s">
        <v>680</v>
      </c>
      <c r="C80" s="51">
        <v>4.7824074074072354E-2</v>
      </c>
      <c r="D80" s="29">
        <f>INDEX('Points Summary'!$F$4:$F$1143,G80)</f>
        <v>44.469678092686884</v>
      </c>
      <c r="E80" s="124">
        <f t="shared" si="2"/>
        <v>0.38704432077690321</v>
      </c>
      <c r="F80" s="3"/>
      <c r="G80" s="2">
        <f>MATCH(B80,'Points Summary'!$B$4:$B$1144,0)</f>
        <v>259</v>
      </c>
      <c r="H80" s="2" t="s">
        <v>77</v>
      </c>
    </row>
    <row r="81" spans="1:8" x14ac:dyDescent="0.25">
      <c r="A81" s="2">
        <v>22</v>
      </c>
      <c r="B81" s="3" t="s">
        <v>1283</v>
      </c>
      <c r="C81" s="51">
        <v>5.094907407407212E-2</v>
      </c>
      <c r="D81" s="29">
        <f>INDEX('Points Summary'!$F$4:$F$1143,G81)</f>
        <v>0</v>
      </c>
      <c r="E81" s="124">
        <f t="shared" si="2"/>
        <v>0.36330466457295951</v>
      </c>
      <c r="F81" s="3"/>
      <c r="G81" s="2">
        <f>MATCH(B81,'Points Summary'!$B$4:$B$1144,0)</f>
        <v>154</v>
      </c>
      <c r="H81" s="2" t="s">
        <v>63</v>
      </c>
    </row>
    <row r="82" spans="1:8" x14ac:dyDescent="0.25">
      <c r="A82" s="2"/>
      <c r="B82" s="3"/>
      <c r="C82" s="51"/>
      <c r="D82" s="29"/>
      <c r="E82" s="124"/>
      <c r="F82" s="3"/>
      <c r="G82" s="2"/>
    </row>
    <row r="83" spans="1:8" x14ac:dyDescent="0.25">
      <c r="A83" s="2"/>
      <c r="B83" s="3"/>
      <c r="C83" s="51"/>
      <c r="D83" s="29"/>
      <c r="E83" s="124"/>
      <c r="F83" s="3"/>
      <c r="G83" s="2"/>
    </row>
    <row r="84" spans="1:8" x14ac:dyDescent="0.25">
      <c r="A84" s="2"/>
      <c r="B84" s="3"/>
      <c r="C84" s="51"/>
      <c r="D84" s="29"/>
      <c r="E84" s="124"/>
      <c r="F84" s="3"/>
      <c r="G84" s="2"/>
    </row>
    <row r="85" spans="1:8" x14ac:dyDescent="0.25">
      <c r="A85" s="2"/>
      <c r="B85" s="3"/>
      <c r="C85" s="51"/>
      <c r="D85" s="29"/>
      <c r="E85" s="124"/>
      <c r="F85" s="3"/>
      <c r="G85" s="2"/>
    </row>
    <row r="86" spans="1:8" x14ac:dyDescent="0.25">
      <c r="A86" s="2"/>
      <c r="B86" s="3"/>
      <c r="C86" s="51"/>
      <c r="D86" s="29"/>
      <c r="E86" s="124"/>
      <c r="F86" s="3"/>
      <c r="G86" s="2"/>
    </row>
    <row r="87" spans="1:8" x14ac:dyDescent="0.25">
      <c r="A87" s="2"/>
      <c r="B87" s="3"/>
      <c r="C87" s="51"/>
      <c r="D87" s="29"/>
      <c r="E87" s="124"/>
      <c r="F87" s="3"/>
      <c r="G87" s="2"/>
    </row>
  </sheetData>
  <sortState ref="A8:H61">
    <sortCondition descending="1" ref="D8:D61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  <oddFooter xml:space="preserve">&amp;R&amp;"Tahoma,Bold"&amp;11 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workbookViewId="0">
      <selection activeCell="B1" sqref="B1:B9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1305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43167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708</v>
      </c>
      <c r="C5" s="22"/>
      <c r="D5" s="22"/>
      <c r="E5" s="22" t="s">
        <v>55</v>
      </c>
      <c r="F5" s="38">
        <f>AVERAGE(C8:C11)*(AVERAGE(D8:D11)/100)</f>
        <v>1.7132446903439416E-2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16</v>
      </c>
      <c r="B8" s="3" t="s">
        <v>84</v>
      </c>
      <c r="C8" s="51">
        <v>1.712962962962963E-2</v>
      </c>
      <c r="D8" s="29">
        <f>INDEX('Points Summary'!$F$4:$F$1143,G8)</f>
        <v>99.460903353359868</v>
      </c>
      <c r="E8" s="124">
        <f>(AVERAGE($D$8:$D$11)/100*AVERAGE($C$8:$C$11))/C8</f>
        <v>1.0001644678764632</v>
      </c>
      <c r="F8" s="3"/>
      <c r="G8" s="2">
        <f>MATCH(B8,'Points Summary'!$B$4:$B$1144,0)</f>
        <v>13</v>
      </c>
    </row>
    <row r="9" spans="1:7" x14ac:dyDescent="0.25">
      <c r="A9" s="2">
        <v>16</v>
      </c>
      <c r="B9" s="3" t="s">
        <v>70</v>
      </c>
      <c r="C9" s="51">
        <v>1.714699074074074E-2</v>
      </c>
      <c r="D9" s="29">
        <f>INDEX('Points Summary'!$F$4:$F$1143,G9)</f>
        <v>95.945007171519649</v>
      </c>
      <c r="E9" s="124">
        <f>(AVERAGE($D$8:$D$11)/100*AVERAGE($C$8:$C$11))/C9</f>
        <v>0.99915181401091158</v>
      </c>
      <c r="F9" s="3"/>
      <c r="G9" s="2">
        <f>MATCH(B9,'Points Summary'!$B$4:$B$1144,0)</f>
        <v>309</v>
      </c>
    </row>
    <row r="10" spans="1:7" x14ac:dyDescent="0.25">
      <c r="A10" s="2">
        <v>35</v>
      </c>
      <c r="B10" s="3" t="s">
        <v>189</v>
      </c>
      <c r="C10" s="51">
        <v>1.7607638888888891E-2</v>
      </c>
      <c r="D10" s="29">
        <f>INDEX('Points Summary'!$F$4:$F$1143,G10)</f>
        <v>98.820210613063381</v>
      </c>
      <c r="E10" s="124">
        <f>(AVERAGE($D$8:$D$11)/100*AVERAGE($C$8:$C$11))/C10</f>
        <v>0.97301216884057407</v>
      </c>
      <c r="F10" s="3"/>
      <c r="G10" s="2">
        <f>MATCH(B10,'Points Summary'!$B$4:$B$1144,0)</f>
        <v>120</v>
      </c>
    </row>
    <row r="11" spans="1:7" x14ac:dyDescent="0.25">
      <c r="A11" s="2">
        <v>38</v>
      </c>
      <c r="B11" s="3" t="s">
        <v>7</v>
      </c>
      <c r="C11" s="51">
        <v>1.7681712962962962E-2</v>
      </c>
      <c r="D11" s="29">
        <f>INDEX('Points Summary'!$F$4:$F$1143,G11)</f>
        <v>99.815882011789284</v>
      </c>
      <c r="E11" s="124">
        <f>(AVERAGE($D$8:$D$11)/100*AVERAGE($C$8:$C$11))/C11</f>
        <v>0.9689359248917756</v>
      </c>
      <c r="F11" s="3"/>
      <c r="G11" s="2">
        <f>MATCH(B11,'Points Summary'!$B$4:$B$1144,0)</f>
        <v>63</v>
      </c>
    </row>
    <row r="12" spans="1:7" x14ac:dyDescent="0.25">
      <c r="A12" s="2">
        <v>68</v>
      </c>
      <c r="B12" s="3" t="s">
        <v>795</v>
      </c>
      <c r="C12" s="51">
        <v>1.8225694444444444E-2</v>
      </c>
      <c r="D12" s="29">
        <f>INDEX('Points Summary'!$F$4:$F$1143,G12)</f>
        <v>92.674366002181756</v>
      </c>
      <c r="E12" s="124">
        <f>(AVERAGE($D$8:$D$11)/100*AVERAGE($C$8:$C$11))/C12</f>
        <v>0.94001613796733707</v>
      </c>
      <c r="F12" s="3"/>
      <c r="G12" s="2">
        <f>MATCH(B12,'Points Summary'!$B$4:$B$1144,0)</f>
        <v>201</v>
      </c>
    </row>
    <row r="13" spans="1:7" x14ac:dyDescent="0.25">
      <c r="A13" s="2"/>
      <c r="B13" s="3"/>
      <c r="C13" s="51"/>
      <c r="D13" s="29"/>
      <c r="E13" s="124"/>
      <c r="F13" s="3"/>
      <c r="G13" s="2"/>
    </row>
    <row r="14" spans="1:7" x14ac:dyDescent="0.25">
      <c r="A14" s="2"/>
      <c r="B14" s="3"/>
      <c r="C14" s="51"/>
      <c r="D14" s="29"/>
      <c r="E14" s="124"/>
      <c r="F14" s="3"/>
      <c r="G14" s="2"/>
    </row>
    <row r="15" spans="1:7" x14ac:dyDescent="0.25">
      <c r="A15" s="2"/>
      <c r="B15" s="3"/>
      <c r="C15" s="51"/>
      <c r="D15" s="29"/>
      <c r="E15" s="124"/>
      <c r="F15" s="3"/>
      <c r="G15" s="2"/>
    </row>
    <row r="16" spans="1:7" x14ac:dyDescent="0.25">
      <c r="A16" s="2"/>
      <c r="B16" s="3"/>
      <c r="C16" s="51"/>
      <c r="D16" s="29"/>
      <c r="E16" s="124"/>
      <c r="F16" s="3"/>
      <c r="G16" s="2"/>
    </row>
    <row r="17" spans="1:7" x14ac:dyDescent="0.25">
      <c r="A17" s="2"/>
      <c r="B17" s="3"/>
      <c r="C17" s="51"/>
      <c r="D17" s="29"/>
      <c r="E17" s="124"/>
      <c r="F17" s="3"/>
      <c r="G17" s="2"/>
    </row>
    <row r="18" spans="1:7" x14ac:dyDescent="0.25">
      <c r="A18" s="2"/>
      <c r="B18" s="3"/>
      <c r="C18" s="51"/>
      <c r="D18" s="29"/>
      <c r="E18" s="124"/>
      <c r="F18" s="3"/>
      <c r="G18" s="2"/>
    </row>
    <row r="19" spans="1:7" x14ac:dyDescent="0.25">
      <c r="A19" s="2"/>
      <c r="B19" s="3"/>
      <c r="C19" s="51"/>
      <c r="D19" s="29"/>
      <c r="E19" s="124"/>
      <c r="F19" s="3"/>
      <c r="G19" s="2"/>
    </row>
    <row r="20" spans="1:7" x14ac:dyDescent="0.25">
      <c r="A20" s="2"/>
      <c r="B20" s="3"/>
      <c r="C20" s="51"/>
      <c r="D20" s="29"/>
      <c r="E20" s="124"/>
      <c r="F20" s="3"/>
      <c r="G20" s="2"/>
    </row>
    <row r="21" spans="1:7" x14ac:dyDescent="0.25">
      <c r="A21" s="2"/>
      <c r="B21" s="3"/>
      <c r="C21" s="51"/>
      <c r="D21" s="29"/>
      <c r="E21" s="124"/>
      <c r="F21" s="3"/>
      <c r="G21" s="2"/>
    </row>
    <row r="22" spans="1:7" x14ac:dyDescent="0.25">
      <c r="A22" s="2"/>
      <c r="B22" s="3"/>
      <c r="C22" s="51"/>
      <c r="D22" s="29"/>
      <c r="E22" s="124"/>
      <c r="F22" s="3"/>
      <c r="G22" s="2"/>
    </row>
    <row r="23" spans="1:7" x14ac:dyDescent="0.25">
      <c r="A23" s="2"/>
      <c r="B23" s="3"/>
      <c r="C23" s="51"/>
      <c r="D23" s="29"/>
      <c r="E23" s="124"/>
      <c r="F23" s="3"/>
      <c r="G23" s="2"/>
    </row>
    <row r="24" spans="1:7" x14ac:dyDescent="0.25">
      <c r="A24" s="2"/>
      <c r="B24" s="3"/>
      <c r="C24" s="51"/>
      <c r="D24" s="29"/>
      <c r="E24" s="124"/>
      <c r="F24" s="3"/>
      <c r="G24" s="2"/>
    </row>
    <row r="25" spans="1:7" x14ac:dyDescent="0.25">
      <c r="A25" s="2"/>
      <c r="B25" s="3"/>
      <c r="C25" s="51"/>
      <c r="D25" s="29"/>
      <c r="E25" s="124"/>
      <c r="F25" s="3"/>
      <c r="G25" s="2"/>
    </row>
    <row r="26" spans="1:7" x14ac:dyDescent="0.25">
      <c r="A26" s="42"/>
      <c r="B26" s="3"/>
      <c r="C26" s="51"/>
      <c r="D26" s="29"/>
      <c r="E26" s="124"/>
      <c r="F26" s="3"/>
      <c r="G26" s="2"/>
    </row>
    <row r="27" spans="1:7" x14ac:dyDescent="0.25">
      <c r="B27" s="3"/>
    </row>
  </sheetData>
  <sortState ref="A8:G26">
    <sortCondition descending="1" ref="D8:D26"/>
  </sortState>
  <phoneticPr fontId="9" type="noConversion"/>
  <printOptions horizontalCentered="1"/>
  <pageMargins left="0.75" right="0.75" top="1" bottom="1" header="0.5" footer="0.5"/>
  <pageSetup orientation="portrait" horizontalDpi="200" verticalDpi="200" r:id="rId1"/>
  <headerFooter alignWithMargins="0">
    <oddHeader>&amp;L&amp;"Tahoma,Bold"&amp;11U.S. Biathlon Association&amp;R&amp;"Tahoma,Bold"&amp;11 2018 Race Points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workbookViewId="0">
      <selection activeCell="F6" sqref="F6"/>
    </sheetView>
  </sheetViews>
  <sheetFormatPr defaultRowHeight="13.2" x14ac:dyDescent="0.25"/>
  <cols>
    <col min="2" max="2" width="20.6640625" customWidth="1"/>
    <col min="3" max="7" width="9.6640625" customWidth="1"/>
  </cols>
  <sheetData>
    <row r="1" spans="1:7" x14ac:dyDescent="0.25">
      <c r="A1" s="16" t="s">
        <v>22</v>
      </c>
      <c r="B1" s="17" t="s">
        <v>1015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43078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43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884</v>
      </c>
      <c r="C5" s="22"/>
      <c r="D5" s="22"/>
      <c r="E5" s="22" t="s">
        <v>55</v>
      </c>
      <c r="F5" s="38">
        <f>AVERAGE(C8:C9)*(AVERAGE(D8:D9)/100)</f>
        <v>2.516278993279885E-2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17</v>
      </c>
      <c r="B8" s="114" t="s">
        <v>189</v>
      </c>
      <c r="C8" s="51">
        <v>2.5866898148148153E-2</v>
      </c>
      <c r="D8" s="29">
        <f>INDEX('Points Summary'!$H$4:$H$1143,G8)</f>
        <v>93.909537275665315</v>
      </c>
      <c r="E8" s="124">
        <f>(AVERAGE($D$8:$D$12)/100*AVERAGE($C$8:$C$12))/C8</f>
        <v>0.97277956516793607</v>
      </c>
      <c r="F8" s="3"/>
      <c r="G8" s="2">
        <f>MATCH(B8,'Points Summary'!$B$4:$B$1144,0)</f>
        <v>120</v>
      </c>
    </row>
    <row r="9" spans="1:7" x14ac:dyDescent="0.25">
      <c r="A9" s="2">
        <v>36</v>
      </c>
      <c r="B9" s="114" t="s">
        <v>84</v>
      </c>
      <c r="C9" s="51">
        <v>2.6038194444444447E-2</v>
      </c>
      <c r="D9" s="29">
        <f>INDEX('Points Summary'!$H$4:$H$1143,G9)</f>
        <v>100.00430567075759</v>
      </c>
      <c r="E9" s="124">
        <f>(AVERAGE($D$8:$D$12)/100*AVERAGE($C$8:$C$12))/C9</f>
        <v>0.96637998408402026</v>
      </c>
      <c r="F9" s="3"/>
      <c r="G9" s="2">
        <f>MATCH(B9,'Points Summary'!$B$4:$B$1144,0)</f>
        <v>13</v>
      </c>
    </row>
    <row r="10" spans="1:7" x14ac:dyDescent="0.25">
      <c r="A10" s="2"/>
      <c r="C10" s="51"/>
      <c r="D10" s="29"/>
      <c r="E10" s="124"/>
      <c r="F10" s="3"/>
      <c r="G10" s="2"/>
    </row>
    <row r="11" spans="1:7" x14ac:dyDescent="0.25">
      <c r="A11" s="2"/>
      <c r="C11" s="51"/>
      <c r="D11" s="29"/>
      <c r="E11" s="124"/>
      <c r="F11" s="3"/>
      <c r="G11" s="2"/>
    </row>
    <row r="12" spans="1:7" x14ac:dyDescent="0.25">
      <c r="A12" s="2"/>
      <c r="C12" s="51"/>
      <c r="D12" s="29"/>
      <c r="E12" s="124"/>
      <c r="F12" s="3"/>
      <c r="G12" s="2"/>
    </row>
    <row r="13" spans="1:7" x14ac:dyDescent="0.25">
      <c r="A13" s="2"/>
      <c r="C13" s="51">
        <v>2.5475694444444447E-2</v>
      </c>
      <c r="D13" s="51">
        <v>1.5370370370370371E-3</v>
      </c>
      <c r="E13" s="51">
        <f>C13+D13</f>
        <v>2.7012731481481485E-2</v>
      </c>
      <c r="F13" s="51">
        <f>E13-TIME(0,1,39)</f>
        <v>2.5866898148148153E-2</v>
      </c>
      <c r="G13" s="2"/>
    </row>
    <row r="14" spans="1:7" x14ac:dyDescent="0.25">
      <c r="A14" s="2"/>
      <c r="B14" s="114"/>
      <c r="C14" s="51">
        <v>2.5475694444444447E-2</v>
      </c>
      <c r="D14" s="51">
        <v>2.3217592592592591E-3</v>
      </c>
      <c r="E14" s="51">
        <f>C14+D14</f>
        <v>2.7797453703703706E-2</v>
      </c>
      <c r="F14" s="51">
        <f>E14-TIME(0,2,32)</f>
        <v>2.6038194444444447E-2</v>
      </c>
      <c r="G14" s="2"/>
    </row>
    <row r="15" spans="1:7" x14ac:dyDescent="0.25">
      <c r="A15" s="2"/>
      <c r="C15" s="51"/>
      <c r="D15" s="29"/>
      <c r="E15" s="124"/>
      <c r="F15" s="3"/>
      <c r="G15" s="2"/>
    </row>
    <row r="16" spans="1:7" x14ac:dyDescent="0.25">
      <c r="A16" s="2"/>
      <c r="C16" s="51"/>
      <c r="D16" s="29"/>
      <c r="E16" s="124"/>
      <c r="F16" s="3"/>
      <c r="G16" s="2"/>
    </row>
    <row r="17" spans="1:7" x14ac:dyDescent="0.25">
      <c r="A17" s="2"/>
      <c r="C17" s="51"/>
      <c r="D17" s="29"/>
      <c r="E17" s="124"/>
      <c r="F17" s="3"/>
      <c r="G17" s="2"/>
    </row>
    <row r="18" spans="1:7" x14ac:dyDescent="0.25">
      <c r="A18" s="2"/>
      <c r="C18" s="51"/>
      <c r="D18" s="29"/>
      <c r="E18" s="124"/>
      <c r="F18" s="3"/>
      <c r="G18" s="2"/>
    </row>
    <row r="19" spans="1:7" x14ac:dyDescent="0.25">
      <c r="A19" s="2"/>
      <c r="C19" s="51"/>
      <c r="D19" s="29"/>
      <c r="E19" s="124"/>
      <c r="F19" s="3"/>
      <c r="G19" s="2"/>
    </row>
    <row r="20" spans="1:7" x14ac:dyDescent="0.25">
      <c r="A20" s="2"/>
      <c r="B20" s="114"/>
      <c r="C20" s="51"/>
      <c r="D20" s="29"/>
      <c r="E20" s="124"/>
      <c r="F20" s="3"/>
      <c r="G20" s="2"/>
    </row>
    <row r="21" spans="1:7" x14ac:dyDescent="0.25">
      <c r="A21" s="2"/>
      <c r="B21" s="114"/>
      <c r="C21" s="156"/>
      <c r="D21" s="29"/>
      <c r="E21" s="124"/>
      <c r="F21" s="3"/>
      <c r="G21" s="2"/>
    </row>
    <row r="22" spans="1:7" x14ac:dyDescent="0.25">
      <c r="A22" s="2"/>
      <c r="C22" s="51"/>
      <c r="D22" s="29"/>
      <c r="E22" s="124"/>
      <c r="F22" s="3"/>
      <c r="G22" s="2"/>
    </row>
    <row r="23" spans="1:7" x14ac:dyDescent="0.25">
      <c r="A23" s="2"/>
      <c r="C23" s="51"/>
      <c r="D23" s="29"/>
      <c r="E23" s="124"/>
      <c r="F23" s="3"/>
      <c r="G23" s="2"/>
    </row>
    <row r="24" spans="1:7" x14ac:dyDescent="0.25">
      <c r="A24" s="2"/>
      <c r="C24" s="51"/>
      <c r="D24" s="29"/>
      <c r="E24" s="124"/>
      <c r="F24" s="3"/>
      <c r="G24" s="2"/>
    </row>
    <row r="25" spans="1:7" x14ac:dyDescent="0.25">
      <c r="A25" s="2"/>
      <c r="B25" s="114"/>
      <c r="C25" s="51"/>
      <c r="D25" s="29"/>
      <c r="E25" s="124"/>
      <c r="F25" s="3"/>
      <c r="G25" s="2"/>
    </row>
    <row r="26" spans="1:7" x14ac:dyDescent="0.25">
      <c r="A26" s="2"/>
      <c r="C26" s="51"/>
      <c r="D26" s="29"/>
      <c r="E26" s="124"/>
      <c r="F26" s="3"/>
      <c r="G26" s="2"/>
    </row>
    <row r="27" spans="1:7" x14ac:dyDescent="0.25">
      <c r="A27" s="2"/>
      <c r="C27" s="51"/>
      <c r="D27" s="29"/>
      <c r="E27" s="124"/>
      <c r="F27" s="3"/>
      <c r="G27" s="2"/>
    </row>
    <row r="28" spans="1:7" x14ac:dyDescent="0.25">
      <c r="A28" s="2"/>
      <c r="B28" s="114"/>
      <c r="C28" s="156"/>
      <c r="D28" s="29"/>
      <c r="E28" s="124"/>
      <c r="F28" s="3"/>
      <c r="G28" s="2"/>
    </row>
    <row r="29" spans="1:7" x14ac:dyDescent="0.25">
      <c r="A29" s="2"/>
      <c r="C29" s="51"/>
      <c r="D29" s="29"/>
      <c r="E29" s="124"/>
      <c r="F29" s="3"/>
      <c r="G29" s="2"/>
    </row>
    <row r="30" spans="1:7" x14ac:dyDescent="0.25">
      <c r="A30" s="2"/>
      <c r="B30" s="3"/>
      <c r="C30" s="51"/>
      <c r="D30" s="29"/>
      <c r="E30" s="124"/>
      <c r="F30" s="3"/>
      <c r="G30" s="2"/>
    </row>
    <row r="31" spans="1:7" x14ac:dyDescent="0.25">
      <c r="A31" s="2"/>
      <c r="B31" s="114"/>
      <c r="C31" s="156"/>
      <c r="D31" s="29"/>
      <c r="E31" s="124"/>
      <c r="F31" s="3"/>
      <c r="G31" s="2"/>
    </row>
    <row r="32" spans="1:7" x14ac:dyDescent="0.25">
      <c r="A32" s="2"/>
      <c r="B32" s="114"/>
      <c r="C32" s="156"/>
      <c r="D32" s="29"/>
      <c r="E32" s="124"/>
      <c r="F32" s="3"/>
      <c r="G32" s="2"/>
    </row>
    <row r="33" spans="1:7" x14ac:dyDescent="0.25">
      <c r="A33" s="2"/>
      <c r="C33" s="51"/>
      <c r="D33" s="29"/>
      <c r="E33" s="124"/>
      <c r="F33" s="3"/>
      <c r="G33" s="2"/>
    </row>
    <row r="34" spans="1:7" x14ac:dyDescent="0.25">
      <c r="A34" s="2"/>
      <c r="B34" s="114"/>
      <c r="C34" s="156"/>
      <c r="D34" s="29"/>
      <c r="E34" s="124"/>
      <c r="F34" s="3"/>
      <c r="G34" s="2"/>
    </row>
    <row r="35" spans="1:7" x14ac:dyDescent="0.25">
      <c r="A35" s="2"/>
      <c r="B35" s="3"/>
      <c r="C35" s="51"/>
      <c r="D35" s="29"/>
      <c r="E35" s="124"/>
      <c r="F35" s="3"/>
      <c r="G35" s="2"/>
    </row>
    <row r="36" spans="1:7" x14ac:dyDescent="0.25">
      <c r="A36" s="2"/>
      <c r="B36" s="75"/>
      <c r="C36" s="51"/>
      <c r="D36" s="29"/>
      <c r="E36" s="124"/>
      <c r="F36" s="3"/>
      <c r="G36" s="2"/>
    </row>
    <row r="37" spans="1:7" x14ac:dyDescent="0.25">
      <c r="A37" s="2"/>
      <c r="C37" s="51"/>
      <c r="D37" s="29"/>
      <c r="E37" s="124"/>
      <c r="F37" s="3"/>
      <c r="G37" s="2"/>
    </row>
    <row r="38" spans="1:7" x14ac:dyDescent="0.25">
      <c r="A38" s="2"/>
      <c r="C38" s="51"/>
      <c r="D38" s="29"/>
      <c r="E38" s="124"/>
      <c r="F38" s="3"/>
      <c r="G38" s="2"/>
    </row>
    <row r="39" spans="1:7" x14ac:dyDescent="0.25">
      <c r="C39" s="51"/>
    </row>
    <row r="40" spans="1:7" x14ac:dyDescent="0.25">
      <c r="C40" s="51"/>
    </row>
  </sheetData>
  <sortState ref="A8:G38">
    <sortCondition descending="1" ref="D8:D33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>&amp;L&amp;"Tahoma,Bold"&amp;11U.S. Biathlon Association&amp;R&amp;"Tahoma,Bold"&amp;11 2018 Race Points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1305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43170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25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708</v>
      </c>
      <c r="C5" s="22"/>
      <c r="D5" s="22"/>
      <c r="E5" s="22" t="s">
        <v>55</v>
      </c>
      <c r="F5" s="38">
        <f>AVERAGE(C8:C9)*(AVERAGE(D8:D9)/100)</f>
        <v>2.7558113654463624E-2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14</v>
      </c>
      <c r="B8" s="3" t="s">
        <v>84</v>
      </c>
      <c r="C8" s="51">
        <f>TIME(0,39,11.1)</f>
        <v>2.7210648148148147E-2</v>
      </c>
      <c r="D8" s="29">
        <f>INDEX('Points Summary'!$F$4:$F$1143,G8)</f>
        <v>99.460903353359868</v>
      </c>
      <c r="E8" s="30">
        <f>(AVERAGE($D$8:$D$9)/100*AVERAGE($C$8:$C$9))/C8</f>
        <v>1.012769468203172</v>
      </c>
      <c r="F8" s="3"/>
      <c r="G8" s="2">
        <f>MATCH(B8,'Points Summary'!$B$4:$B$1144,0)</f>
        <v>13</v>
      </c>
    </row>
    <row r="9" spans="1:7" x14ac:dyDescent="0.25">
      <c r="A9" s="2">
        <v>30</v>
      </c>
      <c r="B9" s="3" t="s">
        <v>70</v>
      </c>
      <c r="C9" s="51">
        <f>TIME(0,42,3.8)</f>
        <v>2.9201388888888888E-2</v>
      </c>
      <c r="D9" s="29">
        <f>INDEX('Points Summary'!$F$4:$F$1143,G9)</f>
        <v>95.945007171519649</v>
      </c>
      <c r="E9" s="30">
        <f>(AVERAGE($D$8:$D$9)/100*AVERAGE($C$8:$C$9))/C9</f>
        <v>0.9437261275250326</v>
      </c>
      <c r="F9" s="3"/>
      <c r="G9" s="2">
        <f>MATCH(B9,'Points Summary'!$B$4:$B$1144,0)</f>
        <v>309</v>
      </c>
    </row>
    <row r="10" spans="1:7" x14ac:dyDescent="0.25">
      <c r="A10" s="2"/>
      <c r="B10" s="3"/>
      <c r="C10" s="51"/>
      <c r="D10" s="29"/>
      <c r="E10" s="30"/>
      <c r="F10" s="3"/>
      <c r="G10" s="2"/>
    </row>
    <row r="11" spans="1:7" x14ac:dyDescent="0.25">
      <c r="A11" s="2"/>
      <c r="B11" s="3"/>
      <c r="C11" s="51"/>
      <c r="D11" s="29"/>
      <c r="E11" s="30"/>
      <c r="F11" s="3"/>
      <c r="G11" s="2"/>
    </row>
    <row r="12" spans="1:7" x14ac:dyDescent="0.25">
      <c r="A12" s="2"/>
      <c r="B12" s="3"/>
      <c r="C12" s="51"/>
      <c r="D12" s="29"/>
      <c r="E12" s="30"/>
      <c r="F12" s="3"/>
      <c r="G12" s="2"/>
    </row>
    <row r="13" spans="1:7" x14ac:dyDescent="0.25">
      <c r="A13" s="2"/>
      <c r="B13" s="3"/>
      <c r="C13" s="51"/>
      <c r="D13" s="29"/>
      <c r="E13" s="30"/>
      <c r="F13" s="3"/>
      <c r="G13" s="2"/>
    </row>
    <row r="14" spans="1:7" x14ac:dyDescent="0.25">
      <c r="A14" s="2"/>
      <c r="B14" s="3"/>
      <c r="C14" s="51"/>
      <c r="D14" s="29"/>
      <c r="E14" s="30"/>
      <c r="F14" s="3"/>
      <c r="G14" s="2"/>
    </row>
    <row r="15" spans="1:7" x14ac:dyDescent="0.25">
      <c r="A15" s="2"/>
      <c r="B15" s="3"/>
      <c r="C15" s="51"/>
      <c r="D15" s="29"/>
      <c r="E15" s="30"/>
      <c r="F15" s="3"/>
      <c r="G15" s="2"/>
    </row>
    <row r="16" spans="1:7" x14ac:dyDescent="0.25">
      <c r="A16" s="2"/>
      <c r="B16" s="3"/>
      <c r="C16" s="51"/>
      <c r="D16" s="29"/>
      <c r="E16" s="30"/>
      <c r="F16" s="3"/>
      <c r="G16" s="2"/>
    </row>
    <row r="17" spans="1:7" x14ac:dyDescent="0.25">
      <c r="A17" s="2"/>
      <c r="B17" s="3"/>
      <c r="C17" s="51"/>
      <c r="D17" s="29"/>
      <c r="E17" s="30"/>
      <c r="F17" s="3"/>
      <c r="G17" s="2"/>
    </row>
    <row r="18" spans="1:7" x14ac:dyDescent="0.25">
      <c r="A18" s="2"/>
      <c r="B18" s="3"/>
      <c r="C18" s="51"/>
      <c r="D18" s="29"/>
      <c r="E18" s="30"/>
      <c r="F18" s="3"/>
      <c r="G18" s="2"/>
    </row>
    <row r="19" spans="1:7" x14ac:dyDescent="0.25">
      <c r="A19" s="2"/>
      <c r="B19" s="3"/>
      <c r="C19" s="51"/>
      <c r="D19" s="29"/>
      <c r="E19" s="30"/>
      <c r="F19" s="3"/>
      <c r="G19" s="2"/>
    </row>
    <row r="20" spans="1:7" x14ac:dyDescent="0.25">
      <c r="A20" s="2"/>
      <c r="B20" s="3"/>
      <c r="C20" s="51"/>
      <c r="D20" s="29"/>
      <c r="E20" s="30"/>
      <c r="F20" s="3"/>
      <c r="G20" s="2"/>
    </row>
    <row r="21" spans="1:7" x14ac:dyDescent="0.25">
      <c r="A21" s="2"/>
      <c r="B21" s="3"/>
      <c r="C21" s="51"/>
      <c r="D21" s="29"/>
      <c r="E21" s="30"/>
      <c r="F21" s="3"/>
      <c r="G21" s="2"/>
    </row>
    <row r="22" spans="1:7" x14ac:dyDescent="0.25">
      <c r="A22" s="2"/>
      <c r="B22" s="3"/>
      <c r="C22" s="51"/>
      <c r="D22" s="29"/>
      <c r="E22" s="30"/>
      <c r="F22" s="3"/>
      <c r="G22" s="2"/>
    </row>
    <row r="23" spans="1:7" x14ac:dyDescent="0.25">
      <c r="A23" s="2"/>
      <c r="B23" s="3"/>
      <c r="C23" s="51"/>
      <c r="D23" s="29"/>
      <c r="E23" s="30"/>
      <c r="F23" s="3"/>
      <c r="G23" s="2"/>
    </row>
    <row r="24" spans="1:7" x14ac:dyDescent="0.25">
      <c r="A24" s="2"/>
      <c r="B24" s="3"/>
      <c r="C24" s="51"/>
      <c r="D24" s="29"/>
      <c r="E24" s="30"/>
      <c r="F24" s="3"/>
      <c r="G24" s="2"/>
    </row>
    <row r="25" spans="1:7" x14ac:dyDescent="0.25">
      <c r="A25" s="2"/>
      <c r="B25" s="3"/>
      <c r="C25" s="51"/>
      <c r="D25" s="29"/>
      <c r="E25" s="30"/>
      <c r="F25" s="3"/>
      <c r="G25" s="2"/>
    </row>
    <row r="26" spans="1:7" x14ac:dyDescent="0.25">
      <c r="A26" s="2"/>
      <c r="B26" s="3"/>
      <c r="C26" s="51"/>
      <c r="D26" s="29"/>
      <c r="E26" s="30"/>
      <c r="F26" s="3"/>
      <c r="G26" s="2"/>
    </row>
    <row r="27" spans="1:7" x14ac:dyDescent="0.25">
      <c r="A27" s="2"/>
      <c r="B27" s="3"/>
      <c r="C27" s="51"/>
      <c r="D27" s="29"/>
      <c r="E27" s="30"/>
      <c r="F27" s="3"/>
      <c r="G27" s="2"/>
    </row>
    <row r="28" spans="1:7" x14ac:dyDescent="0.25">
      <c r="A28" s="2"/>
      <c r="B28" s="3"/>
      <c r="C28" s="51"/>
      <c r="D28" s="29"/>
      <c r="E28" s="30"/>
      <c r="F28" s="3"/>
      <c r="G28" s="2"/>
    </row>
    <row r="29" spans="1:7" x14ac:dyDescent="0.25">
      <c r="A29" s="42"/>
      <c r="B29" s="3"/>
      <c r="C29" s="51"/>
      <c r="D29" s="29"/>
      <c r="E29" s="30"/>
      <c r="F29" s="3"/>
      <c r="G29" s="2"/>
    </row>
    <row r="30" spans="1:7" x14ac:dyDescent="0.25">
      <c r="A30" s="2"/>
      <c r="B30" s="3"/>
      <c r="C30" s="51"/>
      <c r="D30" s="29"/>
      <c r="E30" s="30"/>
      <c r="F30" s="3"/>
      <c r="G30" s="2"/>
    </row>
    <row r="31" spans="1:7" x14ac:dyDescent="0.25">
      <c r="A31" s="2"/>
      <c r="B31" s="3"/>
      <c r="C31" s="51"/>
      <c r="D31" s="29"/>
      <c r="E31" s="30"/>
      <c r="F31" s="3"/>
      <c r="G31" s="2"/>
    </row>
    <row r="32" spans="1:7" x14ac:dyDescent="0.25">
      <c r="A32" s="2"/>
      <c r="B32" s="3"/>
      <c r="C32" s="51"/>
      <c r="D32" s="29"/>
      <c r="E32" s="30"/>
      <c r="F32" s="3"/>
      <c r="G32" s="2"/>
    </row>
    <row r="33" spans="1:7" x14ac:dyDescent="0.25">
      <c r="A33" s="42"/>
      <c r="B33" s="3"/>
      <c r="C33" s="51"/>
      <c r="D33" s="29"/>
      <c r="E33" s="30"/>
      <c r="F33" s="3"/>
      <c r="G33" s="2"/>
    </row>
    <row r="34" spans="1:7" x14ac:dyDescent="0.25">
      <c r="A34" s="2"/>
      <c r="B34" s="3"/>
      <c r="C34" s="51"/>
      <c r="D34" s="29"/>
      <c r="E34" s="30"/>
      <c r="F34" s="3"/>
      <c r="G34" s="2"/>
    </row>
    <row r="35" spans="1:7" x14ac:dyDescent="0.25">
      <c r="A35" s="2"/>
      <c r="B35" s="3"/>
      <c r="C35" s="51"/>
      <c r="D35" s="29"/>
      <c r="E35" s="30"/>
      <c r="F35" s="3"/>
      <c r="G35" s="2"/>
    </row>
    <row r="36" spans="1:7" x14ac:dyDescent="0.25">
      <c r="A36" s="2"/>
      <c r="B36" s="3"/>
      <c r="C36" s="51"/>
      <c r="D36" s="29"/>
      <c r="E36" s="30"/>
      <c r="F36" s="3"/>
      <c r="G36" s="2"/>
    </row>
    <row r="37" spans="1:7" x14ac:dyDescent="0.25">
      <c r="A37" s="2"/>
      <c r="B37" s="3"/>
      <c r="C37" s="51"/>
      <c r="D37" s="29"/>
      <c r="E37" s="30"/>
      <c r="F37" s="3"/>
      <c r="G37" s="2"/>
    </row>
    <row r="38" spans="1:7" x14ac:dyDescent="0.25">
      <c r="A38" s="2"/>
      <c r="B38" s="3"/>
      <c r="C38" s="51"/>
      <c r="D38" s="29"/>
      <c r="E38" s="30"/>
      <c r="F38" s="3"/>
      <c r="G38" s="2"/>
    </row>
    <row r="39" spans="1:7" x14ac:dyDescent="0.25">
      <c r="A39" s="2"/>
      <c r="B39" s="3"/>
      <c r="C39" s="51"/>
      <c r="D39" s="29"/>
      <c r="E39" s="30"/>
      <c r="F39" s="3"/>
      <c r="G39" s="2"/>
    </row>
    <row r="40" spans="1:7" x14ac:dyDescent="0.25">
      <c r="A40" s="2"/>
      <c r="B40" s="3"/>
      <c r="C40" s="51"/>
      <c r="D40" s="29"/>
      <c r="E40" s="30"/>
      <c r="F40" s="3"/>
      <c r="G40" s="2"/>
    </row>
    <row r="41" spans="1:7" x14ac:dyDescent="0.25">
      <c r="A41" s="2"/>
      <c r="B41" s="3"/>
      <c r="C41" s="51"/>
      <c r="D41" s="29"/>
      <c r="E41" s="30"/>
      <c r="F41" s="3"/>
      <c r="G41" s="2"/>
    </row>
    <row r="42" spans="1:7" x14ac:dyDescent="0.25">
      <c r="A42" s="2"/>
      <c r="B42" s="3"/>
      <c r="C42" s="51"/>
      <c r="D42" s="29"/>
      <c r="E42" s="30"/>
      <c r="F42" s="3"/>
      <c r="G42" s="2"/>
    </row>
    <row r="43" spans="1:7" x14ac:dyDescent="0.25">
      <c r="A43" s="2"/>
      <c r="B43" s="3"/>
      <c r="C43" s="51"/>
      <c r="D43" s="29"/>
      <c r="E43" s="30"/>
      <c r="F43" s="3"/>
      <c r="G43" s="2"/>
    </row>
    <row r="44" spans="1:7" x14ac:dyDescent="0.25">
      <c r="A44" s="2"/>
      <c r="B44" s="3"/>
      <c r="C44" s="51"/>
      <c r="D44" s="29"/>
      <c r="E44" s="30"/>
      <c r="F44" s="3"/>
      <c r="G44" s="2"/>
    </row>
    <row r="45" spans="1:7" x14ac:dyDescent="0.25">
      <c r="A45" s="2"/>
      <c r="B45" s="3"/>
      <c r="C45" s="51"/>
      <c r="D45" s="29"/>
      <c r="E45" s="30"/>
      <c r="F45" s="3"/>
      <c r="G45" s="2"/>
    </row>
    <row r="46" spans="1:7" x14ac:dyDescent="0.25">
      <c r="A46" s="2"/>
      <c r="B46" s="3"/>
      <c r="C46" s="51"/>
      <c r="D46" s="29"/>
      <c r="E46" s="30"/>
      <c r="F46" s="3"/>
      <c r="G46" s="2"/>
    </row>
    <row r="47" spans="1:7" x14ac:dyDescent="0.25">
      <c r="A47" s="2"/>
      <c r="B47" s="3"/>
      <c r="C47" s="51"/>
      <c r="D47" s="29"/>
      <c r="E47" s="30"/>
      <c r="F47" s="3"/>
      <c r="G47" s="2"/>
    </row>
    <row r="48" spans="1:7" x14ac:dyDescent="0.25">
      <c r="A48" s="2"/>
      <c r="B48" s="3"/>
      <c r="C48" s="51"/>
      <c r="D48" s="29"/>
      <c r="E48" s="30"/>
      <c r="F48" s="3"/>
      <c r="G48" s="2"/>
    </row>
    <row r="49" spans="1:7" x14ac:dyDescent="0.25">
      <c r="A49" s="2"/>
      <c r="B49" s="3"/>
      <c r="C49" s="51"/>
      <c r="D49" s="29"/>
      <c r="E49" s="30"/>
      <c r="F49" s="3"/>
      <c r="G49" s="2"/>
    </row>
    <row r="50" spans="1:7" x14ac:dyDescent="0.25">
      <c r="A50" s="2"/>
      <c r="B50" s="3"/>
      <c r="C50" s="51"/>
      <c r="D50" s="29"/>
      <c r="E50" s="30"/>
      <c r="F50" s="3"/>
      <c r="G50" s="2"/>
    </row>
    <row r="51" spans="1:7" x14ac:dyDescent="0.25">
      <c r="A51" s="2"/>
      <c r="B51" s="3"/>
      <c r="C51" s="51"/>
      <c r="D51" s="29"/>
      <c r="E51" s="30"/>
      <c r="F51" s="3"/>
      <c r="G51" s="2"/>
    </row>
    <row r="52" spans="1:7" x14ac:dyDescent="0.25">
      <c r="A52" s="2"/>
      <c r="B52" s="3"/>
      <c r="C52" s="51"/>
      <c r="D52" s="29"/>
      <c r="E52" s="30"/>
      <c r="F52" s="3"/>
      <c r="G52" s="2"/>
    </row>
    <row r="53" spans="1:7" x14ac:dyDescent="0.25">
      <c r="A53" s="2"/>
      <c r="B53" s="3"/>
      <c r="C53" s="51"/>
      <c r="D53" s="29"/>
      <c r="E53" s="30"/>
      <c r="F53" s="3"/>
      <c r="G53" s="2"/>
    </row>
    <row r="54" spans="1:7" x14ac:dyDescent="0.25">
      <c r="A54" s="2"/>
      <c r="B54" s="3"/>
      <c r="C54" s="51"/>
      <c r="D54" s="29"/>
      <c r="E54" s="30"/>
      <c r="F54" s="3"/>
      <c r="G54" s="2"/>
    </row>
    <row r="55" spans="1:7" x14ac:dyDescent="0.25">
      <c r="A55" s="2"/>
      <c r="B55" s="3"/>
      <c r="C55" s="51"/>
      <c r="D55" s="29"/>
      <c r="E55" s="30"/>
      <c r="F55" s="3"/>
      <c r="G55" s="2"/>
    </row>
    <row r="56" spans="1:7" x14ac:dyDescent="0.25">
      <c r="A56" s="2"/>
      <c r="B56" s="3"/>
      <c r="C56" s="51"/>
      <c r="D56" s="29"/>
      <c r="E56" s="30"/>
      <c r="F56" s="3"/>
      <c r="G56" s="2"/>
    </row>
    <row r="57" spans="1:7" x14ac:dyDescent="0.25">
      <c r="A57" s="2"/>
      <c r="B57" s="3"/>
      <c r="C57" s="51"/>
      <c r="D57" s="29"/>
      <c r="E57" s="30"/>
      <c r="F57" s="3"/>
      <c r="G57" s="2"/>
    </row>
    <row r="58" spans="1:7" x14ac:dyDescent="0.25">
      <c r="A58" s="2"/>
      <c r="B58" s="3"/>
      <c r="C58" s="51"/>
      <c r="D58" s="29"/>
      <c r="E58" s="30"/>
      <c r="F58" s="3"/>
      <c r="G58" s="2"/>
    </row>
    <row r="59" spans="1:7" x14ac:dyDescent="0.25">
      <c r="A59" s="2"/>
      <c r="B59" s="3"/>
      <c r="C59" s="51"/>
      <c r="D59" s="29"/>
      <c r="E59" s="30"/>
      <c r="F59" s="3"/>
      <c r="G59" s="2"/>
    </row>
    <row r="60" spans="1:7" x14ac:dyDescent="0.25">
      <c r="A60" s="2"/>
      <c r="B60" s="3"/>
      <c r="C60" s="51"/>
      <c r="D60" s="29"/>
      <c r="E60" s="30"/>
      <c r="F60" s="3"/>
      <c r="G60" s="2"/>
    </row>
    <row r="61" spans="1:7" x14ac:dyDescent="0.25">
      <c r="A61" s="2"/>
      <c r="B61" s="3"/>
      <c r="C61" s="51"/>
      <c r="D61" s="29"/>
      <c r="E61" s="30"/>
      <c r="F61" s="3"/>
      <c r="G61" s="2"/>
    </row>
    <row r="62" spans="1:7" x14ac:dyDescent="0.25">
      <c r="A62" s="2"/>
      <c r="B62" s="3"/>
      <c r="C62" s="51"/>
      <c r="D62" s="29"/>
      <c r="E62" s="30"/>
      <c r="F62" s="3"/>
      <c r="G62" s="2"/>
    </row>
    <row r="63" spans="1:7" x14ac:dyDescent="0.25">
      <c r="A63" s="2"/>
      <c r="B63" s="3"/>
      <c r="C63" s="51"/>
      <c r="D63" s="29"/>
      <c r="E63" s="30"/>
      <c r="F63" s="3"/>
      <c r="G63" s="2"/>
    </row>
    <row r="64" spans="1:7" x14ac:dyDescent="0.25">
      <c r="A64" s="2"/>
      <c r="B64" s="3"/>
      <c r="C64" s="51"/>
      <c r="D64" s="29"/>
      <c r="E64" s="30"/>
      <c r="F64" s="3"/>
      <c r="G64" s="2"/>
    </row>
    <row r="65" spans="1:7" x14ac:dyDescent="0.25">
      <c r="A65" s="2"/>
      <c r="B65" s="3"/>
      <c r="C65" s="51"/>
      <c r="D65" s="29"/>
      <c r="E65" s="30"/>
      <c r="F65" s="3"/>
      <c r="G65" s="2"/>
    </row>
    <row r="66" spans="1:7" x14ac:dyDescent="0.25">
      <c r="A66" s="2"/>
      <c r="B66" s="3"/>
      <c r="C66" s="51"/>
      <c r="D66" s="29"/>
      <c r="E66" s="30"/>
      <c r="F66" s="3"/>
      <c r="G66" s="2"/>
    </row>
    <row r="67" spans="1:7" x14ac:dyDescent="0.25">
      <c r="A67" s="2"/>
      <c r="B67" s="3"/>
      <c r="C67" s="51"/>
      <c r="D67" s="29"/>
      <c r="E67" s="30"/>
      <c r="F67" s="3"/>
      <c r="G67" s="2"/>
    </row>
    <row r="68" spans="1:7" x14ac:dyDescent="0.25">
      <c r="A68" s="2"/>
      <c r="B68" s="3"/>
      <c r="C68" s="51"/>
      <c r="D68" s="29"/>
      <c r="E68" s="30"/>
      <c r="F68" s="3"/>
      <c r="G68" s="2"/>
    </row>
    <row r="69" spans="1:7" x14ac:dyDescent="0.25">
      <c r="A69" s="2"/>
      <c r="B69" s="3"/>
      <c r="C69" s="51"/>
      <c r="D69" s="29"/>
      <c r="E69" s="30"/>
      <c r="F69" s="3"/>
      <c r="G69" s="2"/>
    </row>
    <row r="70" spans="1:7" x14ac:dyDescent="0.25">
      <c r="A70" s="2"/>
      <c r="B70" s="3"/>
      <c r="C70" s="51"/>
      <c r="D70" s="29"/>
      <c r="E70" s="30"/>
      <c r="F70" s="3"/>
      <c r="G70" s="2"/>
    </row>
    <row r="71" spans="1:7" x14ac:dyDescent="0.25">
      <c r="A71" s="2"/>
      <c r="B71" s="3"/>
      <c r="C71" s="51"/>
      <c r="D71" s="29"/>
      <c r="E71" s="30"/>
      <c r="F71" s="3"/>
      <c r="G71" s="2"/>
    </row>
    <row r="72" spans="1:7" x14ac:dyDescent="0.25">
      <c r="A72" s="2"/>
      <c r="B72" s="3"/>
      <c r="C72" s="51"/>
      <c r="D72" s="29"/>
      <c r="E72" s="30"/>
      <c r="F72" s="3"/>
      <c r="G72" s="2"/>
    </row>
    <row r="73" spans="1:7" x14ac:dyDescent="0.25">
      <c r="A73" s="2"/>
      <c r="B73" s="3"/>
      <c r="C73" s="51"/>
      <c r="D73" s="29"/>
      <c r="E73" s="30"/>
      <c r="F73" s="3"/>
      <c r="G73" s="2"/>
    </row>
    <row r="74" spans="1:7" x14ac:dyDescent="0.25">
      <c r="A74" s="2"/>
      <c r="B74" s="3"/>
      <c r="C74" s="51"/>
      <c r="D74" s="29"/>
      <c r="E74" s="30"/>
      <c r="F74" s="3"/>
      <c r="G74" s="2"/>
    </row>
    <row r="75" spans="1:7" x14ac:dyDescent="0.25">
      <c r="A75" s="2"/>
      <c r="B75" s="3"/>
      <c r="C75" s="51"/>
      <c r="D75" s="29"/>
      <c r="E75" s="30"/>
      <c r="F75" s="3"/>
      <c r="G75" s="2"/>
    </row>
    <row r="76" spans="1:7" x14ac:dyDescent="0.25">
      <c r="A76" s="2"/>
      <c r="B76" s="3"/>
      <c r="C76" s="51"/>
      <c r="D76" s="29"/>
      <c r="E76" s="30"/>
      <c r="F76" s="3"/>
      <c r="G76" s="2"/>
    </row>
    <row r="77" spans="1:7" x14ac:dyDescent="0.25">
      <c r="A77" s="2"/>
      <c r="B77" s="3"/>
      <c r="C77" s="51"/>
      <c r="D77" s="29"/>
      <c r="E77" s="30"/>
      <c r="F77" s="3"/>
      <c r="G77" s="2"/>
    </row>
    <row r="78" spans="1:7" x14ac:dyDescent="0.25">
      <c r="A78" s="2"/>
      <c r="B78" s="3"/>
      <c r="C78" s="51"/>
      <c r="D78" s="29"/>
      <c r="E78" s="30"/>
      <c r="F78" s="3"/>
      <c r="G78" s="2"/>
    </row>
    <row r="79" spans="1:7" x14ac:dyDescent="0.25">
      <c r="A79" s="2"/>
      <c r="B79" s="3"/>
      <c r="C79" s="51"/>
      <c r="D79" s="29"/>
      <c r="E79" s="30"/>
      <c r="F79" s="3"/>
      <c r="G79" s="2"/>
    </row>
    <row r="80" spans="1:7" x14ac:dyDescent="0.25">
      <c r="A80" s="2"/>
      <c r="B80" s="3"/>
      <c r="C80" s="51"/>
      <c r="D80" s="29"/>
      <c r="E80" s="30"/>
      <c r="F80" s="3"/>
      <c r="G80" s="2"/>
    </row>
    <row r="81" spans="1:7" x14ac:dyDescent="0.25">
      <c r="A81" s="2"/>
      <c r="B81" s="3"/>
      <c r="C81" s="51"/>
      <c r="D81" s="29"/>
      <c r="E81" s="30"/>
      <c r="F81" s="3"/>
      <c r="G81" s="2"/>
    </row>
    <row r="82" spans="1:7" x14ac:dyDescent="0.25">
      <c r="A82" s="2"/>
      <c r="B82" s="3"/>
      <c r="C82" s="51"/>
      <c r="D82" s="29"/>
      <c r="E82" s="30"/>
      <c r="F82" s="3"/>
      <c r="G82" s="2"/>
    </row>
    <row r="83" spans="1:7" x14ac:dyDescent="0.25">
      <c r="A83" s="2"/>
      <c r="B83" s="3"/>
      <c r="C83" s="51"/>
      <c r="D83" s="29"/>
      <c r="E83" s="30"/>
      <c r="F83" s="3"/>
      <c r="G83" s="2"/>
    </row>
    <row r="84" spans="1:7" x14ac:dyDescent="0.25">
      <c r="A84" s="2"/>
      <c r="B84" s="3"/>
      <c r="C84" s="51"/>
      <c r="D84" s="29"/>
      <c r="E84" s="30"/>
      <c r="F84" s="3"/>
      <c r="G84" s="2"/>
    </row>
    <row r="85" spans="1:7" x14ac:dyDescent="0.25">
      <c r="A85" s="2"/>
      <c r="B85" s="3"/>
      <c r="C85" s="51"/>
      <c r="D85" s="29"/>
      <c r="E85" s="30"/>
      <c r="F85" s="3"/>
      <c r="G85" s="2"/>
    </row>
    <row r="86" spans="1:7" x14ac:dyDescent="0.25">
      <c r="A86" s="2"/>
      <c r="B86" s="3"/>
      <c r="C86" s="51"/>
      <c r="D86" s="29"/>
      <c r="E86" s="30"/>
      <c r="F86" s="3"/>
      <c r="G86" s="2"/>
    </row>
    <row r="87" spans="1:7" x14ac:dyDescent="0.25">
      <c r="A87" s="2"/>
      <c r="B87" s="3"/>
      <c r="C87" s="51"/>
      <c r="D87" s="29"/>
      <c r="E87" s="30"/>
      <c r="F87" s="3"/>
      <c r="G87" s="2"/>
    </row>
    <row r="88" spans="1:7" x14ac:dyDescent="0.25">
      <c r="A88" s="2"/>
      <c r="B88" s="3"/>
      <c r="C88" s="51"/>
      <c r="D88" s="29"/>
      <c r="E88" s="30"/>
      <c r="F88" s="3"/>
      <c r="G88" s="2"/>
    </row>
    <row r="89" spans="1:7" x14ac:dyDescent="0.25">
      <c r="A89" s="2"/>
      <c r="B89" s="3"/>
      <c r="C89" s="51"/>
      <c r="D89" s="29"/>
      <c r="E89" s="30"/>
      <c r="F89" s="3"/>
      <c r="G89" s="2"/>
    </row>
    <row r="90" spans="1:7" x14ac:dyDescent="0.25">
      <c r="A90" s="2"/>
      <c r="B90" s="3"/>
      <c r="C90" s="51"/>
      <c r="D90" s="29"/>
      <c r="E90" s="30"/>
      <c r="F90" s="3"/>
      <c r="G90" s="2"/>
    </row>
    <row r="91" spans="1:7" x14ac:dyDescent="0.25">
      <c r="A91" s="2"/>
      <c r="B91" s="3"/>
      <c r="C91" s="51"/>
      <c r="D91" s="29"/>
      <c r="E91" s="30"/>
      <c r="F91" s="3"/>
      <c r="G91" s="2"/>
    </row>
    <row r="92" spans="1:7" x14ac:dyDescent="0.25">
      <c r="A92" s="2"/>
      <c r="B92" s="3"/>
      <c r="C92" s="51"/>
      <c r="D92" s="29"/>
      <c r="E92" s="30"/>
      <c r="F92" s="3"/>
      <c r="G92" s="2"/>
    </row>
    <row r="93" spans="1:7" x14ac:dyDescent="0.25">
      <c r="A93" s="2"/>
      <c r="B93" s="3"/>
      <c r="C93" s="51"/>
      <c r="D93" s="29"/>
      <c r="E93" s="30"/>
      <c r="F93" s="3"/>
      <c r="G93" s="2"/>
    </row>
    <row r="94" spans="1:7" x14ac:dyDescent="0.25">
      <c r="A94" s="2"/>
      <c r="B94" s="3"/>
      <c r="C94" s="51"/>
      <c r="D94" s="29"/>
      <c r="E94" s="30"/>
      <c r="F94" s="3"/>
      <c r="G94" s="2"/>
    </row>
    <row r="95" spans="1:7" x14ac:dyDescent="0.25">
      <c r="A95" s="2"/>
      <c r="B95" s="3"/>
      <c r="C95" s="51"/>
      <c r="D95" s="29"/>
      <c r="E95" s="30"/>
      <c r="F95" s="3"/>
      <c r="G95" s="2"/>
    </row>
    <row r="96" spans="1:7" x14ac:dyDescent="0.25">
      <c r="A96" s="2"/>
      <c r="B96" s="3"/>
      <c r="C96" s="51"/>
      <c r="D96" s="29"/>
      <c r="E96" s="30"/>
      <c r="F96" s="3"/>
      <c r="G96" s="2"/>
    </row>
    <row r="97" spans="1:7" x14ac:dyDescent="0.25">
      <c r="A97" s="2"/>
      <c r="B97" s="3"/>
      <c r="C97" s="51"/>
      <c r="D97" s="29"/>
      <c r="E97" s="30"/>
      <c r="F97" s="3"/>
      <c r="G97" s="2"/>
    </row>
    <row r="98" spans="1:7" x14ac:dyDescent="0.25">
      <c r="A98" s="2"/>
      <c r="B98" s="3"/>
      <c r="C98" s="51"/>
      <c r="D98" s="29"/>
      <c r="E98" s="30"/>
      <c r="F98" s="3"/>
      <c r="G98" s="2"/>
    </row>
    <row r="99" spans="1:7" x14ac:dyDescent="0.25">
      <c r="A99" s="2"/>
      <c r="B99" s="3"/>
      <c r="C99" s="51"/>
      <c r="D99" s="29"/>
      <c r="E99" s="30"/>
      <c r="F99" s="3"/>
      <c r="G99" s="2"/>
    </row>
  </sheetData>
  <sortState ref="A8:G16">
    <sortCondition descending="1" ref="D8:D16"/>
  </sortState>
  <phoneticPr fontId="9" type="noConversion"/>
  <printOptions horizontalCentered="1"/>
  <pageMargins left="0.75" right="0.75" top="1" bottom="1" header="0.5" footer="0.5"/>
  <pageSetup orientation="portrait" horizontalDpi="200" verticalDpi="200" r:id="rId1"/>
  <headerFooter alignWithMargins="0">
    <oddHeader>&amp;L&amp;"Tahoma,Bold"&amp;11U.S. Biathlon Association&amp;R&amp;"Tahoma,Bold"&amp;11 2018 Race Points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"/>
  <sheetViews>
    <sheetView workbookViewId="0">
      <selection activeCell="B1" sqref="B1:B1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1306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43174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935</v>
      </c>
      <c r="C5" s="22"/>
      <c r="D5" s="22"/>
      <c r="E5" s="22" t="s">
        <v>55</v>
      </c>
      <c r="F5" s="38">
        <f>AVERAGE(C8:C12)*(AVERAGE(D8:D12)/100)</f>
        <v>1.9052467204121192E-2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14</v>
      </c>
      <c r="B8" s="3" t="s">
        <v>189</v>
      </c>
      <c r="C8" s="51">
        <v>1.8719907407407407E-2</v>
      </c>
      <c r="D8" s="29">
        <f>INDEX('Points Summary'!$F$4:$F$1143,G8)</f>
        <v>98.820210613063381</v>
      </c>
      <c r="E8" s="124">
        <f>(AVERAGE($D$8:$D$12)/100*AVERAGE($C$8:$C$12))/C8</f>
        <v>1.0177650342748059</v>
      </c>
      <c r="F8" s="3"/>
      <c r="G8" s="2">
        <f>MATCH(B8,'Points Summary'!$B$4:$B$1144,0)</f>
        <v>120</v>
      </c>
    </row>
    <row r="9" spans="1:7" x14ac:dyDescent="0.25">
      <c r="A9" s="2">
        <v>42</v>
      </c>
      <c r="B9" s="3" t="s">
        <v>84</v>
      </c>
      <c r="C9" s="51">
        <v>1.9344907407407404E-2</v>
      </c>
      <c r="D9" s="29">
        <f>INDEX('Points Summary'!$F$4:$F$1143,G9)</f>
        <v>99.460903353359868</v>
      </c>
      <c r="E9" s="124">
        <f>(AVERAGE($D$8:$D$12)/100*AVERAGE($C$8:$C$12))/C9</f>
        <v>0.98488283261701048</v>
      </c>
      <c r="F9" s="3"/>
      <c r="G9" s="2">
        <f>MATCH(B9,'Points Summary'!$B$4:$B$1144,0)</f>
        <v>13</v>
      </c>
    </row>
    <row r="10" spans="1:7" x14ac:dyDescent="0.25">
      <c r="A10" s="2">
        <v>43</v>
      </c>
      <c r="B10" s="3" t="s">
        <v>70</v>
      </c>
      <c r="C10" s="51">
        <v>1.9370370370370371E-2</v>
      </c>
      <c r="D10" s="29">
        <f>INDEX('Points Summary'!$F$4:$F$1143,G10)</f>
        <v>95.945007171519649</v>
      </c>
      <c r="E10" s="124">
        <f>(AVERAGE($D$8:$D$12)/100*AVERAGE($C$8:$C$12))/C10</f>
        <v>0.98358817306170587</v>
      </c>
      <c r="F10" s="3"/>
      <c r="G10" s="2">
        <f>MATCH(B10,'Points Summary'!$B$4:$B$1144,0)</f>
        <v>309</v>
      </c>
    </row>
    <row r="11" spans="1:7" x14ac:dyDescent="0.25">
      <c r="A11" s="2">
        <v>57</v>
      </c>
      <c r="B11" s="3" t="s">
        <v>7</v>
      </c>
      <c r="C11" s="51">
        <v>1.9711805555555555E-2</v>
      </c>
      <c r="D11" s="29">
        <f>INDEX('Points Summary'!$F$4:$F$1143,G11)</f>
        <v>99.815882011789284</v>
      </c>
      <c r="E11" s="124">
        <f>(AVERAGE($D$8:$D$12)/100*AVERAGE($C$8:$C$12))/C11</f>
        <v>0.96655109296933295</v>
      </c>
      <c r="F11" s="3"/>
      <c r="G11" s="2">
        <f>MATCH(B11,'Points Summary'!$B$4:$B$1144,0)</f>
        <v>63</v>
      </c>
    </row>
    <row r="12" spans="1:7" x14ac:dyDescent="0.25">
      <c r="A12" s="2">
        <v>89</v>
      </c>
      <c r="B12" s="3" t="s">
        <v>795</v>
      </c>
      <c r="C12" s="51">
        <v>2.0715277777777777E-2</v>
      </c>
      <c r="D12" s="29">
        <f>INDEX('Points Summary'!$F$4:$F$1143,G12)</f>
        <v>92.674366002181756</v>
      </c>
      <c r="E12" s="124">
        <f>(AVERAGE($D$8:$D$12)/100*AVERAGE($C$8:$C$12))/C12</f>
        <v>0.91973023043696001</v>
      </c>
      <c r="F12" s="3"/>
      <c r="G12" s="2">
        <f>MATCH(B12,'Points Summary'!$B$4:$B$1144,0)</f>
        <v>201</v>
      </c>
    </row>
    <row r="13" spans="1:7" x14ac:dyDescent="0.25">
      <c r="A13" s="2"/>
      <c r="B13" s="3"/>
      <c r="C13" s="51"/>
      <c r="D13" s="29"/>
      <c r="E13" s="124"/>
      <c r="F13" s="3"/>
      <c r="G13" s="2"/>
    </row>
    <row r="14" spans="1:7" x14ac:dyDescent="0.25">
      <c r="A14" s="2"/>
      <c r="C14" s="51"/>
      <c r="D14" s="29"/>
      <c r="E14" s="124"/>
      <c r="F14" s="3"/>
      <c r="G14" s="2"/>
    </row>
    <row r="15" spans="1:7" x14ac:dyDescent="0.25">
      <c r="A15" s="2"/>
      <c r="B15" s="3"/>
      <c r="C15" s="51"/>
      <c r="D15" s="29"/>
      <c r="E15" s="124"/>
      <c r="F15" s="3"/>
      <c r="G15" s="2"/>
    </row>
    <row r="16" spans="1:7" x14ac:dyDescent="0.25">
      <c r="A16" s="2"/>
      <c r="C16" s="51"/>
      <c r="D16" s="29"/>
      <c r="E16" s="124"/>
      <c r="F16" s="3"/>
      <c r="G16" s="2"/>
    </row>
    <row r="17" spans="1:7" x14ac:dyDescent="0.25">
      <c r="A17" s="2"/>
      <c r="B17" s="3"/>
      <c r="C17" s="51"/>
      <c r="D17" s="29"/>
      <c r="E17" s="124"/>
      <c r="F17" s="3"/>
      <c r="G17" s="2"/>
    </row>
    <row r="18" spans="1:7" x14ac:dyDescent="0.25">
      <c r="A18" s="2"/>
      <c r="B18" s="3"/>
      <c r="C18" s="51"/>
      <c r="D18" s="29"/>
      <c r="E18" s="124"/>
      <c r="F18" s="3"/>
      <c r="G18" s="2"/>
    </row>
    <row r="19" spans="1:7" x14ac:dyDescent="0.25">
      <c r="A19" s="2"/>
      <c r="B19" s="3"/>
      <c r="C19" s="51"/>
      <c r="D19" s="29"/>
      <c r="E19" s="124"/>
      <c r="F19" s="3"/>
      <c r="G19" s="2"/>
    </row>
    <row r="20" spans="1:7" x14ac:dyDescent="0.25">
      <c r="A20" s="2"/>
      <c r="B20" s="3"/>
      <c r="C20" s="51"/>
      <c r="D20" s="29"/>
      <c r="E20" s="124"/>
      <c r="F20" s="3"/>
      <c r="G20" s="2"/>
    </row>
    <row r="21" spans="1:7" x14ac:dyDescent="0.25">
      <c r="A21" s="2"/>
      <c r="B21" s="3"/>
      <c r="C21" s="51"/>
      <c r="D21" s="29"/>
      <c r="E21" s="124"/>
      <c r="F21" s="3"/>
      <c r="G21" s="2"/>
    </row>
    <row r="22" spans="1:7" x14ac:dyDescent="0.25">
      <c r="A22" s="2"/>
      <c r="B22" s="3"/>
      <c r="C22" s="51"/>
      <c r="D22" s="29"/>
      <c r="E22" s="124"/>
      <c r="F22" s="3"/>
      <c r="G22" s="2"/>
    </row>
    <row r="23" spans="1:7" x14ac:dyDescent="0.25">
      <c r="A23" s="2"/>
      <c r="B23" s="3"/>
      <c r="C23" s="51"/>
      <c r="D23" s="29"/>
      <c r="E23" s="124"/>
      <c r="F23" s="3"/>
      <c r="G23" s="2"/>
    </row>
    <row r="24" spans="1:7" x14ac:dyDescent="0.25">
      <c r="A24" s="2"/>
      <c r="B24" s="3"/>
      <c r="C24" s="51"/>
      <c r="D24" s="29"/>
      <c r="E24" s="124"/>
      <c r="F24" s="3"/>
      <c r="G24" s="2"/>
    </row>
    <row r="25" spans="1:7" x14ac:dyDescent="0.25">
      <c r="A25" s="2"/>
      <c r="B25" s="3"/>
      <c r="C25" s="51"/>
      <c r="D25" s="29"/>
      <c r="E25" s="124"/>
      <c r="F25" s="3"/>
      <c r="G25" s="2"/>
    </row>
    <row r="26" spans="1:7" x14ac:dyDescent="0.25">
      <c r="A26" s="2"/>
      <c r="B26" s="3"/>
      <c r="C26" s="51"/>
      <c r="D26" s="29"/>
      <c r="E26" s="124"/>
      <c r="F26" s="3"/>
      <c r="G26" s="2"/>
    </row>
    <row r="27" spans="1:7" x14ac:dyDescent="0.25">
      <c r="A27" s="2"/>
      <c r="B27" s="3"/>
      <c r="C27" s="51"/>
      <c r="D27" s="29"/>
      <c r="E27" s="124"/>
      <c r="F27" s="3"/>
      <c r="G27" s="2"/>
    </row>
    <row r="28" spans="1:7" x14ac:dyDescent="0.25">
      <c r="A28" s="2"/>
      <c r="B28" s="3"/>
      <c r="C28" s="51"/>
      <c r="D28" s="29"/>
      <c r="E28" s="124"/>
      <c r="F28" s="3"/>
      <c r="G28" s="2"/>
    </row>
    <row r="29" spans="1:7" x14ac:dyDescent="0.25">
      <c r="A29" s="2"/>
      <c r="B29" s="3"/>
      <c r="C29" s="51"/>
      <c r="D29" s="29"/>
      <c r="E29" s="124"/>
      <c r="F29" s="3"/>
      <c r="G29" s="2"/>
    </row>
    <row r="30" spans="1:7" x14ac:dyDescent="0.25">
      <c r="A30" s="2"/>
      <c r="B30" s="3"/>
      <c r="C30" s="51"/>
      <c r="D30" s="29"/>
      <c r="E30" s="124"/>
      <c r="F30" s="3"/>
      <c r="G30" s="2"/>
    </row>
    <row r="31" spans="1:7" x14ac:dyDescent="0.25">
      <c r="A31" s="2"/>
      <c r="B31" s="3"/>
      <c r="C31" s="51"/>
      <c r="D31" s="29"/>
      <c r="E31" s="124"/>
      <c r="F31" s="3"/>
      <c r="G31" s="2"/>
    </row>
    <row r="32" spans="1:7" x14ac:dyDescent="0.25">
      <c r="A32" s="2"/>
      <c r="B32" s="3"/>
      <c r="C32" s="51"/>
      <c r="D32" s="29"/>
      <c r="E32" s="124"/>
      <c r="F32" s="3"/>
      <c r="G32" s="2"/>
    </row>
    <row r="33" spans="1:7" x14ac:dyDescent="0.25">
      <c r="A33" s="2"/>
      <c r="B33" s="3"/>
      <c r="C33" s="51"/>
      <c r="D33" s="29"/>
      <c r="E33" s="124"/>
      <c r="F33" s="3"/>
      <c r="G33" s="2"/>
    </row>
    <row r="34" spans="1:7" x14ac:dyDescent="0.25">
      <c r="A34" s="2"/>
      <c r="B34" s="3"/>
      <c r="C34" s="51"/>
      <c r="D34" s="29"/>
      <c r="E34" s="124"/>
      <c r="F34" s="3"/>
      <c r="G34" s="2"/>
    </row>
    <row r="35" spans="1:7" x14ac:dyDescent="0.25">
      <c r="A35" s="2"/>
      <c r="B35" s="3"/>
      <c r="C35" s="51"/>
      <c r="D35" s="29"/>
      <c r="E35" s="124"/>
      <c r="F35" s="3"/>
      <c r="G35" s="2"/>
    </row>
    <row r="36" spans="1:7" x14ac:dyDescent="0.25">
      <c r="A36" s="2"/>
      <c r="B36" s="3"/>
      <c r="C36" s="51"/>
      <c r="D36" s="29"/>
      <c r="E36" s="124"/>
      <c r="F36" s="3"/>
      <c r="G36" s="2"/>
    </row>
    <row r="37" spans="1:7" x14ac:dyDescent="0.25">
      <c r="A37" s="2"/>
      <c r="B37" s="3"/>
      <c r="C37" s="51"/>
      <c r="D37" s="29"/>
      <c r="E37" s="124"/>
      <c r="F37" s="3"/>
      <c r="G37" s="2"/>
    </row>
    <row r="38" spans="1:7" x14ac:dyDescent="0.25">
      <c r="A38" s="2"/>
      <c r="B38" s="3"/>
      <c r="C38" s="51"/>
      <c r="D38" s="29"/>
      <c r="E38" s="124"/>
      <c r="F38" s="3"/>
      <c r="G38" s="2"/>
    </row>
    <row r="39" spans="1:7" x14ac:dyDescent="0.25">
      <c r="A39" s="2"/>
      <c r="B39" s="3"/>
      <c r="C39" s="51"/>
      <c r="D39" s="29"/>
      <c r="E39" s="124"/>
      <c r="F39" s="3"/>
      <c r="G39" s="2"/>
    </row>
    <row r="40" spans="1:7" x14ac:dyDescent="0.25">
      <c r="A40" s="2"/>
      <c r="B40" s="3"/>
      <c r="C40" s="51"/>
      <c r="D40" s="29"/>
      <c r="E40" s="124"/>
      <c r="F40" s="3"/>
      <c r="G40" s="2"/>
    </row>
    <row r="41" spans="1:7" x14ac:dyDescent="0.25">
      <c r="A41" s="2"/>
      <c r="B41" s="3"/>
      <c r="C41" s="51"/>
      <c r="D41" s="29"/>
      <c r="E41" s="124"/>
      <c r="F41" s="3"/>
      <c r="G41" s="2"/>
    </row>
    <row r="42" spans="1:7" x14ac:dyDescent="0.25">
      <c r="A42" s="2"/>
      <c r="B42" s="3"/>
      <c r="C42" s="51"/>
      <c r="D42" s="29"/>
      <c r="E42" s="124"/>
      <c r="F42" s="3"/>
      <c r="G42" s="2"/>
    </row>
    <row r="43" spans="1:7" x14ac:dyDescent="0.25">
      <c r="A43" s="2"/>
      <c r="B43" s="3"/>
      <c r="C43" s="51"/>
      <c r="D43" s="29"/>
      <c r="E43" s="124"/>
      <c r="F43" s="3"/>
      <c r="G43" s="2"/>
    </row>
    <row r="44" spans="1:7" x14ac:dyDescent="0.25">
      <c r="A44" s="2"/>
      <c r="B44" s="3"/>
      <c r="C44" s="51"/>
      <c r="D44" s="29"/>
      <c r="E44" s="124"/>
      <c r="F44" s="3"/>
      <c r="G44" s="2"/>
    </row>
    <row r="45" spans="1:7" x14ac:dyDescent="0.25">
      <c r="A45" s="2"/>
      <c r="B45" s="3"/>
      <c r="C45" s="51"/>
      <c r="D45" s="29"/>
      <c r="E45" s="124"/>
      <c r="F45" s="3"/>
      <c r="G45" s="2"/>
    </row>
    <row r="46" spans="1:7" x14ac:dyDescent="0.25">
      <c r="A46" s="2"/>
      <c r="B46" s="3"/>
      <c r="C46" s="51"/>
      <c r="D46" s="29"/>
      <c r="E46" s="124"/>
      <c r="F46" s="3"/>
      <c r="G46" s="2"/>
    </row>
    <row r="47" spans="1:7" x14ac:dyDescent="0.25">
      <c r="A47" s="2"/>
      <c r="B47" s="3"/>
      <c r="C47" s="51"/>
      <c r="D47" s="29"/>
      <c r="E47" s="124"/>
      <c r="F47" s="3"/>
      <c r="G47" s="2"/>
    </row>
    <row r="48" spans="1:7" x14ac:dyDescent="0.25">
      <c r="A48" s="2"/>
      <c r="B48" s="3"/>
      <c r="C48" s="51"/>
      <c r="D48" s="29"/>
      <c r="E48" s="124"/>
      <c r="F48" s="3"/>
      <c r="G48" s="2"/>
    </row>
    <row r="49" spans="1:7" x14ac:dyDescent="0.25">
      <c r="A49" s="2"/>
      <c r="B49" s="3"/>
      <c r="C49" s="51"/>
      <c r="D49" s="29"/>
      <c r="E49" s="124"/>
      <c r="F49" s="3"/>
      <c r="G49" s="2"/>
    </row>
    <row r="50" spans="1:7" x14ac:dyDescent="0.25">
      <c r="A50" s="2"/>
      <c r="B50" s="3"/>
      <c r="C50" s="51"/>
      <c r="D50" s="29"/>
      <c r="E50" s="124"/>
      <c r="F50" s="3"/>
      <c r="G50" s="2"/>
    </row>
    <row r="51" spans="1:7" x14ac:dyDescent="0.25">
      <c r="A51" s="2"/>
      <c r="B51" s="3"/>
      <c r="C51" s="51"/>
      <c r="D51" s="29"/>
      <c r="E51" s="124"/>
      <c r="F51" s="3"/>
      <c r="G51" s="2"/>
    </row>
    <row r="52" spans="1:7" x14ac:dyDescent="0.25">
      <c r="A52" s="2"/>
      <c r="B52" s="3"/>
      <c r="C52" s="51"/>
      <c r="D52" s="29"/>
      <c r="E52" s="124"/>
      <c r="F52" s="3"/>
      <c r="G52" s="2"/>
    </row>
    <row r="53" spans="1:7" x14ac:dyDescent="0.25">
      <c r="A53" s="2"/>
      <c r="B53" s="3"/>
      <c r="C53" s="51"/>
      <c r="D53" s="29"/>
      <c r="E53" s="124"/>
      <c r="F53" s="3"/>
      <c r="G53" s="2"/>
    </row>
    <row r="54" spans="1:7" x14ac:dyDescent="0.25">
      <c r="A54" s="2"/>
      <c r="B54" s="3"/>
      <c r="C54" s="51"/>
      <c r="D54" s="29"/>
      <c r="E54" s="124"/>
      <c r="F54" s="3"/>
      <c r="G54" s="2"/>
    </row>
    <row r="55" spans="1:7" x14ac:dyDescent="0.25">
      <c r="A55" s="2"/>
      <c r="B55" s="3"/>
      <c r="C55" s="51"/>
      <c r="D55" s="29"/>
      <c r="E55" s="124"/>
      <c r="F55" s="3"/>
      <c r="G55" s="2"/>
    </row>
    <row r="56" spans="1:7" x14ac:dyDescent="0.25">
      <c r="A56" s="2"/>
      <c r="B56" s="3"/>
      <c r="C56" s="51"/>
      <c r="D56" s="29"/>
      <c r="E56" s="124"/>
      <c r="F56" s="3"/>
      <c r="G56" s="2"/>
    </row>
    <row r="57" spans="1:7" x14ac:dyDescent="0.25">
      <c r="A57" s="2"/>
      <c r="B57" s="3"/>
      <c r="C57" s="51"/>
      <c r="D57" s="29"/>
      <c r="E57" s="124"/>
      <c r="F57" s="3"/>
      <c r="G57" s="2"/>
    </row>
    <row r="58" spans="1:7" x14ac:dyDescent="0.25">
      <c r="A58" s="2"/>
      <c r="B58" s="3"/>
      <c r="C58" s="51"/>
      <c r="D58" s="29"/>
      <c r="E58" s="124"/>
      <c r="F58" s="3"/>
      <c r="G58" s="2"/>
    </row>
    <row r="59" spans="1:7" x14ac:dyDescent="0.25">
      <c r="A59" s="2"/>
      <c r="B59" s="3"/>
      <c r="C59" s="51"/>
      <c r="D59" s="29"/>
      <c r="E59" s="124"/>
      <c r="F59" s="3"/>
      <c r="G59" s="2"/>
    </row>
    <row r="60" spans="1:7" x14ac:dyDescent="0.25">
      <c r="A60" s="2"/>
      <c r="B60" s="3"/>
      <c r="C60" s="51"/>
      <c r="D60" s="29"/>
      <c r="E60" s="124"/>
      <c r="F60" s="3"/>
      <c r="G60" s="2"/>
    </row>
    <row r="61" spans="1:7" x14ac:dyDescent="0.25">
      <c r="A61" s="2"/>
      <c r="B61" s="3"/>
      <c r="C61" s="51"/>
      <c r="D61" s="29"/>
      <c r="E61" s="124"/>
      <c r="F61" s="3"/>
      <c r="G61" s="2"/>
    </row>
    <row r="62" spans="1:7" x14ac:dyDescent="0.25">
      <c r="A62" s="2"/>
      <c r="B62" s="3"/>
      <c r="C62" s="51"/>
      <c r="D62" s="29"/>
      <c r="E62" s="124"/>
      <c r="F62" s="3"/>
      <c r="G62" s="2"/>
    </row>
    <row r="63" spans="1:7" x14ac:dyDescent="0.25">
      <c r="A63" s="2"/>
      <c r="B63" s="3"/>
      <c r="C63" s="51"/>
      <c r="D63" s="29"/>
      <c r="E63" s="124"/>
      <c r="F63" s="3"/>
      <c r="G63" s="2"/>
    </row>
    <row r="64" spans="1:7" x14ac:dyDescent="0.25">
      <c r="A64" s="2"/>
      <c r="B64" s="3"/>
      <c r="C64" s="51"/>
      <c r="D64" s="29"/>
      <c r="E64" s="124"/>
      <c r="F64" s="3"/>
      <c r="G64" s="2"/>
    </row>
    <row r="65" spans="1:7" x14ac:dyDescent="0.25">
      <c r="A65" s="2"/>
      <c r="B65" s="3"/>
      <c r="C65" s="51"/>
      <c r="D65" s="29"/>
      <c r="E65" s="124"/>
      <c r="F65" s="3"/>
      <c r="G65" s="2"/>
    </row>
    <row r="66" spans="1:7" x14ac:dyDescent="0.25">
      <c r="A66" s="2"/>
      <c r="B66" s="3"/>
      <c r="C66" s="51"/>
      <c r="D66" s="29"/>
      <c r="E66" s="124"/>
      <c r="F66" s="3"/>
      <c r="G66" s="2"/>
    </row>
    <row r="67" spans="1:7" x14ac:dyDescent="0.25">
      <c r="A67" s="2"/>
      <c r="B67" s="3"/>
      <c r="C67" s="51"/>
      <c r="D67" s="29"/>
      <c r="E67" s="124"/>
      <c r="F67" s="3"/>
      <c r="G67" s="2"/>
    </row>
    <row r="68" spans="1:7" x14ac:dyDescent="0.25">
      <c r="A68" s="2"/>
      <c r="B68" s="3"/>
      <c r="C68" s="51"/>
      <c r="D68" s="29"/>
      <c r="E68" s="124"/>
      <c r="F68" s="3"/>
      <c r="G68" s="2"/>
    </row>
    <row r="69" spans="1:7" x14ac:dyDescent="0.25">
      <c r="A69" s="2"/>
      <c r="B69" s="3"/>
      <c r="C69" s="51"/>
      <c r="D69" s="29"/>
      <c r="E69" s="124"/>
      <c r="F69" s="3"/>
      <c r="G69" s="2"/>
    </row>
    <row r="70" spans="1:7" x14ac:dyDescent="0.25">
      <c r="A70" s="2"/>
      <c r="B70" s="3"/>
      <c r="C70" s="51"/>
      <c r="D70" s="29"/>
      <c r="E70" s="124"/>
      <c r="F70" s="3"/>
      <c r="G70" s="2"/>
    </row>
    <row r="71" spans="1:7" x14ac:dyDescent="0.25">
      <c r="A71" s="2"/>
      <c r="B71" s="3"/>
      <c r="C71" s="51"/>
      <c r="D71" s="29"/>
      <c r="E71" s="124"/>
      <c r="F71" s="3"/>
      <c r="G71" s="2"/>
    </row>
    <row r="72" spans="1:7" x14ac:dyDescent="0.25">
      <c r="A72" s="2"/>
      <c r="B72" s="3"/>
      <c r="C72" s="51"/>
      <c r="D72" s="29"/>
      <c r="E72" s="124"/>
      <c r="F72" s="3"/>
      <c r="G72" s="2"/>
    </row>
    <row r="73" spans="1:7" x14ac:dyDescent="0.25">
      <c r="A73" s="2"/>
      <c r="B73" s="3"/>
      <c r="C73" s="51"/>
      <c r="D73" s="29"/>
      <c r="E73" s="124"/>
      <c r="F73" s="3"/>
      <c r="G73" s="2"/>
    </row>
    <row r="74" spans="1:7" x14ac:dyDescent="0.25">
      <c r="A74" s="2"/>
      <c r="B74" s="3"/>
      <c r="C74" s="51"/>
      <c r="D74" s="29"/>
      <c r="E74" s="124"/>
      <c r="F74" s="3"/>
      <c r="G74" s="2"/>
    </row>
    <row r="75" spans="1:7" x14ac:dyDescent="0.25">
      <c r="A75" s="2"/>
      <c r="B75" s="3"/>
      <c r="C75" s="51"/>
      <c r="D75" s="29"/>
      <c r="E75" s="124"/>
      <c r="F75" s="3"/>
      <c r="G75" s="2"/>
    </row>
    <row r="76" spans="1:7" x14ac:dyDescent="0.25">
      <c r="A76" s="2"/>
      <c r="B76" s="3"/>
      <c r="C76" s="51"/>
      <c r="D76" s="29"/>
      <c r="E76" s="124"/>
      <c r="F76" s="3"/>
      <c r="G76" s="2"/>
    </row>
    <row r="77" spans="1:7" x14ac:dyDescent="0.25">
      <c r="A77" s="2"/>
      <c r="B77" s="3"/>
      <c r="C77" s="51"/>
      <c r="D77" s="29"/>
      <c r="E77" s="124"/>
      <c r="F77" s="3"/>
      <c r="G77" s="2"/>
    </row>
    <row r="78" spans="1:7" x14ac:dyDescent="0.25">
      <c r="A78" s="2"/>
      <c r="B78" s="3"/>
      <c r="C78" s="51"/>
      <c r="D78" s="29"/>
      <c r="E78" s="124"/>
      <c r="F78" s="3"/>
      <c r="G78" s="2"/>
    </row>
    <row r="79" spans="1:7" x14ac:dyDescent="0.25">
      <c r="A79" s="2"/>
      <c r="B79" s="3"/>
      <c r="C79" s="51"/>
      <c r="D79" s="29"/>
      <c r="E79" s="124"/>
      <c r="F79" s="3"/>
      <c r="G79" s="2"/>
    </row>
    <row r="80" spans="1:7" x14ac:dyDescent="0.25">
      <c r="A80" s="2"/>
      <c r="B80" s="3"/>
      <c r="C80" s="51"/>
      <c r="D80" s="29"/>
      <c r="E80" s="124"/>
      <c r="F80" s="3"/>
      <c r="G80" s="2"/>
    </row>
    <row r="81" spans="1:7" x14ac:dyDescent="0.25">
      <c r="A81" s="2"/>
      <c r="B81" s="3"/>
      <c r="C81" s="51"/>
      <c r="D81" s="29"/>
      <c r="E81" s="124"/>
      <c r="F81" s="3"/>
      <c r="G81" s="2"/>
    </row>
    <row r="82" spans="1:7" x14ac:dyDescent="0.25">
      <c r="A82" s="2"/>
      <c r="B82" s="3"/>
      <c r="C82" s="51"/>
      <c r="D82" s="29"/>
      <c r="E82" s="124"/>
      <c r="F82" s="3"/>
      <c r="G82" s="2"/>
    </row>
    <row r="83" spans="1:7" x14ac:dyDescent="0.25">
      <c r="A83" s="2"/>
      <c r="B83" s="3"/>
      <c r="C83" s="51"/>
      <c r="D83" s="29"/>
      <c r="E83" s="124"/>
      <c r="F83" s="3"/>
      <c r="G83" s="2"/>
    </row>
    <row r="84" spans="1:7" x14ac:dyDescent="0.25">
      <c r="A84" s="2"/>
      <c r="B84" s="3"/>
      <c r="C84" s="51"/>
      <c r="D84" s="29"/>
      <c r="E84" s="124"/>
      <c r="F84" s="3"/>
      <c r="G84" s="2"/>
    </row>
    <row r="85" spans="1:7" x14ac:dyDescent="0.25">
      <c r="A85" s="2"/>
      <c r="B85" s="3"/>
      <c r="C85" s="51"/>
      <c r="D85" s="29"/>
      <c r="E85" s="124"/>
      <c r="F85" s="3"/>
      <c r="G85" s="2"/>
    </row>
    <row r="86" spans="1:7" x14ac:dyDescent="0.25">
      <c r="A86" s="2"/>
      <c r="B86" s="3"/>
      <c r="C86" s="51"/>
      <c r="D86" s="29"/>
      <c r="E86" s="124"/>
      <c r="F86" s="3"/>
      <c r="G86" s="2"/>
    </row>
    <row r="87" spans="1:7" x14ac:dyDescent="0.25">
      <c r="A87" s="2"/>
      <c r="B87" s="3"/>
      <c r="C87" s="51"/>
      <c r="D87" s="29"/>
      <c r="E87" s="124"/>
      <c r="F87" s="3"/>
      <c r="G87" s="2"/>
    </row>
    <row r="88" spans="1:7" x14ac:dyDescent="0.25">
      <c r="A88" s="2"/>
      <c r="B88" s="3"/>
      <c r="C88" s="51"/>
      <c r="D88" s="29"/>
      <c r="E88" s="124"/>
      <c r="F88" s="3"/>
      <c r="G88" s="2"/>
    </row>
    <row r="89" spans="1:7" x14ac:dyDescent="0.25">
      <c r="A89" s="2"/>
      <c r="B89" s="3"/>
      <c r="C89" s="51"/>
      <c r="D89" s="29"/>
      <c r="E89" s="124"/>
      <c r="F89" s="3"/>
      <c r="G89" s="2"/>
    </row>
    <row r="90" spans="1:7" x14ac:dyDescent="0.25">
      <c r="A90" s="2"/>
      <c r="B90" s="3"/>
      <c r="C90" s="51"/>
      <c r="D90" s="29"/>
      <c r="E90" s="124"/>
      <c r="F90" s="3"/>
      <c r="G90" s="2"/>
    </row>
    <row r="91" spans="1:7" x14ac:dyDescent="0.25">
      <c r="A91" s="2"/>
      <c r="B91" s="3"/>
      <c r="C91" s="51"/>
      <c r="D91" s="29"/>
      <c r="E91" s="124"/>
      <c r="F91" s="3"/>
      <c r="G91" s="2"/>
    </row>
    <row r="92" spans="1:7" x14ac:dyDescent="0.25">
      <c r="A92" s="2"/>
      <c r="B92" s="3"/>
      <c r="C92" s="51"/>
      <c r="D92" s="29"/>
      <c r="E92" s="124"/>
      <c r="F92" s="3"/>
      <c r="G92" s="2"/>
    </row>
    <row r="93" spans="1:7" x14ac:dyDescent="0.25">
      <c r="A93" s="2"/>
      <c r="B93" s="3"/>
      <c r="C93" s="51"/>
      <c r="D93" s="29"/>
      <c r="E93" s="124"/>
      <c r="F93" s="3"/>
      <c r="G93" s="2"/>
    </row>
    <row r="94" spans="1:7" x14ac:dyDescent="0.25">
      <c r="A94" s="2"/>
      <c r="B94" s="3"/>
      <c r="C94" s="51"/>
      <c r="D94" s="29"/>
      <c r="E94" s="124"/>
      <c r="F94" s="3"/>
      <c r="G94" s="2"/>
    </row>
    <row r="95" spans="1:7" x14ac:dyDescent="0.25">
      <c r="A95" s="2"/>
      <c r="B95" s="3"/>
      <c r="C95" s="51"/>
      <c r="D95" s="29"/>
      <c r="E95" s="124"/>
      <c r="F95" s="3"/>
      <c r="G95" s="2"/>
    </row>
    <row r="96" spans="1:7" x14ac:dyDescent="0.25">
      <c r="A96" s="2"/>
      <c r="B96" s="3"/>
      <c r="C96" s="51"/>
      <c r="D96" s="29"/>
      <c r="E96" s="124"/>
      <c r="F96" s="3"/>
      <c r="G96" s="2"/>
    </row>
    <row r="97" spans="1:7" x14ac:dyDescent="0.25">
      <c r="A97" s="2"/>
      <c r="B97" s="3"/>
      <c r="C97" s="51"/>
      <c r="D97" s="29"/>
      <c r="E97" s="124"/>
      <c r="F97" s="3"/>
      <c r="G97" s="2"/>
    </row>
    <row r="98" spans="1:7" x14ac:dyDescent="0.25">
      <c r="A98" s="2"/>
      <c r="B98" s="3"/>
      <c r="C98" s="51"/>
      <c r="D98" s="29"/>
      <c r="E98" s="124"/>
      <c r="F98" s="3"/>
      <c r="G98" s="2"/>
    </row>
    <row r="99" spans="1:7" x14ac:dyDescent="0.25">
      <c r="A99" s="2"/>
      <c r="B99" s="3"/>
      <c r="C99" s="51"/>
      <c r="D99" s="29"/>
      <c r="E99" s="124"/>
      <c r="F99" s="3"/>
      <c r="G99" s="2"/>
    </row>
    <row r="100" spans="1:7" x14ac:dyDescent="0.25">
      <c r="A100" s="2"/>
      <c r="B100" s="3"/>
      <c r="C100" s="51"/>
      <c r="D100" s="29"/>
      <c r="E100" s="124"/>
      <c r="F100" s="3"/>
      <c r="G100" s="2"/>
    </row>
  </sheetData>
  <sortState ref="A8:G19">
    <sortCondition descending="1" ref="D8:D19"/>
  </sortState>
  <phoneticPr fontId="9" type="noConversion"/>
  <printOptions horizontalCentered="1"/>
  <pageMargins left="0.75" right="0.75" top="1" bottom="1" header="0.5" footer="0.5"/>
  <pageSetup orientation="portrait" horizontalDpi="1200" verticalDpi="1200" r:id="rId1"/>
  <headerFooter alignWithMargins="0">
    <oddHeader>&amp;L&amp;"Tahoma,Bold"&amp;11U.S. Biathlon Association&amp;R&amp;"Tahoma,Bold"&amp;11 2018 Race Points</oddHeader>
    <oddFooter>&amp;R&amp;"Tahoma,Regular"Page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1"/>
  <sheetViews>
    <sheetView workbookViewId="0">
      <selection activeCell="C8" sqref="C8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1306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43176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43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935</v>
      </c>
      <c r="C5" s="22"/>
      <c r="D5" s="22"/>
      <c r="E5" s="22" t="s">
        <v>55</v>
      </c>
      <c r="F5" s="38">
        <f>AVERAGE(C8:C10)*(AVERAGE(D8:D10)/100)</f>
        <v>2.1986364738892029E-2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17</v>
      </c>
      <c r="B8" s="3" t="s">
        <v>189</v>
      </c>
      <c r="C8" s="51">
        <f>E13-F13</f>
        <v>2.2358796296296293E-2</v>
      </c>
      <c r="D8" s="29">
        <f>INDEX('Points Summary'!$F$4:$F$1143,G8)</f>
        <v>98.820210613063381</v>
      </c>
      <c r="E8" s="124">
        <f>(AVERAGE($D$8:$D$10)/100*AVERAGE($C$8:$C$10))/C8</f>
        <v>0.98334295136156513</v>
      </c>
      <c r="F8" s="3"/>
      <c r="G8" s="2">
        <f>MATCH(B8,'Points Summary'!$B$4:$B$1144,0)</f>
        <v>120</v>
      </c>
    </row>
    <row r="9" spans="1:7" x14ac:dyDescent="0.25">
      <c r="A9" s="2">
        <v>28</v>
      </c>
      <c r="B9" s="3" t="s">
        <v>84</v>
      </c>
      <c r="C9" s="51">
        <f>E14-F14</f>
        <v>2.2104166666666664E-2</v>
      </c>
      <c r="D9" s="29">
        <f>INDEX('Points Summary'!$F$4:$F$1143,G9)</f>
        <v>99.460903353359868</v>
      </c>
      <c r="E9" s="124">
        <f>(AVERAGE($D$8:$D$10)/100*AVERAGE($C$8:$C$10))/C9</f>
        <v>0.99467060081698166</v>
      </c>
      <c r="F9" s="3"/>
      <c r="G9" s="2">
        <f>MATCH(B9,'Points Summary'!$B$4:$B$1144,0)</f>
        <v>13</v>
      </c>
    </row>
    <row r="10" spans="1:7" x14ac:dyDescent="0.25">
      <c r="A10" s="2">
        <v>40</v>
      </c>
      <c r="B10" s="3" t="s">
        <v>70</v>
      </c>
      <c r="C10" s="51">
        <f>E15-F15</f>
        <v>2.2790509259259257E-2</v>
      </c>
      <c r="D10" s="29">
        <f>INDEX('Points Summary'!$F$4:$F$1143,G10)</f>
        <v>95.945007171519649</v>
      </c>
      <c r="E10" s="124">
        <f>(AVERAGE($D$8:$D$10)/100*AVERAGE($C$8:$C$10))/C10</f>
        <v>0.96471581607854928</v>
      </c>
      <c r="F10" s="3"/>
      <c r="G10" s="2">
        <f>MATCH(B10,'Points Summary'!$B$4:$B$1144,0)</f>
        <v>309</v>
      </c>
    </row>
    <row r="11" spans="1:7" x14ac:dyDescent="0.25">
      <c r="A11" s="2">
        <v>47</v>
      </c>
      <c r="B11" s="3" t="s">
        <v>7</v>
      </c>
      <c r="C11" s="51">
        <f>E16-F16</f>
        <v>2.3196759259259261E-2</v>
      </c>
      <c r="D11" s="29">
        <f>INDEX('Points Summary'!$F$4:$F$1143,G11)</f>
        <v>99.815882011789284</v>
      </c>
      <c r="E11" s="124">
        <f>(AVERAGE($D$8:$D$10)/100*AVERAGE($C$8:$C$10))/C11</f>
        <v>0.94782053359957652</v>
      </c>
      <c r="F11" s="3"/>
      <c r="G11" s="2">
        <f>MATCH(B11,'Points Summary'!$B$4:$B$1144,0)</f>
        <v>63</v>
      </c>
    </row>
    <row r="12" spans="1:7" x14ac:dyDescent="0.25">
      <c r="A12" s="2"/>
      <c r="B12" s="3"/>
      <c r="C12" s="51"/>
      <c r="D12" s="29"/>
      <c r="E12" s="124"/>
      <c r="F12" s="3"/>
      <c r="G12" s="2"/>
    </row>
    <row r="13" spans="1:7" x14ac:dyDescent="0.25">
      <c r="A13" s="2"/>
      <c r="B13" s="3"/>
      <c r="C13" s="51">
        <v>2.1812499999999999E-2</v>
      </c>
      <c r="D13" s="51">
        <v>1.0902777777777779E-3</v>
      </c>
      <c r="E13" s="51">
        <f>C13+D13</f>
        <v>2.2902777777777775E-2</v>
      </c>
      <c r="F13" s="51">
        <f>TIME(0,0,47)</f>
        <v>5.4398148148148144E-4</v>
      </c>
      <c r="G13" s="2"/>
    </row>
    <row r="14" spans="1:7" x14ac:dyDescent="0.25">
      <c r="A14" s="2"/>
      <c r="B14" s="3"/>
      <c r="C14" s="51">
        <v>2.1812499999999999E-2</v>
      </c>
      <c r="D14" s="51">
        <v>1.4722222222222222E-3</v>
      </c>
      <c r="E14" s="51">
        <f>C14+D14</f>
        <v>2.3284722222222221E-2</v>
      </c>
      <c r="F14" s="51">
        <f>TIME(0,1,42)</f>
        <v>1.1805555555555556E-3</v>
      </c>
      <c r="G14" s="2"/>
    </row>
    <row r="15" spans="1:7" x14ac:dyDescent="0.25">
      <c r="A15" s="2"/>
      <c r="B15" s="3"/>
      <c r="C15" s="51">
        <v>2.1812499999999999E-2</v>
      </c>
      <c r="D15" s="51">
        <v>2.170138888888889E-3</v>
      </c>
      <c r="E15" s="51">
        <f>C15+D15</f>
        <v>2.3982638888888887E-2</v>
      </c>
      <c r="F15" s="51">
        <f>TIME(0,1,43)</f>
        <v>1.1921296296296296E-3</v>
      </c>
      <c r="G15" s="2"/>
    </row>
    <row r="16" spans="1:7" x14ac:dyDescent="0.25">
      <c r="A16" s="2"/>
      <c r="B16" s="3"/>
      <c r="C16" s="51">
        <v>2.1812499999999999E-2</v>
      </c>
      <c r="D16" s="51">
        <v>2.9236111111111112E-3</v>
      </c>
      <c r="E16" s="51">
        <f>C16+D16</f>
        <v>2.4736111111111111E-2</v>
      </c>
      <c r="F16" s="51">
        <f>TIME(0,2,13)</f>
        <v>1.5393518518518519E-3</v>
      </c>
      <c r="G16" s="2"/>
    </row>
    <row r="17" spans="1:11" x14ac:dyDescent="0.25">
      <c r="A17" s="42"/>
      <c r="B17" s="3"/>
      <c r="C17" s="51"/>
      <c r="D17" s="29"/>
      <c r="E17" s="124"/>
      <c r="F17" s="3"/>
      <c r="G17" s="2"/>
    </row>
    <row r="18" spans="1:11" x14ac:dyDescent="0.25">
      <c r="A18" s="42"/>
      <c r="B18" s="3"/>
      <c r="C18" s="51"/>
      <c r="D18" s="29"/>
      <c r="E18" s="124"/>
      <c r="F18" s="3"/>
      <c r="G18" s="2"/>
    </row>
    <row r="19" spans="1:11" x14ac:dyDescent="0.25">
      <c r="A19" s="2"/>
      <c r="B19" s="3"/>
      <c r="C19" s="51"/>
      <c r="D19" s="29"/>
      <c r="E19" s="124"/>
      <c r="F19" s="3"/>
      <c r="G19" s="2"/>
    </row>
    <row r="20" spans="1:11" x14ac:dyDescent="0.25">
      <c r="A20" s="42"/>
      <c r="B20" s="3"/>
      <c r="C20" s="51"/>
      <c r="D20" s="29"/>
      <c r="E20" s="124"/>
      <c r="F20" s="3"/>
      <c r="G20" s="2"/>
    </row>
    <row r="21" spans="1:11" x14ac:dyDescent="0.25">
      <c r="A21" s="42"/>
      <c r="B21" s="3"/>
      <c r="C21" s="51"/>
      <c r="D21" s="29"/>
      <c r="E21" s="124"/>
      <c r="F21" s="3"/>
      <c r="G21" s="2"/>
    </row>
    <row r="22" spans="1:11" x14ac:dyDescent="0.25">
      <c r="A22" s="42"/>
      <c r="B22" s="3"/>
      <c r="C22" s="51"/>
      <c r="D22" s="29"/>
      <c r="E22" s="124"/>
      <c r="F22" s="3"/>
      <c r="G22" s="2"/>
    </row>
    <row r="23" spans="1:11" x14ac:dyDescent="0.25">
      <c r="A23" s="42"/>
      <c r="B23" s="3"/>
      <c r="C23" s="51"/>
      <c r="D23" s="29"/>
      <c r="E23" s="124"/>
      <c r="F23" s="3"/>
      <c r="G23" s="2"/>
    </row>
    <row r="24" spans="1:11" x14ac:dyDescent="0.25">
      <c r="A24" s="42"/>
      <c r="B24" s="3"/>
      <c r="C24" s="51"/>
      <c r="D24" s="29"/>
      <c r="E24" s="124"/>
      <c r="F24" s="3"/>
      <c r="G24" s="2"/>
    </row>
    <row r="25" spans="1:11" x14ac:dyDescent="0.25">
      <c r="A25" s="42"/>
      <c r="B25" s="3"/>
      <c r="C25" s="51"/>
      <c r="D25" s="29"/>
      <c r="E25" s="124"/>
      <c r="F25" s="3"/>
      <c r="G25" s="2"/>
    </row>
    <row r="26" spans="1:11" x14ac:dyDescent="0.25">
      <c r="A26" s="2"/>
      <c r="B26" s="3"/>
      <c r="C26" s="51"/>
      <c r="D26" s="29"/>
      <c r="E26" s="124"/>
      <c r="F26" s="3"/>
      <c r="G26" s="2"/>
    </row>
    <row r="27" spans="1:11" x14ac:dyDescent="0.25">
      <c r="A27" s="42"/>
      <c r="B27" s="3"/>
      <c r="C27" s="28"/>
      <c r="D27" s="29"/>
      <c r="E27" s="30"/>
      <c r="F27" s="3"/>
      <c r="G27" s="2"/>
      <c r="K27" s="44"/>
    </row>
    <row r="28" spans="1:11" x14ac:dyDescent="0.25">
      <c r="A28" s="42"/>
      <c r="B28" s="3"/>
      <c r="C28" s="28"/>
      <c r="D28" s="29"/>
      <c r="E28" s="30"/>
      <c r="F28" s="3"/>
      <c r="G28" s="2"/>
      <c r="K28" s="44"/>
    </row>
    <row r="29" spans="1:11" x14ac:dyDescent="0.25">
      <c r="B29" s="3"/>
      <c r="C29" s="28"/>
      <c r="D29" s="29"/>
      <c r="E29" s="30"/>
      <c r="F29" s="3"/>
      <c r="G29" s="2"/>
      <c r="K29" s="44"/>
    </row>
    <row r="30" spans="1:11" x14ac:dyDescent="0.25">
      <c r="B30" s="3"/>
      <c r="C30" s="28"/>
      <c r="D30" s="29"/>
      <c r="E30" s="30"/>
      <c r="F30" s="3"/>
      <c r="G30" s="2"/>
      <c r="K30" s="44"/>
    </row>
    <row r="31" spans="1:11" x14ac:dyDescent="0.25">
      <c r="B31" s="3"/>
      <c r="C31" s="28"/>
      <c r="D31" s="29"/>
      <c r="E31" s="30"/>
      <c r="F31" s="3"/>
      <c r="G31" s="2"/>
      <c r="K31" s="44"/>
    </row>
    <row r="32" spans="1:11" x14ac:dyDescent="0.25">
      <c r="B32" s="3"/>
      <c r="C32" s="28"/>
      <c r="D32" s="29"/>
      <c r="E32" s="30"/>
      <c r="F32" s="3"/>
      <c r="G32" s="2"/>
      <c r="K32" s="44"/>
    </row>
    <row r="33" spans="2:11" x14ac:dyDescent="0.25">
      <c r="B33" s="3"/>
      <c r="C33" s="28"/>
      <c r="D33" s="29"/>
      <c r="E33" s="30"/>
      <c r="F33" s="3"/>
      <c r="G33" s="2"/>
    </row>
    <row r="34" spans="2:11" x14ac:dyDescent="0.25">
      <c r="B34" s="3"/>
      <c r="C34" s="28"/>
      <c r="D34" s="29"/>
      <c r="E34" s="30"/>
      <c r="F34" s="3"/>
      <c r="G34" s="2"/>
    </row>
    <row r="35" spans="2:11" x14ac:dyDescent="0.25">
      <c r="B35" s="3"/>
      <c r="C35" s="28"/>
      <c r="D35" s="29"/>
      <c r="E35" s="30"/>
      <c r="F35" s="3"/>
      <c r="G35" s="2"/>
    </row>
    <row r="36" spans="2:11" x14ac:dyDescent="0.25">
      <c r="B36" s="3"/>
      <c r="C36" s="28"/>
      <c r="D36" s="29"/>
      <c r="E36" s="30"/>
      <c r="F36" s="3"/>
      <c r="G36" s="2"/>
    </row>
    <row r="37" spans="2:11" x14ac:dyDescent="0.25">
      <c r="B37" s="3"/>
      <c r="C37" s="28"/>
      <c r="D37" s="29"/>
      <c r="E37" s="30"/>
      <c r="F37" s="3"/>
      <c r="G37" s="2"/>
    </row>
    <row r="38" spans="2:11" x14ac:dyDescent="0.25">
      <c r="B38" s="3"/>
      <c r="C38" s="28"/>
      <c r="D38" s="29"/>
      <c r="E38" s="30"/>
      <c r="F38" s="3"/>
      <c r="G38" s="2"/>
    </row>
    <row r="39" spans="2:11" x14ac:dyDescent="0.25">
      <c r="B39" s="3"/>
      <c r="C39" s="28"/>
      <c r="D39" s="29"/>
      <c r="E39" s="30"/>
      <c r="F39" s="3"/>
      <c r="G39" s="2"/>
    </row>
    <row r="40" spans="2:11" x14ac:dyDescent="0.25">
      <c r="B40" s="3"/>
      <c r="C40" s="28"/>
      <c r="D40" s="29"/>
      <c r="E40" s="30"/>
      <c r="F40" s="3"/>
      <c r="G40" s="2"/>
    </row>
    <row r="41" spans="2:11" x14ac:dyDescent="0.25">
      <c r="B41" s="3"/>
      <c r="C41" s="28"/>
      <c r="D41" s="29"/>
      <c r="E41" s="30"/>
      <c r="F41" s="3"/>
      <c r="G41" s="2"/>
      <c r="K41" s="44"/>
    </row>
    <row r="42" spans="2:11" x14ac:dyDescent="0.25">
      <c r="B42" s="3"/>
      <c r="C42" s="28"/>
      <c r="D42" s="29"/>
      <c r="E42" s="30"/>
      <c r="F42" s="3"/>
      <c r="G42" s="2"/>
      <c r="K42" s="44"/>
    </row>
    <row r="43" spans="2:11" x14ac:dyDescent="0.25">
      <c r="B43" s="3"/>
      <c r="C43" s="28"/>
      <c r="D43" s="29"/>
      <c r="E43" s="30"/>
      <c r="F43" s="3"/>
      <c r="G43" s="2"/>
      <c r="K43" s="44"/>
    </row>
    <row r="44" spans="2:11" x14ac:dyDescent="0.25">
      <c r="B44" s="3"/>
      <c r="C44" s="28"/>
      <c r="D44" s="29"/>
      <c r="E44" s="30"/>
      <c r="F44" s="3"/>
      <c r="G44" s="2"/>
      <c r="K44" s="44"/>
    </row>
    <row r="45" spans="2:11" x14ac:dyDescent="0.25">
      <c r="B45" s="3"/>
      <c r="C45" s="28"/>
      <c r="D45" s="29"/>
      <c r="E45" s="30"/>
      <c r="F45" s="3"/>
      <c r="G45" s="2"/>
      <c r="K45" s="44"/>
    </row>
    <row r="46" spans="2:11" x14ac:dyDescent="0.25">
      <c r="B46" s="3"/>
      <c r="C46" s="28"/>
      <c r="D46" s="29"/>
      <c r="E46" s="30"/>
      <c r="F46" s="3"/>
      <c r="G46" s="2"/>
      <c r="K46" s="44"/>
    </row>
    <row r="47" spans="2:11" x14ac:dyDescent="0.25">
      <c r="B47" s="3"/>
      <c r="C47" s="28"/>
      <c r="D47" s="29"/>
      <c r="E47" s="30"/>
      <c r="F47" s="3"/>
      <c r="G47" s="2"/>
      <c r="K47" s="44"/>
    </row>
    <row r="48" spans="2:11" x14ac:dyDescent="0.25">
      <c r="B48" s="3"/>
      <c r="C48" s="28"/>
      <c r="D48" s="29"/>
      <c r="E48" s="30"/>
      <c r="F48" s="3"/>
      <c r="G48" s="2"/>
      <c r="K48" s="44"/>
    </row>
    <row r="49" spans="2:11" x14ac:dyDescent="0.25">
      <c r="B49" s="3"/>
      <c r="C49" s="28"/>
      <c r="D49" s="29"/>
      <c r="E49" s="30"/>
      <c r="F49" s="3"/>
      <c r="G49" s="2"/>
      <c r="K49" s="44"/>
    </row>
    <row r="50" spans="2:11" x14ac:dyDescent="0.25">
      <c r="B50" s="3"/>
      <c r="C50" s="28"/>
      <c r="D50" s="29"/>
      <c r="E50" s="30"/>
      <c r="F50" s="3"/>
      <c r="G50" s="2"/>
      <c r="K50" s="44"/>
    </row>
    <row r="51" spans="2:11" x14ac:dyDescent="0.25">
      <c r="B51" s="3"/>
      <c r="C51" s="28"/>
      <c r="D51" s="29"/>
      <c r="E51" s="30"/>
      <c r="F51" s="3"/>
      <c r="G51" s="2"/>
      <c r="K51" s="44"/>
    </row>
    <row r="52" spans="2:11" x14ac:dyDescent="0.25">
      <c r="B52" s="3"/>
      <c r="C52" s="28"/>
      <c r="D52" s="29"/>
      <c r="E52" s="30"/>
      <c r="F52" s="3"/>
      <c r="G52" s="2"/>
      <c r="K52" s="44"/>
    </row>
    <row r="53" spans="2:11" x14ac:dyDescent="0.25">
      <c r="B53" s="3"/>
      <c r="C53" s="28"/>
      <c r="D53" s="29"/>
      <c r="E53" s="30"/>
      <c r="F53" s="3"/>
      <c r="G53" s="2"/>
      <c r="K53" s="44"/>
    </row>
    <row r="54" spans="2:11" x14ac:dyDescent="0.25">
      <c r="B54" s="3"/>
      <c r="C54" s="28"/>
      <c r="D54" s="29"/>
      <c r="E54" s="30"/>
      <c r="F54" s="3"/>
      <c r="G54" s="2"/>
    </row>
    <row r="55" spans="2:11" x14ac:dyDescent="0.25">
      <c r="B55" s="3"/>
      <c r="C55" s="28"/>
      <c r="D55" s="29"/>
      <c r="E55" s="30"/>
      <c r="F55" s="3"/>
      <c r="G55" s="2"/>
    </row>
    <row r="56" spans="2:11" x14ac:dyDescent="0.25">
      <c r="B56" s="3"/>
      <c r="C56" s="28"/>
      <c r="D56" s="29"/>
      <c r="E56" s="30"/>
      <c r="F56" s="3"/>
      <c r="G56" s="2"/>
    </row>
    <row r="57" spans="2:11" x14ac:dyDescent="0.25">
      <c r="B57" s="3"/>
      <c r="C57" s="28"/>
      <c r="D57" s="29"/>
      <c r="E57" s="30"/>
      <c r="F57" s="3"/>
      <c r="G57" s="2"/>
    </row>
    <row r="58" spans="2:11" x14ac:dyDescent="0.25">
      <c r="B58" s="3"/>
      <c r="C58" s="28"/>
      <c r="D58" s="29"/>
      <c r="E58" s="30"/>
      <c r="F58" s="3"/>
      <c r="G58" s="2"/>
    </row>
    <row r="59" spans="2:11" x14ac:dyDescent="0.25">
      <c r="B59" s="3"/>
      <c r="C59" s="28"/>
      <c r="D59" s="29"/>
      <c r="E59" s="30"/>
      <c r="F59" s="3"/>
      <c r="G59" s="2"/>
    </row>
    <row r="60" spans="2:11" x14ac:dyDescent="0.25">
      <c r="B60" s="3"/>
      <c r="C60" s="28"/>
      <c r="D60" s="29"/>
      <c r="E60" s="30"/>
      <c r="F60" s="3"/>
      <c r="G60" s="2"/>
    </row>
    <row r="61" spans="2:11" x14ac:dyDescent="0.25">
      <c r="B61" s="3"/>
      <c r="C61" s="28"/>
      <c r="D61" s="29"/>
      <c r="E61" s="30"/>
      <c r="F61" s="3"/>
      <c r="G61" s="2"/>
    </row>
    <row r="62" spans="2:11" x14ac:dyDescent="0.25">
      <c r="B62" s="3"/>
      <c r="C62" s="28"/>
      <c r="D62" s="29"/>
      <c r="E62" s="30"/>
      <c r="F62" s="3"/>
      <c r="G62" s="2"/>
    </row>
    <row r="63" spans="2:11" x14ac:dyDescent="0.25">
      <c r="B63" s="3"/>
      <c r="C63" s="28"/>
      <c r="D63" s="29"/>
      <c r="E63" s="30"/>
      <c r="F63" s="3"/>
      <c r="G63" s="2"/>
    </row>
    <row r="64" spans="2:11" x14ac:dyDescent="0.25">
      <c r="B64" s="3"/>
      <c r="C64" s="28"/>
      <c r="D64" s="29"/>
      <c r="E64" s="30"/>
      <c r="F64" s="3"/>
      <c r="G64" s="2"/>
    </row>
    <row r="66" spans="11:11" x14ac:dyDescent="0.25">
      <c r="K66" s="44"/>
    </row>
    <row r="67" spans="11:11" x14ac:dyDescent="0.25">
      <c r="K67" s="44"/>
    </row>
    <row r="68" spans="11:11" x14ac:dyDescent="0.25">
      <c r="K68" s="44"/>
    </row>
    <row r="69" spans="11:11" x14ac:dyDescent="0.25">
      <c r="K69" s="44"/>
    </row>
    <row r="70" spans="11:11" x14ac:dyDescent="0.25">
      <c r="K70" s="44"/>
    </row>
    <row r="71" spans="11:11" x14ac:dyDescent="0.25">
      <c r="K71" s="44"/>
    </row>
    <row r="72" spans="11:11" x14ac:dyDescent="0.25">
      <c r="K72" s="44"/>
    </row>
    <row r="73" spans="11:11" x14ac:dyDescent="0.25">
      <c r="K73" s="44"/>
    </row>
    <row r="74" spans="11:11" x14ac:dyDescent="0.25">
      <c r="K74" s="44"/>
    </row>
    <row r="75" spans="11:11" x14ac:dyDescent="0.25">
      <c r="K75" s="44"/>
    </row>
    <row r="76" spans="11:11" x14ac:dyDescent="0.25">
      <c r="K76" s="44"/>
    </row>
    <row r="77" spans="11:11" x14ac:dyDescent="0.25">
      <c r="K77" s="44"/>
    </row>
    <row r="78" spans="11:11" x14ac:dyDescent="0.25">
      <c r="K78" s="44"/>
    </row>
    <row r="79" spans="11:11" x14ac:dyDescent="0.25">
      <c r="K79" s="44"/>
    </row>
    <row r="98" spans="11:11" x14ac:dyDescent="0.25">
      <c r="K98" s="44"/>
    </row>
    <row r="99" spans="11:11" x14ac:dyDescent="0.25">
      <c r="K99" s="44"/>
    </row>
    <row r="100" spans="11:11" x14ac:dyDescent="0.25">
      <c r="K100" s="44"/>
    </row>
    <row r="101" spans="11:11" x14ac:dyDescent="0.25">
      <c r="K101" s="44"/>
    </row>
  </sheetData>
  <sortState ref="A8:G26">
    <sortCondition descending="1" ref="D8:D26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  <oddFooter>&amp;C&amp;"Tahoma,Regular"Page &amp;P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workbookViewId="0">
      <selection activeCell="B1" sqref="B1:B5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1307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43169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1080</v>
      </c>
      <c r="C5" s="22"/>
      <c r="D5" s="22"/>
      <c r="E5" s="22" t="s">
        <v>55</v>
      </c>
      <c r="F5" s="38">
        <f>AVERAGE(C8:C12)*(AVERAGE(D8:D12)/100)</f>
        <v>1.3201118379344066E-2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</v>
      </c>
      <c r="B8" s="3" t="s">
        <v>947</v>
      </c>
      <c r="C8" s="51">
        <v>1.7870370370370373E-2</v>
      </c>
      <c r="D8" s="29">
        <f>INDEX('Points Summary'!$F$4:$F$1143,G8)</f>
        <v>75.795752491003284</v>
      </c>
      <c r="E8" s="124">
        <f>(AVERAGE($D$8:$D$12)/100*AVERAGE($C$8:$C$12))/C8</f>
        <v>0.73871543262650718</v>
      </c>
      <c r="F8" s="3"/>
      <c r="G8" s="2">
        <f>MATCH(B8,'Points Summary'!$B$4:$B$1144,0)</f>
        <v>425</v>
      </c>
    </row>
    <row r="9" spans="1:7" x14ac:dyDescent="0.25">
      <c r="A9" s="2">
        <v>4</v>
      </c>
      <c r="B9" s="3" t="s">
        <v>948</v>
      </c>
      <c r="C9" s="51" t="s">
        <v>1314</v>
      </c>
      <c r="D9" s="29">
        <f>INDEX('Points Summary'!$F$4:$F$1143,G9)</f>
        <v>68.104283723343599</v>
      </c>
      <c r="E9" s="124">
        <f t="shared" ref="E9:E25" si="0">(AVERAGE($D$8:$D$12)/100*AVERAGE($C$8:$C$12))/C9</f>
        <v>0.56801624899169678</v>
      </c>
      <c r="F9" s="3"/>
      <c r="G9" s="2">
        <f>MATCH(B9,'Points Summary'!$B$4:$B$1144,0)</f>
        <v>4</v>
      </c>
    </row>
    <row r="10" spans="1:7" x14ac:dyDescent="0.25">
      <c r="A10" s="2">
        <v>3</v>
      </c>
      <c r="B10" s="3" t="s">
        <v>949</v>
      </c>
      <c r="C10" s="51">
        <v>2.1354166666666664E-2</v>
      </c>
      <c r="D10" s="29">
        <f>INDEX('Points Summary'!$F$4:$F$1143,G10)</f>
        <v>65.022067464120298</v>
      </c>
      <c r="E10" s="124">
        <f t="shared" si="0"/>
        <v>0.61819871434977103</v>
      </c>
      <c r="F10" s="3"/>
      <c r="G10" s="2">
        <f>MATCH(B10,'Points Summary'!$B$4:$B$1144,0)</f>
        <v>278</v>
      </c>
    </row>
    <row r="11" spans="1:7" x14ac:dyDescent="0.25">
      <c r="A11" s="2">
        <v>1</v>
      </c>
      <c r="B11" s="3" t="s">
        <v>957</v>
      </c>
      <c r="C11" s="51" t="s">
        <v>1317</v>
      </c>
      <c r="D11" s="29">
        <f>INDEX('Points Summary'!$F$4:$F$1143,G11)</f>
        <v>63.894640519474201</v>
      </c>
      <c r="E11" s="124">
        <f t="shared" si="0"/>
        <v>0.62737988337476747</v>
      </c>
      <c r="F11" s="3"/>
      <c r="G11" s="2">
        <f>MATCH(B11,'Points Summary'!$B$4:$B$1144,0)</f>
        <v>386</v>
      </c>
    </row>
    <row r="12" spans="1:7" x14ac:dyDescent="0.25">
      <c r="A12" s="2">
        <v>3</v>
      </c>
      <c r="B12" s="3" t="s">
        <v>1312</v>
      </c>
      <c r="C12" s="51" t="s">
        <v>1319</v>
      </c>
      <c r="D12" s="29">
        <f>INDEX('Points Summary'!$F$4:$F$1143,G12)</f>
        <v>63.735816432134548</v>
      </c>
      <c r="E12" s="124">
        <f t="shared" si="0"/>
        <v>0.58551161600376145</v>
      </c>
      <c r="F12" s="3"/>
      <c r="G12" s="2">
        <f>MATCH(B12,'Points Summary'!$B$4:$B$1144,0)</f>
        <v>376</v>
      </c>
    </row>
    <row r="13" spans="1:7" x14ac:dyDescent="0.25">
      <c r="A13" s="2">
        <v>2</v>
      </c>
      <c r="B13" s="3" t="s">
        <v>954</v>
      </c>
      <c r="C13" s="51" t="s">
        <v>1318</v>
      </c>
      <c r="D13" s="29">
        <f>INDEX('Points Summary'!$F$4:$F$1143,G13)</f>
        <v>61.662453318181292</v>
      </c>
      <c r="E13" s="124">
        <f t="shared" si="0"/>
        <v>0.62021567589740478</v>
      </c>
      <c r="F13" s="3"/>
      <c r="G13" s="2">
        <f>MATCH(B13,'Points Summary'!$B$4:$B$1144,0)</f>
        <v>110</v>
      </c>
    </row>
    <row r="14" spans="1:7" x14ac:dyDescent="0.25">
      <c r="A14" s="2">
        <v>2</v>
      </c>
      <c r="B14" s="3" t="s">
        <v>950</v>
      </c>
      <c r="C14" s="51">
        <v>2.101851851851852E-2</v>
      </c>
      <c r="D14" s="29">
        <f>INDEX('Points Summary'!$F$4:$F$1143,G14)</f>
        <v>59.914210747568333</v>
      </c>
      <c r="E14" s="124">
        <f t="shared" si="0"/>
        <v>0.62807083038288947</v>
      </c>
      <c r="F14" s="3"/>
      <c r="G14" s="2">
        <f>MATCH(B14,'Points Summary'!$B$4:$B$1144,0)</f>
        <v>392</v>
      </c>
    </row>
    <row r="15" spans="1:7" x14ac:dyDescent="0.25">
      <c r="A15" s="2">
        <v>1</v>
      </c>
      <c r="B15" s="3" t="s">
        <v>1077</v>
      </c>
      <c r="C15" s="51">
        <v>2.4189814814814817E-2</v>
      </c>
      <c r="D15" s="29">
        <f>INDEX('Points Summary'!$F$4:$F$1143,G15)</f>
        <v>51.11270901898466</v>
      </c>
      <c r="E15" s="124">
        <f t="shared" si="0"/>
        <v>0.54573044400733361</v>
      </c>
      <c r="F15" s="3"/>
      <c r="G15" s="2">
        <f>MATCH(B15,'Points Summary'!$B$4:$B$1144,0)</f>
        <v>379</v>
      </c>
    </row>
    <row r="16" spans="1:7" x14ac:dyDescent="0.25">
      <c r="A16" s="2">
        <v>5</v>
      </c>
      <c r="B16" s="3" t="s">
        <v>1082</v>
      </c>
      <c r="C16" s="51" t="s">
        <v>1321</v>
      </c>
      <c r="D16" s="29">
        <f>INDEX('Points Summary'!$F$4:$F$1143,G16)</f>
        <v>50.185121139002248</v>
      </c>
      <c r="E16" s="124">
        <f t="shared" si="0"/>
        <v>0.49547203647929072</v>
      </c>
      <c r="F16" s="3"/>
      <c r="G16" s="2">
        <f>MATCH(B16,'Points Summary'!$B$4:$B$1144,0)</f>
        <v>444</v>
      </c>
    </row>
    <row r="17" spans="1:7" x14ac:dyDescent="0.25">
      <c r="A17" s="2">
        <v>4</v>
      </c>
      <c r="B17" s="3" t="s">
        <v>1083</v>
      </c>
      <c r="C17" s="51" t="s">
        <v>1320</v>
      </c>
      <c r="D17" s="29">
        <f>INDEX('Points Summary'!$F$4:$F$1143,G17)</f>
        <v>50.01433796395763</v>
      </c>
      <c r="E17" s="124">
        <f t="shared" si="0"/>
        <v>0.50245666430631153</v>
      </c>
      <c r="F17" s="3"/>
      <c r="G17" s="2">
        <f>MATCH(B17,'Points Summary'!$B$4:$B$1144,0)</f>
        <v>135</v>
      </c>
    </row>
    <row r="18" spans="1:7" x14ac:dyDescent="0.25">
      <c r="A18" s="2">
        <v>6</v>
      </c>
      <c r="B18" s="3" t="s">
        <v>955</v>
      </c>
      <c r="C18" s="51" t="s">
        <v>1322</v>
      </c>
      <c r="D18" s="29">
        <f>INDEX('Points Summary'!$F$4:$F$1143,G18)</f>
        <v>46.1958590881178</v>
      </c>
      <c r="E18" s="124">
        <f t="shared" si="0"/>
        <v>0.33685074659637548</v>
      </c>
      <c r="F18" s="3"/>
      <c r="G18" s="2">
        <f>MATCH(B18,'Points Summary'!$B$4:$B$1144,0)</f>
        <v>453</v>
      </c>
    </row>
    <row r="19" spans="1:7" x14ac:dyDescent="0.25">
      <c r="A19" s="2">
        <v>1</v>
      </c>
      <c r="B19" s="3" t="s">
        <v>964</v>
      </c>
      <c r="C19" s="51">
        <v>2.4918981481481483E-2</v>
      </c>
      <c r="D19" s="29">
        <f>INDEX('Points Summary'!$F$4:$F$1143,G19)</f>
        <v>43.852882186675011</v>
      </c>
      <c r="E19" s="124">
        <f t="shared" si="0"/>
        <v>0.52976155502802014</v>
      </c>
      <c r="F19" s="3"/>
      <c r="G19" s="2">
        <f>MATCH(B19,'Points Summary'!$B$4:$B$1144,0)</f>
        <v>58</v>
      </c>
    </row>
    <row r="20" spans="1:7" x14ac:dyDescent="0.25">
      <c r="A20" s="2">
        <v>5</v>
      </c>
      <c r="B20" s="3" t="s">
        <v>958</v>
      </c>
      <c r="C20" s="51" t="s">
        <v>1315</v>
      </c>
      <c r="D20" s="29">
        <f>INDEX('Points Summary'!$F$4:$F$1143,G20)</f>
        <v>42.136488704099797</v>
      </c>
      <c r="E20" s="124">
        <f t="shared" si="0"/>
        <v>0.41779363662099905</v>
      </c>
      <c r="F20" s="3"/>
      <c r="G20" s="2">
        <f>MATCH(B20,'Points Summary'!$B$4:$B$1144,0)</f>
        <v>92</v>
      </c>
    </row>
    <row r="21" spans="1:7" x14ac:dyDescent="0.25">
      <c r="A21" s="2">
        <v>2</v>
      </c>
      <c r="B21" s="3" t="s">
        <v>1308</v>
      </c>
      <c r="C21" s="51">
        <v>2.4259259259259258E-2</v>
      </c>
      <c r="D21" s="29">
        <f>INDEX('Points Summary'!$F$4:$F$1143,G21)</f>
        <v>0</v>
      </c>
      <c r="E21" s="124">
        <f t="shared" si="0"/>
        <v>0.54416823853784702</v>
      </c>
      <c r="F21" s="3"/>
      <c r="G21" s="2">
        <f>MATCH(B21,'Points Summary'!$B$4:$B$1144,0)</f>
        <v>76</v>
      </c>
    </row>
    <row r="22" spans="1:7" x14ac:dyDescent="0.25">
      <c r="A22" s="2">
        <v>3</v>
      </c>
      <c r="B22" s="3" t="s">
        <v>1309</v>
      </c>
      <c r="C22" s="51">
        <v>2.884259259259259E-2</v>
      </c>
      <c r="D22" s="29">
        <f>INDEX('Points Summary'!$F$4:$F$1143,G22)</f>
        <v>0</v>
      </c>
      <c r="E22" s="124">
        <f t="shared" si="0"/>
        <v>0.45769527607356636</v>
      </c>
      <c r="F22" s="3"/>
      <c r="G22" s="2">
        <f>MATCH(B22,'Points Summary'!$B$4:$B$1144,0)</f>
        <v>339</v>
      </c>
    </row>
    <row r="23" spans="1:7" x14ac:dyDescent="0.25">
      <c r="A23" s="2">
        <v>4</v>
      </c>
      <c r="B23" s="3" t="s">
        <v>1310</v>
      </c>
      <c r="C23" s="51">
        <v>3.9733796296296302E-2</v>
      </c>
      <c r="D23" s="29">
        <f>INDEX('Points Summary'!$F$4:$F$1143,G23)</f>
        <v>0</v>
      </c>
      <c r="E23" s="124">
        <f t="shared" si="0"/>
        <v>0.33223904106476176</v>
      </c>
      <c r="F23" s="3"/>
      <c r="G23" s="2">
        <f>MATCH(B23,'Points Summary'!$B$4:$B$1144,0)</f>
        <v>179</v>
      </c>
    </row>
    <row r="24" spans="1:7" x14ac:dyDescent="0.25">
      <c r="A24" s="2">
        <v>6</v>
      </c>
      <c r="B24" s="3" t="s">
        <v>1311</v>
      </c>
      <c r="C24" s="51" t="s">
        <v>1316</v>
      </c>
      <c r="D24" s="29">
        <f>INDEX('Points Summary'!$F$4:$F$1143,G24)</f>
        <v>0</v>
      </c>
      <c r="E24" s="124">
        <f t="shared" si="0"/>
        <v>0.37518968025504185</v>
      </c>
      <c r="F24" s="3"/>
      <c r="G24" s="2">
        <f>MATCH(B24,'Points Summary'!$B$4:$B$1144,0)</f>
        <v>265</v>
      </c>
    </row>
    <row r="25" spans="1:7" x14ac:dyDescent="0.25">
      <c r="A25" s="2">
        <v>7</v>
      </c>
      <c r="B25" s="3" t="s">
        <v>1313</v>
      </c>
      <c r="C25" s="51" t="s">
        <v>1323</v>
      </c>
      <c r="D25" s="29">
        <f>INDEX('Points Summary'!$F$4:$F$1143,G25)</f>
        <v>0</v>
      </c>
      <c r="E25" s="124">
        <f t="shared" si="0"/>
        <v>0.31368994168738373</v>
      </c>
      <c r="F25" s="3"/>
      <c r="G25" s="2">
        <f>MATCH(B25,'Points Summary'!$B$4:$B$1144,0)</f>
        <v>440</v>
      </c>
    </row>
    <row r="26" spans="1:7" x14ac:dyDescent="0.25">
      <c r="A26" s="2"/>
      <c r="B26" s="3"/>
      <c r="C26" s="28"/>
      <c r="D26" s="29"/>
      <c r="E26" s="30"/>
      <c r="F26" s="3"/>
      <c r="G26" s="2"/>
    </row>
    <row r="27" spans="1:7" x14ac:dyDescent="0.25">
      <c r="A27" s="2"/>
      <c r="B27" s="3"/>
      <c r="C27" s="28"/>
      <c r="D27" s="29"/>
      <c r="E27" s="30"/>
      <c r="F27" s="3"/>
      <c r="G27" s="2"/>
    </row>
    <row r="28" spans="1:7" x14ac:dyDescent="0.25">
      <c r="B28" s="3"/>
      <c r="C28" s="28"/>
      <c r="D28" s="29"/>
      <c r="E28" s="30"/>
      <c r="F28" s="3"/>
      <c r="G28" s="2"/>
    </row>
    <row r="29" spans="1:7" x14ac:dyDescent="0.25">
      <c r="B29" s="3"/>
      <c r="C29" s="28"/>
      <c r="D29" s="29"/>
      <c r="E29" s="30"/>
      <c r="F29" s="3"/>
      <c r="G29" s="2"/>
    </row>
  </sheetData>
  <sortState ref="A8:G25">
    <sortCondition descending="1" ref="D8:D25"/>
  </sortState>
  <phoneticPr fontId="9" type="noConversion"/>
  <printOptions horizontalCentered="1"/>
  <pageMargins left="0.75" right="0.75" top="1" bottom="1" header="0.5" footer="0.5"/>
  <pageSetup orientation="portrait" horizontalDpi="200" verticalDpi="200" r:id="rId1"/>
  <headerFooter alignWithMargins="0">
    <oddHeader>&amp;L&amp;"Tahoma,Bold"&amp;11U.S. Biathlon Association&amp;R&amp;"Tahoma,Bold"&amp;11 2018 Race Points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9" x14ac:dyDescent="0.25">
      <c r="A1" s="16" t="s">
        <v>22</v>
      </c>
      <c r="B1" s="17" t="s">
        <v>1326</v>
      </c>
      <c r="C1" s="133"/>
      <c r="D1" s="18"/>
      <c r="E1" s="18"/>
      <c r="F1" s="18"/>
      <c r="G1" s="19"/>
    </row>
    <row r="2" spans="1:9" x14ac:dyDescent="0.25">
      <c r="A2" s="20" t="s">
        <v>23</v>
      </c>
      <c r="B2" s="21">
        <v>43170</v>
      </c>
      <c r="C2" s="56"/>
      <c r="D2" s="22"/>
      <c r="E2" s="22"/>
      <c r="F2" s="22"/>
      <c r="G2" s="23"/>
    </row>
    <row r="3" spans="1:9" x14ac:dyDescent="0.25">
      <c r="A3" s="20" t="s">
        <v>24</v>
      </c>
      <c r="B3" s="24" t="s">
        <v>44</v>
      </c>
      <c r="C3" s="56"/>
      <c r="D3" s="22"/>
      <c r="E3" s="22"/>
      <c r="F3" s="22"/>
      <c r="G3" s="23"/>
    </row>
    <row r="4" spans="1:9" x14ac:dyDescent="0.25">
      <c r="A4" s="20" t="s">
        <v>1</v>
      </c>
      <c r="B4" s="24" t="s">
        <v>26</v>
      </c>
      <c r="C4" s="56"/>
      <c r="D4" s="22"/>
      <c r="E4" s="22"/>
      <c r="F4" s="22"/>
      <c r="G4" s="23"/>
    </row>
    <row r="5" spans="1:9" x14ac:dyDescent="0.25">
      <c r="A5" s="20" t="s">
        <v>27</v>
      </c>
      <c r="B5" s="24" t="s">
        <v>1080</v>
      </c>
      <c r="C5" s="56"/>
      <c r="D5" s="22"/>
      <c r="E5" s="22" t="s">
        <v>55</v>
      </c>
      <c r="F5" s="38">
        <f>AVERAGE(C8:C10)*(AVERAGE(D8:D10)/100)</f>
        <v>1.9133357579914596E-2</v>
      </c>
      <c r="G5" s="23"/>
    </row>
    <row r="6" spans="1:9" x14ac:dyDescent="0.25">
      <c r="A6" s="25" t="s">
        <v>29</v>
      </c>
      <c r="B6" s="26"/>
      <c r="C6" s="134"/>
      <c r="D6" s="26"/>
      <c r="E6" s="26"/>
      <c r="F6" s="26"/>
      <c r="G6" s="27"/>
    </row>
    <row r="7" spans="1:9" x14ac:dyDescent="0.25">
      <c r="A7" s="2" t="s">
        <v>2</v>
      </c>
      <c r="B7" s="3" t="s">
        <v>3</v>
      </c>
      <c r="C7" s="51" t="s">
        <v>30</v>
      </c>
      <c r="D7" s="2" t="s">
        <v>31</v>
      </c>
      <c r="E7" s="2" t="s">
        <v>32</v>
      </c>
      <c r="F7" s="3"/>
      <c r="G7" s="2" t="s">
        <v>27</v>
      </c>
    </row>
    <row r="8" spans="1:9" x14ac:dyDescent="0.25">
      <c r="A8" s="2">
        <v>2</v>
      </c>
      <c r="B8" s="3" t="s">
        <v>947</v>
      </c>
      <c r="C8" s="51">
        <f>TIME(0,40,29)</f>
        <v>2.8113425925925927E-2</v>
      </c>
      <c r="D8" s="29">
        <f>INDEX('Points Summary'!$F$4:$F$1143,G8)</f>
        <v>75.795752491003284</v>
      </c>
      <c r="E8" s="124">
        <f t="shared" ref="E8:E20" si="0">(AVERAGE($D$8:$D$10)/100*AVERAGE($C$8:$C$10))/C8</f>
        <v>0.68057723133166781</v>
      </c>
      <c r="F8" s="3"/>
      <c r="G8" s="2">
        <f>MATCH(B8,'Points Summary'!$B$4:$B$1144,0)</f>
        <v>425</v>
      </c>
      <c r="H8" s="51"/>
    </row>
    <row r="9" spans="1:9" x14ac:dyDescent="0.25">
      <c r="A9" s="2">
        <v>3</v>
      </c>
      <c r="B9" s="3" t="s">
        <v>948</v>
      </c>
      <c r="C9" s="51">
        <f>TIME(0,42,6)</f>
        <v>2.9236111111111112E-2</v>
      </c>
      <c r="D9" s="29">
        <f>INDEX('Points Summary'!$F$4:$F$1143,G9)</f>
        <v>68.104283723343599</v>
      </c>
      <c r="E9" s="124">
        <f t="shared" si="0"/>
        <v>0.65444263456239948</v>
      </c>
      <c r="F9" s="3"/>
      <c r="G9" s="2">
        <f>MATCH(B9,'Points Summary'!$B$4:$B$1144,0)</f>
        <v>4</v>
      </c>
      <c r="H9" s="51"/>
      <c r="I9" s="121"/>
    </row>
    <row r="10" spans="1:9" x14ac:dyDescent="0.25">
      <c r="A10" s="2">
        <v>3</v>
      </c>
      <c r="B10" s="3" t="s">
        <v>957</v>
      </c>
      <c r="C10" s="51">
        <f>TIME(0,36,45)</f>
        <v>2.5520833333333336E-2</v>
      </c>
      <c r="D10" s="29">
        <f>INDEX('Points Summary'!$F$4:$F$1143,G10)</f>
        <v>63.894640519474201</v>
      </c>
      <c r="E10" s="124">
        <f t="shared" si="0"/>
        <v>0.74971523578440857</v>
      </c>
      <c r="F10" s="3"/>
      <c r="G10" s="2">
        <f>MATCH(B10,'Points Summary'!$B$4:$B$1144,0)</f>
        <v>386</v>
      </c>
      <c r="H10" s="51"/>
    </row>
    <row r="11" spans="1:9" x14ac:dyDescent="0.25">
      <c r="A11" s="2">
        <v>2</v>
      </c>
      <c r="B11" s="3" t="s">
        <v>1312</v>
      </c>
      <c r="C11" s="51">
        <f>TIME(0,34,53)</f>
        <v>2.4224537037037034E-2</v>
      </c>
      <c r="D11" s="29">
        <f>INDEX('Points Summary'!$F$4:$F$1143,G11)</f>
        <v>63.735816432134548</v>
      </c>
      <c r="E11" s="124">
        <f t="shared" si="0"/>
        <v>0.78983377682972822</v>
      </c>
      <c r="F11" s="3"/>
      <c r="G11" s="2">
        <f>MATCH(B11,'Points Summary'!$B$4:$B$1144,0)</f>
        <v>376</v>
      </c>
      <c r="H11" s="51"/>
    </row>
    <row r="12" spans="1:9" x14ac:dyDescent="0.25">
      <c r="A12" s="2">
        <v>1</v>
      </c>
      <c r="B12" s="3" t="s">
        <v>954</v>
      </c>
      <c r="C12" s="51">
        <f>TIME(0,34,14)</f>
        <v>2.3773148148148151E-2</v>
      </c>
      <c r="D12" s="29">
        <f>INDEX('Points Summary'!$F$4:$F$1143,G12)</f>
        <v>61.662453318181292</v>
      </c>
      <c r="E12" s="124">
        <f t="shared" si="0"/>
        <v>0.80483062069358369</v>
      </c>
      <c r="F12" s="3"/>
      <c r="G12" s="2">
        <f>MATCH(B12,'Points Summary'!$B$4:$B$1144,0)</f>
        <v>110</v>
      </c>
      <c r="H12" s="51"/>
    </row>
    <row r="13" spans="1:9" x14ac:dyDescent="0.25">
      <c r="A13" s="2">
        <v>4</v>
      </c>
      <c r="B13" s="3" t="s">
        <v>950</v>
      </c>
      <c r="C13" s="51">
        <f>TIME(0,48,47)</f>
        <v>3.3877314814814811E-2</v>
      </c>
      <c r="D13" s="29">
        <f>INDEX('Points Summary'!$F$4:$F$1143,G13)</f>
        <v>59.914210747568333</v>
      </c>
      <c r="E13" s="124">
        <f t="shared" si="0"/>
        <v>0.56478377003915992</v>
      </c>
      <c r="F13" s="3"/>
      <c r="G13" s="2">
        <f>MATCH(B13,'Points Summary'!$B$4:$B$1144,0)</f>
        <v>392</v>
      </c>
      <c r="H13" s="51"/>
    </row>
    <row r="14" spans="1:9" x14ac:dyDescent="0.25">
      <c r="A14" s="2">
        <v>1</v>
      </c>
      <c r="B14" s="3" t="s">
        <v>1077</v>
      </c>
      <c r="C14" s="51">
        <f>TIME(0,48,35)</f>
        <v>3.3738425925925929E-2</v>
      </c>
      <c r="D14" s="29">
        <f>INDEX('Points Summary'!$F$4:$F$1143,G14)</f>
        <v>51.11270901898466</v>
      </c>
      <c r="E14" s="124">
        <f t="shared" si="0"/>
        <v>0.56710878041324908</v>
      </c>
      <c r="F14" s="3"/>
      <c r="G14" s="2">
        <f>MATCH(B14,'Points Summary'!$B$4:$B$1144,0)</f>
        <v>379</v>
      </c>
      <c r="H14" s="51"/>
    </row>
    <row r="15" spans="1:9" x14ac:dyDescent="0.25">
      <c r="A15" s="2">
        <v>5</v>
      </c>
      <c r="B15" s="3" t="s">
        <v>1082</v>
      </c>
      <c r="C15" s="51">
        <f>TIME(0,42,55)</f>
        <v>2.9803240740740741E-2</v>
      </c>
      <c r="D15" s="29">
        <f>INDEX('Points Summary'!$F$4:$F$1143,G15)</f>
        <v>50.185121139002248</v>
      </c>
      <c r="E15" s="124">
        <f t="shared" si="0"/>
        <v>0.64198916306975573</v>
      </c>
      <c r="F15" s="3"/>
      <c r="G15" s="2">
        <f>MATCH(B15,'Points Summary'!$B$4:$B$1144,0)</f>
        <v>444</v>
      </c>
      <c r="H15" s="51"/>
    </row>
    <row r="16" spans="1:9" x14ac:dyDescent="0.25">
      <c r="A16" s="2">
        <v>4</v>
      </c>
      <c r="B16" s="3" t="s">
        <v>1083</v>
      </c>
      <c r="C16" s="51">
        <f>TIME(0,42,30)</f>
        <v>2.9513888888888892E-2</v>
      </c>
      <c r="D16" s="29">
        <f>INDEX('Points Summary'!$F$4:$F$1143,G16)</f>
        <v>50.01433796395763</v>
      </c>
      <c r="E16" s="124">
        <f t="shared" si="0"/>
        <v>0.64828317447240036</v>
      </c>
      <c r="F16" s="3"/>
      <c r="G16" s="2">
        <f>MATCH(B16,'Points Summary'!$B$4:$B$1144,0)</f>
        <v>135</v>
      </c>
      <c r="H16" s="51"/>
    </row>
    <row r="17" spans="1:8" x14ac:dyDescent="0.25">
      <c r="A17" s="2">
        <v>6</v>
      </c>
      <c r="B17" s="3" t="s">
        <v>955</v>
      </c>
      <c r="C17" s="51">
        <f>TIME(0,57,22)</f>
        <v>3.9837962962962964E-2</v>
      </c>
      <c r="D17" s="29">
        <f>INDEX('Points Summary'!$F$4:$F$1143,G17)</f>
        <v>46.1958590881178</v>
      </c>
      <c r="E17" s="124">
        <f t="shared" si="0"/>
        <v>0.48027951624190035</v>
      </c>
      <c r="F17" s="3"/>
      <c r="G17" s="2">
        <f>MATCH(B17,'Points Summary'!$B$4:$B$1144,0)</f>
        <v>453</v>
      </c>
      <c r="H17" s="51"/>
    </row>
    <row r="18" spans="1:8" x14ac:dyDescent="0.25">
      <c r="A18" s="2">
        <v>6</v>
      </c>
      <c r="B18" s="3" t="s">
        <v>958</v>
      </c>
      <c r="C18" s="51">
        <f>TIME(0,57,12)</f>
        <v>3.9722222222222221E-2</v>
      </c>
      <c r="D18" s="29">
        <f>INDEX('Points Summary'!$F$4:$F$1143,G18)</f>
        <v>42.136488704099797</v>
      </c>
      <c r="E18" s="124">
        <f t="shared" si="0"/>
        <v>0.48167893208176604</v>
      </c>
      <c r="F18" s="3"/>
      <c r="G18" s="2">
        <f>MATCH(B18,'Points Summary'!$B$4:$B$1144,0)</f>
        <v>92</v>
      </c>
      <c r="H18" s="51"/>
    </row>
    <row r="19" spans="1:8" x14ac:dyDescent="0.25">
      <c r="A19" s="2">
        <v>1</v>
      </c>
      <c r="B19" s="3" t="s">
        <v>1324</v>
      </c>
      <c r="C19" s="51">
        <f>TIME(0,48,39)</f>
        <v>3.3784722222222223E-2</v>
      </c>
      <c r="D19" s="29">
        <f>INDEX('Points Summary'!$F$4:$F$1143,G19)</f>
        <v>0</v>
      </c>
      <c r="E19" s="124">
        <f t="shared" si="0"/>
        <v>0.56633165293066834</v>
      </c>
      <c r="F19" s="3"/>
      <c r="G19" s="2">
        <f>MATCH(B19,'Points Summary'!$B$4:$B$1144,0)</f>
        <v>142</v>
      </c>
      <c r="H19" s="51"/>
    </row>
    <row r="20" spans="1:8" x14ac:dyDescent="0.25">
      <c r="A20" s="2">
        <v>5</v>
      </c>
      <c r="B20" s="3" t="s">
        <v>1325</v>
      </c>
      <c r="C20" s="51">
        <f>TIME(0,52,39)</f>
        <v>3.6562499999999998E-2</v>
      </c>
      <c r="D20" s="29">
        <f>INDEX('Points Summary'!$F$4:$F$1143,G20)</f>
        <v>0</v>
      </c>
      <c r="E20" s="124">
        <f t="shared" si="0"/>
        <v>0.5233055064592026</v>
      </c>
      <c r="F20" s="3"/>
      <c r="G20" s="2">
        <f>MATCH(B20,'Points Summary'!$B$4:$B$1144,0)</f>
        <v>365</v>
      </c>
      <c r="H20" s="51"/>
    </row>
    <row r="21" spans="1:8" x14ac:dyDescent="0.25">
      <c r="A21" s="2"/>
      <c r="B21" s="3"/>
      <c r="C21" s="51"/>
      <c r="D21" s="29"/>
      <c r="E21" s="30"/>
      <c r="F21" s="3"/>
      <c r="G21" s="2"/>
    </row>
    <row r="22" spans="1:8" x14ac:dyDescent="0.25">
      <c r="A22" s="2"/>
      <c r="B22" s="3"/>
      <c r="C22" s="51"/>
      <c r="D22" s="29"/>
      <c r="E22" s="30"/>
      <c r="F22" s="3"/>
      <c r="G22" s="2"/>
    </row>
    <row r="23" spans="1:8" x14ac:dyDescent="0.25">
      <c r="A23" s="2"/>
      <c r="B23" s="3"/>
      <c r="C23" s="51"/>
      <c r="D23" s="29"/>
      <c r="E23" s="30"/>
      <c r="F23" s="3"/>
      <c r="G23" s="2"/>
    </row>
    <row r="24" spans="1:8" x14ac:dyDescent="0.25">
      <c r="A24" s="2"/>
      <c r="B24" s="3"/>
      <c r="C24" s="51"/>
      <c r="D24" s="29"/>
      <c r="E24" s="30"/>
      <c r="F24" s="3"/>
      <c r="G24" s="2"/>
    </row>
    <row r="25" spans="1:8" x14ac:dyDescent="0.25">
      <c r="B25" s="3"/>
      <c r="C25" s="51"/>
      <c r="D25" s="29"/>
      <c r="E25" s="30"/>
      <c r="F25" s="3"/>
      <c r="G25" s="2"/>
    </row>
    <row r="26" spans="1:8" x14ac:dyDescent="0.25">
      <c r="B26" s="3"/>
      <c r="C26" s="51"/>
      <c r="D26" s="29"/>
      <c r="E26" s="30"/>
      <c r="F26" s="3"/>
      <c r="G26" s="2"/>
    </row>
    <row r="27" spans="1:8" x14ac:dyDescent="0.25">
      <c r="B27" s="3"/>
      <c r="C27" s="51"/>
      <c r="D27" s="29"/>
      <c r="E27" s="30"/>
      <c r="F27" s="3"/>
      <c r="G27" s="2"/>
    </row>
    <row r="28" spans="1:8" x14ac:dyDescent="0.25">
      <c r="B28" s="3"/>
      <c r="C28" s="28"/>
      <c r="D28" s="29"/>
      <c r="E28" s="30"/>
      <c r="F28" s="3"/>
      <c r="G28" s="2"/>
    </row>
  </sheetData>
  <sortState ref="A8:G19">
    <sortCondition descending="1" ref="D8:D19"/>
  </sortState>
  <phoneticPr fontId="9" type="noConversion"/>
  <printOptions horizontalCentered="1"/>
  <pageMargins left="0.75" right="0.75" top="1" bottom="1" header="0.5" footer="0.5"/>
  <pageSetup orientation="portrait" horizontalDpi="200" verticalDpi="200" r:id="rId1"/>
  <headerFooter alignWithMargins="0">
    <oddHeader>&amp;L&amp;"Tahoma,Bold"&amp;11U.S. Biathlon Association&amp;R&amp;"Tahoma,Bold"&amp;11 2018 Race Points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workbookViewId="0">
      <selection activeCell="E8" sqref="E8"/>
    </sheetView>
  </sheetViews>
  <sheetFormatPr defaultRowHeight="13.2" x14ac:dyDescent="0.25"/>
  <cols>
    <col min="2" max="2" width="24.6640625" customWidth="1"/>
    <col min="3" max="3" width="9.6640625" style="42" customWidth="1"/>
    <col min="4" max="7" width="9.6640625" customWidth="1"/>
  </cols>
  <sheetData>
    <row r="1" spans="1:8" x14ac:dyDescent="0.25">
      <c r="A1" s="16" t="s">
        <v>22</v>
      </c>
      <c r="B1" s="17" t="s">
        <v>1327</v>
      </c>
      <c r="C1" s="18"/>
      <c r="D1" s="18"/>
      <c r="E1" s="18"/>
      <c r="F1" s="18"/>
      <c r="G1" s="19"/>
    </row>
    <row r="2" spans="1:8" x14ac:dyDescent="0.25">
      <c r="A2" s="20" t="s">
        <v>23</v>
      </c>
      <c r="B2" s="21">
        <v>43181</v>
      </c>
      <c r="C2" s="22"/>
      <c r="D2" s="22"/>
      <c r="E2" s="22"/>
      <c r="F2" s="22"/>
      <c r="G2" s="23"/>
    </row>
    <row r="3" spans="1:8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8" x14ac:dyDescent="0.25">
      <c r="A4" s="20" t="s">
        <v>1</v>
      </c>
      <c r="B4" s="24" t="s">
        <v>1328</v>
      </c>
      <c r="C4" s="22"/>
      <c r="D4" s="22"/>
      <c r="E4" s="22"/>
      <c r="F4" s="22"/>
      <c r="G4" s="23"/>
    </row>
    <row r="5" spans="1:8" x14ac:dyDescent="0.25">
      <c r="A5" s="20" t="s">
        <v>27</v>
      </c>
      <c r="B5" s="24" t="s">
        <v>708</v>
      </c>
      <c r="C5" s="22"/>
      <c r="D5" s="22"/>
      <c r="E5" s="22" t="s">
        <v>55</v>
      </c>
      <c r="F5" s="38">
        <f>AVERAGE(C8:C10)*(AVERAGE(D8:D10)/100)</f>
        <v>1.3613720764147217E-2</v>
      </c>
      <c r="G5" s="23"/>
    </row>
    <row r="6" spans="1:8" x14ac:dyDescent="0.25">
      <c r="A6" s="25" t="s">
        <v>29</v>
      </c>
      <c r="B6" s="26"/>
      <c r="C6" s="26"/>
      <c r="D6" s="26"/>
      <c r="E6" s="26"/>
      <c r="F6" s="26"/>
      <c r="G6" s="27"/>
    </row>
    <row r="7" spans="1:8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8" x14ac:dyDescent="0.25">
      <c r="A8" s="2">
        <v>23</v>
      </c>
      <c r="B8" s="236" t="s">
        <v>1329</v>
      </c>
      <c r="C8" s="28">
        <f>TIME(0,30,40.4)</f>
        <v>2.1296296296296299E-2</v>
      </c>
      <c r="D8" s="29">
        <f>INDEX('Points Summary'!$F$4:$F$1143,G8)</f>
        <v>69.764333832680848</v>
      </c>
      <c r="E8" s="124">
        <f>(AVERAGE($D$8:$D$10)/100*AVERAGE($C$8:$C$10))/C8</f>
        <v>0.63925297501213008</v>
      </c>
      <c r="F8" s="3"/>
      <c r="G8" s="2">
        <f>MATCH(B8,'Points Summary'!$B$4:$B$1144,0)</f>
        <v>431</v>
      </c>
      <c r="H8" s="237"/>
    </row>
    <row r="9" spans="1:8" x14ac:dyDescent="0.25">
      <c r="A9" s="2">
        <v>19</v>
      </c>
      <c r="B9" s="236" t="s">
        <v>1330</v>
      </c>
      <c r="C9" s="28">
        <f>TIME(0,27,24.7)</f>
        <v>1.9027777777777779E-2</v>
      </c>
      <c r="D9" s="29">
        <f>INDEX('Points Summary'!$F$4:$F$1143,G9)</f>
        <v>66.618351292376403</v>
      </c>
      <c r="E9" s="124">
        <f>(AVERAGE($D$8:$D$10)/100*AVERAGE($C$8:$C$10))/C9</f>
        <v>0.71546561680189746</v>
      </c>
      <c r="F9" s="3"/>
      <c r="G9" s="2">
        <f>MATCH(B9,'Points Summary'!$B$4:$B$1144,0)</f>
        <v>236</v>
      </c>
      <c r="H9" s="237"/>
    </row>
    <row r="10" spans="1:8" x14ac:dyDescent="0.25">
      <c r="A10" s="2">
        <v>18</v>
      </c>
      <c r="B10" s="238" t="s">
        <v>1331</v>
      </c>
      <c r="C10" s="28">
        <f>TIME(0,34,20)</f>
        <v>2.3842592592592596E-2</v>
      </c>
      <c r="D10" s="29">
        <f>INDEX('Points Summary'!$F$4:$F$1143,G10)</f>
        <v>54.563008709734852</v>
      </c>
      <c r="E10" s="124">
        <f>(AVERAGE($D$8:$D$10)/100*AVERAGE($C$8:$C$10))/C10</f>
        <v>0.57098323981665988</v>
      </c>
      <c r="F10" s="3"/>
      <c r="G10" s="2">
        <f>MATCH(B10,'Points Summary'!$B$4:$B$1144,0)</f>
        <v>12</v>
      </c>
      <c r="H10" s="239"/>
    </row>
    <row r="11" spans="1:8" x14ac:dyDescent="0.25">
      <c r="A11" s="2"/>
      <c r="B11" s="3"/>
      <c r="C11" s="28"/>
      <c r="D11" s="29"/>
      <c r="E11" s="124"/>
      <c r="F11" s="3"/>
      <c r="G11" s="2"/>
    </row>
    <row r="12" spans="1:8" x14ac:dyDescent="0.25">
      <c r="A12" s="2"/>
      <c r="B12" s="3"/>
      <c r="C12" s="28"/>
      <c r="D12" s="29"/>
      <c r="E12" s="124"/>
      <c r="F12" s="3"/>
      <c r="G12" s="2"/>
    </row>
    <row r="13" spans="1:8" x14ac:dyDescent="0.25">
      <c r="A13" s="2"/>
      <c r="B13" s="3"/>
      <c r="C13" s="28"/>
      <c r="D13" s="28"/>
      <c r="E13" s="28"/>
      <c r="F13" s="28"/>
      <c r="G13" s="2"/>
    </row>
    <row r="14" spans="1:8" x14ac:dyDescent="0.25">
      <c r="A14" s="2"/>
      <c r="B14" s="3"/>
      <c r="C14" s="28"/>
      <c r="D14" s="28"/>
      <c r="E14" s="28"/>
      <c r="F14" s="28"/>
      <c r="G14" s="2"/>
    </row>
    <row r="15" spans="1:8" x14ac:dyDescent="0.25">
      <c r="A15" s="2"/>
      <c r="B15" s="3"/>
      <c r="C15" s="28"/>
      <c r="D15" s="29"/>
      <c r="E15" s="124"/>
      <c r="F15" s="3"/>
      <c r="G15" s="2"/>
    </row>
    <row r="16" spans="1:8" x14ac:dyDescent="0.25">
      <c r="A16" s="2"/>
      <c r="B16" s="3"/>
      <c r="C16" s="28"/>
      <c r="D16" s="29"/>
      <c r="E16" s="124"/>
      <c r="F16" s="3"/>
      <c r="G16" s="2"/>
    </row>
    <row r="17" spans="1:7" x14ac:dyDescent="0.25">
      <c r="A17" s="2"/>
      <c r="B17" s="3"/>
      <c r="C17" s="28"/>
      <c r="D17" s="29"/>
      <c r="E17" s="30"/>
      <c r="F17" s="3"/>
      <c r="G17" s="2"/>
    </row>
    <row r="18" spans="1:7" x14ac:dyDescent="0.25">
      <c r="A18" s="2"/>
      <c r="B18" s="3"/>
      <c r="C18" s="28"/>
      <c r="D18" s="29"/>
      <c r="E18" s="30"/>
      <c r="F18" s="3"/>
      <c r="G18" s="2"/>
    </row>
    <row r="19" spans="1:7" x14ac:dyDescent="0.25">
      <c r="A19" s="2"/>
      <c r="B19" s="3"/>
      <c r="C19" s="28"/>
      <c r="D19" s="29"/>
      <c r="E19" s="30"/>
      <c r="F19" s="3"/>
      <c r="G19" s="2"/>
    </row>
    <row r="20" spans="1:7" x14ac:dyDescent="0.25">
      <c r="A20" s="2"/>
      <c r="B20" s="3"/>
      <c r="C20" s="28"/>
      <c r="D20" s="29"/>
      <c r="E20" s="30"/>
      <c r="F20" s="3"/>
      <c r="G20" s="2"/>
    </row>
    <row r="21" spans="1:7" x14ac:dyDescent="0.25">
      <c r="A21" s="2"/>
      <c r="B21" s="3"/>
      <c r="C21" s="28"/>
      <c r="D21" s="29"/>
      <c r="E21" s="30"/>
      <c r="F21" s="3"/>
      <c r="G21" s="2"/>
    </row>
    <row r="22" spans="1:7" x14ac:dyDescent="0.25">
      <c r="A22" s="2"/>
      <c r="B22" s="3"/>
      <c r="C22" s="28"/>
      <c r="D22" s="29"/>
      <c r="E22" s="30"/>
      <c r="F22" s="3"/>
      <c r="G22" s="2"/>
    </row>
    <row r="23" spans="1:7" x14ac:dyDescent="0.25">
      <c r="A23" s="2"/>
      <c r="B23" s="3"/>
      <c r="C23" s="28"/>
      <c r="D23" s="29"/>
      <c r="E23" s="30"/>
      <c r="F23" s="3"/>
      <c r="G23" s="2"/>
    </row>
    <row r="24" spans="1:7" x14ac:dyDescent="0.25">
      <c r="A24" s="2"/>
      <c r="B24" s="3"/>
      <c r="C24" s="28"/>
      <c r="D24" s="29"/>
      <c r="E24" s="30"/>
      <c r="F24" s="3"/>
      <c r="G24" s="2"/>
    </row>
    <row r="25" spans="1:7" x14ac:dyDescent="0.25">
      <c r="A25" s="2"/>
      <c r="B25" s="3"/>
      <c r="C25" s="28"/>
      <c r="D25" s="29"/>
      <c r="E25" s="30"/>
      <c r="F25" s="3"/>
      <c r="G25" s="2"/>
    </row>
    <row r="26" spans="1:7" x14ac:dyDescent="0.25">
      <c r="A26" s="2"/>
      <c r="B26" s="3"/>
      <c r="C26" s="28"/>
      <c r="D26" s="29"/>
      <c r="E26" s="30"/>
      <c r="F26" s="3"/>
      <c r="G26" s="2"/>
    </row>
    <row r="27" spans="1:7" x14ac:dyDescent="0.25">
      <c r="A27" s="2"/>
      <c r="B27" s="3"/>
      <c r="C27" s="28"/>
      <c r="D27" s="29"/>
      <c r="E27" s="30"/>
      <c r="F27" s="3"/>
      <c r="G27" s="2"/>
    </row>
    <row r="28" spans="1:7" x14ac:dyDescent="0.25">
      <c r="A28" s="2"/>
      <c r="B28" s="3"/>
      <c r="C28" s="28"/>
      <c r="D28" s="29"/>
      <c r="E28" s="30"/>
      <c r="F28" s="3"/>
      <c r="G28" s="2"/>
    </row>
    <row r="29" spans="1:7" x14ac:dyDescent="0.25">
      <c r="B29" s="3"/>
      <c r="C29" s="51"/>
      <c r="D29" s="29"/>
      <c r="E29" s="30"/>
      <c r="F29" s="3"/>
      <c r="G29" s="2"/>
    </row>
    <row r="30" spans="1:7" x14ac:dyDescent="0.25">
      <c r="B30" s="3"/>
      <c r="C30" s="51"/>
      <c r="D30" s="29"/>
      <c r="E30" s="30"/>
      <c r="F30" s="3"/>
      <c r="G30" s="2"/>
    </row>
    <row r="31" spans="1:7" x14ac:dyDescent="0.25">
      <c r="B31" s="3"/>
      <c r="C31" s="51"/>
      <c r="D31" s="29"/>
      <c r="E31" s="30"/>
      <c r="F31" s="3"/>
      <c r="G31" s="2"/>
    </row>
    <row r="32" spans="1:7" x14ac:dyDescent="0.25">
      <c r="B32" s="3"/>
      <c r="C32" s="51"/>
      <c r="D32" s="29"/>
      <c r="E32" s="30"/>
      <c r="F32" s="3"/>
      <c r="G32" s="2"/>
    </row>
    <row r="33" spans="2:7" x14ac:dyDescent="0.25">
      <c r="B33" s="3"/>
      <c r="C33" s="51"/>
      <c r="D33" s="29"/>
      <c r="E33" s="30"/>
      <c r="F33" s="3"/>
      <c r="G33" s="2"/>
    </row>
    <row r="34" spans="2:7" x14ac:dyDescent="0.25">
      <c r="B34" s="3"/>
      <c r="C34" s="51"/>
      <c r="D34" s="29"/>
      <c r="E34" s="30"/>
      <c r="F34" s="3"/>
      <c r="G34" s="2"/>
    </row>
    <row r="35" spans="2:7" x14ac:dyDescent="0.25">
      <c r="B35" s="3"/>
      <c r="C35" s="51"/>
      <c r="D35" s="29"/>
      <c r="E35" s="30"/>
      <c r="F35" s="3"/>
      <c r="G35" s="2"/>
    </row>
    <row r="36" spans="2:7" x14ac:dyDescent="0.25">
      <c r="B36" s="3"/>
      <c r="C36" s="51"/>
      <c r="D36" s="29"/>
      <c r="E36" s="30"/>
      <c r="F36" s="3"/>
      <c r="G36" s="2"/>
    </row>
    <row r="37" spans="2:7" x14ac:dyDescent="0.25">
      <c r="B37" s="3"/>
      <c r="C37" s="51"/>
      <c r="D37" s="29"/>
      <c r="E37" s="30"/>
      <c r="F37" s="3"/>
      <c r="G37" s="2"/>
    </row>
    <row r="38" spans="2:7" x14ac:dyDescent="0.25">
      <c r="B38" s="3"/>
      <c r="C38" s="51"/>
      <c r="D38" s="29"/>
      <c r="E38" s="30"/>
      <c r="F38" s="3"/>
      <c r="G38" s="2"/>
    </row>
    <row r="39" spans="2:7" x14ac:dyDescent="0.25">
      <c r="B39" s="3"/>
      <c r="C39" s="51"/>
      <c r="D39" s="29"/>
      <c r="E39" s="30"/>
      <c r="F39" s="3"/>
      <c r="G39" s="2"/>
    </row>
    <row r="40" spans="2:7" x14ac:dyDescent="0.25">
      <c r="B40" s="3"/>
      <c r="C40" s="51"/>
      <c r="D40" s="29"/>
      <c r="E40" s="30"/>
      <c r="F40" s="3"/>
      <c r="G40" s="2"/>
    </row>
    <row r="41" spans="2:7" x14ac:dyDescent="0.25">
      <c r="B41" s="3"/>
      <c r="C41" s="51"/>
      <c r="D41" s="29"/>
      <c r="E41" s="30"/>
      <c r="F41" s="3"/>
      <c r="G41" s="2"/>
    </row>
    <row r="42" spans="2:7" x14ac:dyDescent="0.25">
      <c r="B42" s="3"/>
      <c r="C42" s="51"/>
      <c r="D42" s="29"/>
      <c r="E42" s="30"/>
      <c r="F42" s="3"/>
      <c r="G42" s="2"/>
    </row>
    <row r="43" spans="2:7" x14ac:dyDescent="0.25">
      <c r="B43" s="3"/>
      <c r="C43" s="51"/>
      <c r="D43" s="29"/>
      <c r="E43" s="30"/>
      <c r="F43" s="3"/>
      <c r="G43" s="2"/>
    </row>
    <row r="44" spans="2:7" x14ac:dyDescent="0.25">
      <c r="B44" s="3"/>
      <c r="C44" s="51"/>
      <c r="D44" s="29"/>
      <c r="E44" s="30"/>
      <c r="F44" s="3"/>
      <c r="G44" s="2"/>
    </row>
    <row r="45" spans="2:7" x14ac:dyDescent="0.25">
      <c r="B45" s="3"/>
      <c r="C45" s="51"/>
      <c r="D45" s="29"/>
      <c r="E45" s="30"/>
      <c r="F45" s="3"/>
      <c r="G45" s="2"/>
    </row>
    <row r="46" spans="2:7" x14ac:dyDescent="0.25">
      <c r="B46" s="3"/>
      <c r="C46" s="51"/>
      <c r="D46" s="29"/>
      <c r="E46" s="30"/>
      <c r="F46" s="3"/>
      <c r="G46" s="2"/>
    </row>
    <row r="47" spans="2:7" x14ac:dyDescent="0.25">
      <c r="B47" s="3"/>
      <c r="C47" s="51"/>
      <c r="D47" s="29"/>
      <c r="E47" s="30"/>
      <c r="F47" s="3"/>
      <c r="G47" s="2"/>
    </row>
    <row r="48" spans="2:7" x14ac:dyDescent="0.25">
      <c r="B48" s="3"/>
      <c r="C48" s="51"/>
      <c r="D48" s="29"/>
      <c r="E48" s="30"/>
      <c r="F48" s="3"/>
      <c r="G48" s="2"/>
    </row>
    <row r="49" spans="2:7" x14ac:dyDescent="0.25">
      <c r="B49" s="3"/>
      <c r="C49" s="51"/>
      <c r="D49" s="29"/>
      <c r="E49" s="30"/>
      <c r="F49" s="3"/>
      <c r="G49" s="2"/>
    </row>
    <row r="50" spans="2:7" x14ac:dyDescent="0.25">
      <c r="B50" s="3"/>
      <c r="C50" s="51"/>
      <c r="D50" s="29"/>
      <c r="E50" s="30"/>
      <c r="F50" s="3"/>
      <c r="G50" s="2"/>
    </row>
    <row r="51" spans="2:7" x14ac:dyDescent="0.25">
      <c r="B51" s="3"/>
      <c r="C51" s="51"/>
      <c r="D51" s="29"/>
    </row>
    <row r="52" spans="2:7" x14ac:dyDescent="0.25">
      <c r="B52" s="3"/>
      <c r="C52" s="51"/>
      <c r="D52" s="29"/>
    </row>
    <row r="53" spans="2:7" x14ac:dyDescent="0.25">
      <c r="B53" s="3"/>
      <c r="C53" s="51"/>
      <c r="D53" s="29"/>
    </row>
    <row r="54" spans="2:7" x14ac:dyDescent="0.25">
      <c r="B54" s="3"/>
      <c r="C54" s="51"/>
      <c r="D54" s="29"/>
    </row>
    <row r="55" spans="2:7" x14ac:dyDescent="0.25">
      <c r="B55" s="3"/>
      <c r="C55" s="51"/>
      <c r="D55" s="29"/>
    </row>
    <row r="56" spans="2:7" x14ac:dyDescent="0.25">
      <c r="B56" s="3"/>
      <c r="C56" s="51"/>
      <c r="D56" s="29"/>
    </row>
  </sheetData>
  <sortState ref="A8:G16">
    <sortCondition descending="1" ref="D8:D24"/>
  </sortState>
  <phoneticPr fontId="0" type="noConversion"/>
  <printOptions horizontalCentered="1"/>
  <pageMargins left="0.75" right="0.75" top="1" bottom="1" header="0.5" footer="0.5"/>
  <pageSetup orientation="portrait" horizontalDpi="300" verticalDpi="300" r:id="rId1"/>
  <headerFooter alignWithMargins="0">
    <oddHeader>&amp;L&amp;"Tahoma,Bold"&amp;11U.S. Biathlon Association&amp;R&amp;"Tahoma,Bold"&amp;11 2018 Race Points</oddHeader>
    <oddFooter>&amp;C&amp;"Tahoma,Regular"Page &amp;P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3" width="9.6640625" style="42" customWidth="1"/>
    <col min="4" max="7" width="9.6640625" customWidth="1"/>
  </cols>
  <sheetData>
    <row r="1" spans="1:8" x14ac:dyDescent="0.25">
      <c r="A1" s="16" t="s">
        <v>22</v>
      </c>
      <c r="B1" s="17" t="s">
        <v>1336</v>
      </c>
      <c r="C1" s="133"/>
      <c r="D1" s="18"/>
      <c r="E1" s="18"/>
      <c r="F1" s="18"/>
      <c r="G1" s="19"/>
    </row>
    <row r="2" spans="1:8" x14ac:dyDescent="0.25">
      <c r="A2" s="20" t="s">
        <v>23</v>
      </c>
      <c r="B2" s="21">
        <v>43188</v>
      </c>
      <c r="C2" s="56"/>
      <c r="D2" s="22"/>
      <c r="E2" s="22"/>
      <c r="F2" s="22"/>
      <c r="G2" s="23"/>
    </row>
    <row r="3" spans="1:8" x14ac:dyDescent="0.25">
      <c r="A3" s="20" t="s">
        <v>24</v>
      </c>
      <c r="B3" s="24" t="s">
        <v>42</v>
      </c>
      <c r="C3" s="56"/>
      <c r="D3" s="22"/>
      <c r="E3" s="22"/>
      <c r="F3" s="22"/>
      <c r="G3" s="23"/>
    </row>
    <row r="4" spans="1:8" x14ac:dyDescent="0.25">
      <c r="A4" s="20" t="s">
        <v>1</v>
      </c>
      <c r="B4" s="24" t="s">
        <v>26</v>
      </c>
      <c r="C4" s="56"/>
      <c r="D4" s="22"/>
      <c r="E4" s="22"/>
      <c r="F4" s="22"/>
      <c r="G4" s="23"/>
    </row>
    <row r="5" spans="1:8" x14ac:dyDescent="0.25">
      <c r="A5" s="20" t="s">
        <v>27</v>
      </c>
      <c r="B5" s="24" t="s">
        <v>1224</v>
      </c>
      <c r="C5" s="56"/>
      <c r="D5" s="22"/>
      <c r="E5" s="22" t="s">
        <v>55</v>
      </c>
      <c r="F5" s="38">
        <f>AVERAGE(C8:C12)*(AVERAGE(D8:D12)/100)</f>
        <v>1.5903561752269542E-2</v>
      </c>
      <c r="G5" s="23"/>
    </row>
    <row r="6" spans="1:8" x14ac:dyDescent="0.25">
      <c r="A6" s="25" t="s">
        <v>29</v>
      </c>
      <c r="B6" s="26"/>
      <c r="C6" s="134"/>
      <c r="D6" s="26"/>
      <c r="E6" s="26"/>
      <c r="F6" s="26"/>
      <c r="G6" s="27"/>
    </row>
    <row r="7" spans="1:8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8" x14ac:dyDescent="0.25">
      <c r="A8" s="2">
        <v>2</v>
      </c>
      <c r="B8" s="3" t="s">
        <v>7</v>
      </c>
      <c r="C8" s="51">
        <f>TIME(0,22,53)</f>
        <v>1.5891203703703703E-2</v>
      </c>
      <c r="D8" s="29">
        <f>INDEX('Points Summary'!$F$4:$F$1143,G8)</f>
        <v>99.815882011789284</v>
      </c>
      <c r="E8" s="124">
        <f t="shared" ref="E8:E23" si="0">(AVERAGE($D$8:$D$12)/100*AVERAGE($C$8:$C$12))/C8</f>
        <v>1.0007776659840413</v>
      </c>
      <c r="F8" s="3"/>
      <c r="G8" s="2">
        <f>MATCH(B8,'Points Summary'!$B$4:$B$1144,0)</f>
        <v>63</v>
      </c>
      <c r="H8" s="197"/>
    </row>
    <row r="9" spans="1:8" x14ac:dyDescent="0.25">
      <c r="A9" s="2">
        <v>1</v>
      </c>
      <c r="B9" s="3" t="s">
        <v>84</v>
      </c>
      <c r="C9" s="51">
        <v>1.5833333333333335E-2</v>
      </c>
      <c r="D9" s="29">
        <f>INDEX('Points Summary'!$F$4:$F$1143,G9)</f>
        <v>99.460903353359868</v>
      </c>
      <c r="E9" s="124">
        <f t="shared" si="0"/>
        <v>1.0044354790907077</v>
      </c>
      <c r="F9" s="3"/>
      <c r="G9" s="2">
        <f>MATCH(B9,'Points Summary'!$B$4:$B$1144,0)</f>
        <v>13</v>
      </c>
      <c r="H9" s="197"/>
    </row>
    <row r="10" spans="1:8" x14ac:dyDescent="0.25">
      <c r="A10" s="2">
        <v>3</v>
      </c>
      <c r="B10" s="3" t="s">
        <v>189</v>
      </c>
      <c r="C10" s="51">
        <f>TIME(0,23,8)</f>
        <v>1.6064814814814813E-2</v>
      </c>
      <c r="D10" s="29">
        <f>INDEX('Points Summary'!$F$4:$F$1143,G10)</f>
        <v>98.820210613063381</v>
      </c>
      <c r="E10" s="124">
        <f t="shared" si="0"/>
        <v>0.98996234538623096</v>
      </c>
      <c r="F10" s="3"/>
      <c r="G10" s="2">
        <f>MATCH(B10,'Points Summary'!$B$4:$B$1144,0)</f>
        <v>120</v>
      </c>
      <c r="H10" s="197"/>
    </row>
    <row r="11" spans="1:8" x14ac:dyDescent="0.25">
      <c r="A11" s="2">
        <v>8</v>
      </c>
      <c r="B11" s="3" t="s">
        <v>70</v>
      </c>
      <c r="C11" s="51">
        <f>TIME(0,24,44)</f>
        <v>1.7175925925925924E-2</v>
      </c>
      <c r="D11" s="29">
        <f>INDEX('Points Summary'!$F$4:$F$1143,G11)</f>
        <v>95.945007171519649</v>
      </c>
      <c r="E11" s="124">
        <f t="shared" si="0"/>
        <v>0.92592165457957454</v>
      </c>
      <c r="F11" s="3"/>
      <c r="G11" s="2">
        <f>MATCH(B11,'Points Summary'!$B$4:$B$1144,0)</f>
        <v>309</v>
      </c>
      <c r="H11" s="197"/>
    </row>
    <row r="12" spans="1:8" x14ac:dyDescent="0.25">
      <c r="A12" s="2">
        <v>4</v>
      </c>
      <c r="B12" s="3" t="s">
        <v>50</v>
      </c>
      <c r="C12" s="51">
        <f>TIME(0,23,30)</f>
        <v>1.6319444444444445E-2</v>
      </c>
      <c r="D12" s="29">
        <f>INDEX('Points Summary'!$F$4:$F$1143,G12)</f>
        <v>95.089327975174797</v>
      </c>
      <c r="E12" s="124">
        <f t="shared" si="0"/>
        <v>0.97451612439438884</v>
      </c>
      <c r="F12" s="3"/>
      <c r="G12" s="2">
        <f>MATCH(B12,'Points Summary'!$B$4:$B$1144,0)</f>
        <v>104</v>
      </c>
      <c r="H12" s="197"/>
    </row>
    <row r="13" spans="1:8" x14ac:dyDescent="0.25">
      <c r="A13" s="2">
        <v>5</v>
      </c>
      <c r="B13" s="3" t="s">
        <v>762</v>
      </c>
      <c r="C13" s="51">
        <f>TIME(0,23,42)</f>
        <v>1.6458333333333332E-2</v>
      </c>
      <c r="D13" s="29">
        <f>INDEX('Points Summary'!$F$4:$F$1143,G13)</f>
        <v>93.60112568228071</v>
      </c>
      <c r="E13" s="124">
        <f t="shared" si="0"/>
        <v>0.96629235963156723</v>
      </c>
      <c r="F13" s="3"/>
      <c r="G13" s="2">
        <f>MATCH(B13,'Points Summary'!$B$4:$B$1144,0)</f>
        <v>366</v>
      </c>
      <c r="H13" s="197"/>
    </row>
    <row r="14" spans="1:8" x14ac:dyDescent="0.25">
      <c r="A14" s="2">
        <v>6</v>
      </c>
      <c r="B14" s="3" t="s">
        <v>795</v>
      </c>
      <c r="C14" s="51">
        <f>TIME(0,23,55)</f>
        <v>1.6608796296296299E-2</v>
      </c>
      <c r="D14" s="29">
        <f>INDEX('Points Summary'!$F$4:$F$1143,G14)</f>
        <v>92.674366002181756</v>
      </c>
      <c r="E14" s="124">
        <f t="shared" si="0"/>
        <v>0.95753849156521831</v>
      </c>
      <c r="F14" s="3"/>
      <c r="G14" s="2">
        <f>MATCH(B14,'Points Summary'!$B$4:$B$1144,0)</f>
        <v>201</v>
      </c>
      <c r="H14" s="197"/>
    </row>
    <row r="15" spans="1:8" x14ac:dyDescent="0.25">
      <c r="A15" s="2">
        <v>9</v>
      </c>
      <c r="B15" s="3" t="s">
        <v>838</v>
      </c>
      <c r="C15" s="51">
        <f>TIME(0,26,0)</f>
        <v>1.8055555555555557E-2</v>
      </c>
      <c r="D15" s="29">
        <f>INDEX('Points Summary'!$F$4:$F$1143,G15)</f>
        <v>90.493939450526881</v>
      </c>
      <c r="E15" s="124">
        <f t="shared" si="0"/>
        <v>0.88081265089492844</v>
      </c>
      <c r="F15" s="3"/>
      <c r="G15" s="2">
        <f>MATCH(B15,'Points Summary'!$B$4:$B$1144,0)</f>
        <v>57</v>
      </c>
      <c r="H15" s="197"/>
    </row>
    <row r="16" spans="1:8" x14ac:dyDescent="0.25">
      <c r="A16" s="2">
        <v>7</v>
      </c>
      <c r="B16" s="3" t="s">
        <v>765</v>
      </c>
      <c r="C16" s="51">
        <f>TIME(0,24,31)</f>
        <v>1.7025462962962961E-2</v>
      </c>
      <c r="D16" s="29">
        <f>INDEX('Points Summary'!$F$4:$F$1143,G16)</f>
        <v>89.06928922635062</v>
      </c>
      <c r="E16" s="124">
        <f t="shared" si="0"/>
        <v>0.93410451080631451</v>
      </c>
      <c r="F16" s="3"/>
      <c r="G16" s="2">
        <f>MATCH(B16,'Points Summary'!$B$4:$B$1144,0)</f>
        <v>97</v>
      </c>
      <c r="H16" s="197"/>
    </row>
    <row r="17" spans="1:8" x14ac:dyDescent="0.25">
      <c r="A17" s="2">
        <v>12</v>
      </c>
      <c r="B17" s="3" t="s">
        <v>102</v>
      </c>
      <c r="C17" s="51">
        <f>TIME(0,27,50)</f>
        <v>1.9328703703703702E-2</v>
      </c>
      <c r="D17" s="29">
        <f>INDEX('Points Summary'!$F$4:$F$1143,G17)</f>
        <v>86.807963708513867</v>
      </c>
      <c r="E17" s="124">
        <f t="shared" si="0"/>
        <v>0.82279505113538232</v>
      </c>
      <c r="F17" s="3"/>
      <c r="G17" s="2">
        <f>MATCH(B17,'Points Summary'!$B$4:$B$1144,0)</f>
        <v>128</v>
      </c>
      <c r="H17" s="197"/>
    </row>
    <row r="18" spans="1:8" x14ac:dyDescent="0.25">
      <c r="A18" s="2">
        <v>10</v>
      </c>
      <c r="B18" s="3" t="s">
        <v>714</v>
      </c>
      <c r="C18" s="51">
        <f>TIME(0,27,32)</f>
        <v>1.9120370370370371E-2</v>
      </c>
      <c r="D18" s="29">
        <f>INDEX('Points Summary'!$F$4:$F$1143,G18)</f>
        <v>83.939036057542722</v>
      </c>
      <c r="E18" s="124">
        <f t="shared" si="0"/>
        <v>0.83176013038504137</v>
      </c>
      <c r="F18" s="3"/>
      <c r="G18" s="2">
        <f>MATCH(B18,'Points Summary'!$B$4:$B$1144,0)</f>
        <v>220</v>
      </c>
      <c r="H18" s="197"/>
    </row>
    <row r="19" spans="1:8" x14ac:dyDescent="0.25">
      <c r="A19" s="2">
        <v>11</v>
      </c>
      <c r="B19" s="3" t="s">
        <v>718</v>
      </c>
      <c r="C19" s="51">
        <f>TIME(0,27,37)</f>
        <v>1.9178240740740742E-2</v>
      </c>
      <c r="D19" s="29">
        <f>INDEX('Points Summary'!$F$4:$F$1143,G19)</f>
        <v>81.013290109009503</v>
      </c>
      <c r="E19" s="124">
        <f t="shared" si="0"/>
        <v>0.82925029293668573</v>
      </c>
      <c r="F19" s="3"/>
      <c r="G19" s="2">
        <f>MATCH(B19,'Points Summary'!$B$4:$B$1144,0)</f>
        <v>305</v>
      </c>
      <c r="H19" s="197"/>
    </row>
    <row r="20" spans="1:8" x14ac:dyDescent="0.25">
      <c r="A20" s="42">
        <v>13</v>
      </c>
      <c r="B20" s="3" t="s">
        <v>730</v>
      </c>
      <c r="C20" s="51">
        <f>TIME(0,28,30)</f>
        <v>1.9791666666666666E-2</v>
      </c>
      <c r="D20" s="29">
        <f>INDEX('Points Summary'!$F$4:$F$1143,G20)</f>
        <v>76.49851546192447</v>
      </c>
      <c r="E20" s="124">
        <f t="shared" si="0"/>
        <v>0.80354838327256639</v>
      </c>
      <c r="F20" s="3"/>
      <c r="G20" s="2">
        <f>MATCH(B20,'Points Summary'!$B$4:$B$1144,0)</f>
        <v>355</v>
      </c>
      <c r="H20" s="197"/>
    </row>
    <row r="21" spans="1:8" x14ac:dyDescent="0.25">
      <c r="A21" s="2">
        <v>14</v>
      </c>
      <c r="B21" t="s">
        <v>729</v>
      </c>
      <c r="C21" s="51">
        <f>TIME(0,31,8)</f>
        <v>2.162037037037037E-2</v>
      </c>
      <c r="D21" s="29">
        <f>INDEX('Points Summary'!$F$4:$F$1143,G21)</f>
        <v>74.818918747524734</v>
      </c>
      <c r="E21" s="124">
        <f t="shared" si="0"/>
        <v>0.73558229946257414</v>
      </c>
      <c r="F21" s="3"/>
      <c r="G21" s="2">
        <f>MATCH(B21,'Points Summary'!$B$4:$B$1144,0)</f>
        <v>252</v>
      </c>
      <c r="H21" s="197"/>
    </row>
    <row r="22" spans="1:8" x14ac:dyDescent="0.25">
      <c r="A22" s="2">
        <v>15</v>
      </c>
      <c r="B22" s="3" t="s">
        <v>1194</v>
      </c>
      <c r="C22" s="51">
        <f>TIME(0,33,2)</f>
        <v>2.2939814814814816E-2</v>
      </c>
      <c r="D22" s="29">
        <f>INDEX('Points Summary'!$F$4:$F$1143,G22)</f>
        <v>0</v>
      </c>
      <c r="E22" s="124">
        <f t="shared" si="0"/>
        <v>0.693273327646866</v>
      </c>
      <c r="F22" s="3"/>
      <c r="G22" s="2">
        <f>MATCH(B22,'Points Summary'!$B$4:$B$1144,0)</f>
        <v>297</v>
      </c>
      <c r="H22" s="197"/>
    </row>
    <row r="23" spans="1:8" x14ac:dyDescent="0.25">
      <c r="A23" s="2">
        <v>17</v>
      </c>
      <c r="B23" s="3" t="s">
        <v>1195</v>
      </c>
      <c r="C23" s="51">
        <f>TIME(0,43,59)</f>
        <v>3.0543981481481481E-2</v>
      </c>
      <c r="D23" s="29">
        <f>INDEX('Points Summary'!$F$4:$F$1143,G23)</f>
        <v>0</v>
      </c>
      <c r="E23" s="124">
        <f t="shared" si="0"/>
        <v>0.52067742910045034</v>
      </c>
      <c r="F23" s="3"/>
      <c r="G23" s="2">
        <f>MATCH(B23,'Points Summary'!$B$4:$B$1144,0)</f>
        <v>458</v>
      </c>
      <c r="H23" s="197"/>
    </row>
    <row r="24" spans="1:8" x14ac:dyDescent="0.25">
      <c r="A24" s="42"/>
      <c r="B24" s="3"/>
      <c r="C24" s="51"/>
      <c r="D24" s="29"/>
      <c r="E24" s="124"/>
      <c r="F24" s="3"/>
      <c r="G24" s="2"/>
      <c r="H24" s="197"/>
    </row>
    <row r="25" spans="1:8" x14ac:dyDescent="0.25">
      <c r="A25" s="42"/>
      <c r="B25" s="3"/>
      <c r="C25" s="51"/>
      <c r="D25" s="29"/>
      <c r="E25" s="124"/>
      <c r="F25" s="3"/>
      <c r="G25" s="2"/>
      <c r="H25" s="197"/>
    </row>
    <row r="26" spans="1:8" x14ac:dyDescent="0.25">
      <c r="A26" s="2"/>
      <c r="B26" s="3"/>
      <c r="C26" s="51"/>
      <c r="D26" s="29"/>
      <c r="E26" s="124"/>
      <c r="F26" s="3"/>
      <c r="G26" s="2"/>
      <c r="H26" s="197"/>
    </row>
    <row r="27" spans="1:8" x14ac:dyDescent="0.25">
      <c r="A27" s="42"/>
      <c r="B27" s="3"/>
      <c r="C27" s="51"/>
      <c r="D27" s="29"/>
      <c r="E27" s="124"/>
      <c r="F27" s="3"/>
      <c r="G27" s="2"/>
      <c r="H27" s="197"/>
    </row>
    <row r="28" spans="1:8" x14ac:dyDescent="0.25">
      <c r="A28" s="42"/>
      <c r="B28" s="3"/>
      <c r="C28" s="51"/>
      <c r="D28" s="29"/>
      <c r="E28" s="124"/>
      <c r="F28" s="3"/>
      <c r="G28" s="2"/>
      <c r="H28" s="197"/>
    </row>
    <row r="40" spans="1:7" x14ac:dyDescent="0.25">
      <c r="A40" s="2"/>
      <c r="B40" s="3"/>
      <c r="C40" s="51"/>
      <c r="D40" s="29"/>
      <c r="E40" s="30"/>
      <c r="F40" s="3"/>
      <c r="G40" s="2"/>
    </row>
    <row r="41" spans="1:7" x14ac:dyDescent="0.25">
      <c r="A41" s="2"/>
      <c r="B41" s="3"/>
      <c r="C41" s="51"/>
      <c r="D41" s="29"/>
      <c r="E41" s="30"/>
      <c r="F41" s="3"/>
      <c r="G41" s="2"/>
    </row>
    <row r="42" spans="1:7" x14ac:dyDescent="0.25">
      <c r="A42" s="2"/>
      <c r="B42" s="3"/>
      <c r="C42" s="51"/>
      <c r="D42" s="29"/>
      <c r="E42" s="30"/>
      <c r="F42" s="3"/>
      <c r="G42" s="2"/>
    </row>
    <row r="43" spans="1:7" x14ac:dyDescent="0.25">
      <c r="A43" s="2"/>
      <c r="B43" s="3"/>
      <c r="C43" s="51"/>
      <c r="D43" s="29"/>
      <c r="E43" s="30"/>
      <c r="F43" s="3"/>
      <c r="G43" s="2"/>
    </row>
    <row r="44" spans="1:7" x14ac:dyDescent="0.25">
      <c r="A44" s="2"/>
      <c r="B44" s="3"/>
      <c r="C44" s="51"/>
      <c r="D44" s="29"/>
      <c r="E44" s="30"/>
      <c r="F44" s="3"/>
      <c r="G44" s="2"/>
    </row>
    <row r="45" spans="1:7" x14ac:dyDescent="0.25">
      <c r="A45" s="2"/>
      <c r="B45" s="3"/>
      <c r="C45" s="51"/>
      <c r="D45" s="29"/>
      <c r="E45" s="30"/>
      <c r="F45" s="3"/>
      <c r="G45" s="2"/>
    </row>
    <row r="46" spans="1:7" x14ac:dyDescent="0.25">
      <c r="A46" s="2"/>
      <c r="B46" s="3"/>
      <c r="C46" s="51"/>
      <c r="D46" s="29"/>
      <c r="E46" s="30"/>
      <c r="F46" s="3"/>
      <c r="G46" s="2"/>
    </row>
    <row r="47" spans="1:7" x14ac:dyDescent="0.25">
      <c r="A47" s="2"/>
      <c r="B47" s="3"/>
      <c r="C47" s="51"/>
      <c r="D47" s="29"/>
      <c r="E47" s="30"/>
      <c r="F47" s="3"/>
      <c r="G47" s="2"/>
    </row>
    <row r="48" spans="1:7" x14ac:dyDescent="0.25">
      <c r="A48" s="2"/>
      <c r="B48" s="3"/>
      <c r="C48" s="51"/>
      <c r="D48" s="29"/>
      <c r="E48" s="30"/>
      <c r="F48" s="3"/>
      <c r="G48" s="2"/>
    </row>
    <row r="49" spans="1:7" x14ac:dyDescent="0.25">
      <c r="A49" s="2"/>
      <c r="B49" s="3"/>
      <c r="C49" s="51"/>
      <c r="D49" s="29"/>
      <c r="E49" s="30"/>
      <c r="F49" s="3"/>
      <c r="G49" s="2"/>
    </row>
    <row r="50" spans="1:7" x14ac:dyDescent="0.25">
      <c r="A50" s="2"/>
      <c r="B50" s="3"/>
      <c r="C50" s="51"/>
      <c r="D50" s="29"/>
      <c r="E50" s="30"/>
      <c r="F50" s="3"/>
      <c r="G50" s="2"/>
    </row>
    <row r="51" spans="1:7" x14ac:dyDescent="0.25">
      <c r="A51" s="2"/>
      <c r="B51" s="3"/>
      <c r="C51" s="51"/>
      <c r="D51" s="29"/>
      <c r="E51" s="30"/>
      <c r="F51" s="3"/>
      <c r="G51" s="2"/>
    </row>
    <row r="52" spans="1:7" x14ac:dyDescent="0.25">
      <c r="A52" s="2"/>
      <c r="B52" s="3"/>
      <c r="C52" s="51"/>
      <c r="D52" s="29"/>
      <c r="E52" s="30"/>
      <c r="F52" s="3"/>
      <c r="G52" s="2"/>
    </row>
    <row r="53" spans="1:7" x14ac:dyDescent="0.25">
      <c r="A53" s="2"/>
      <c r="B53" s="3"/>
      <c r="C53" s="51"/>
      <c r="D53" s="29"/>
      <c r="E53" s="30"/>
      <c r="F53" s="3"/>
      <c r="G53" s="2"/>
    </row>
    <row r="54" spans="1:7" x14ac:dyDescent="0.25">
      <c r="A54" s="2"/>
      <c r="B54" s="3"/>
      <c r="C54" s="51"/>
      <c r="D54" s="29"/>
      <c r="E54" s="30"/>
      <c r="F54" s="3"/>
      <c r="G54" s="2"/>
    </row>
    <row r="55" spans="1:7" x14ac:dyDescent="0.25">
      <c r="A55" s="2"/>
      <c r="B55" s="3"/>
      <c r="C55" s="51"/>
      <c r="D55" s="29"/>
      <c r="E55" s="30"/>
      <c r="F55" s="3"/>
      <c r="G55" s="2"/>
    </row>
    <row r="56" spans="1:7" x14ac:dyDescent="0.25">
      <c r="A56" s="2"/>
      <c r="B56" s="3"/>
      <c r="C56" s="51"/>
      <c r="D56" s="29"/>
      <c r="E56" s="30"/>
      <c r="F56" s="3"/>
      <c r="G56" s="2"/>
    </row>
    <row r="57" spans="1:7" x14ac:dyDescent="0.25">
      <c r="A57" s="2"/>
      <c r="B57" s="3"/>
      <c r="C57" s="51"/>
      <c r="D57" s="29"/>
      <c r="E57" s="30"/>
      <c r="F57" s="3"/>
      <c r="G57" s="2"/>
    </row>
    <row r="58" spans="1:7" x14ac:dyDescent="0.25">
      <c r="A58" s="2"/>
      <c r="B58" s="3"/>
      <c r="C58" s="51"/>
      <c r="D58" s="29"/>
      <c r="E58" s="30"/>
      <c r="F58" s="3"/>
      <c r="G58" s="2"/>
    </row>
    <row r="59" spans="1:7" x14ac:dyDescent="0.25">
      <c r="A59" s="2"/>
      <c r="B59" s="3"/>
      <c r="C59" s="51"/>
      <c r="D59" s="29"/>
      <c r="E59" s="30"/>
      <c r="F59" s="3"/>
      <c r="G59" s="2"/>
    </row>
    <row r="60" spans="1:7" x14ac:dyDescent="0.25">
      <c r="A60" s="2"/>
      <c r="B60" s="3"/>
      <c r="C60" s="51"/>
      <c r="D60" s="29"/>
      <c r="E60" s="30"/>
      <c r="F60" s="3"/>
      <c r="G60" s="2"/>
    </row>
    <row r="61" spans="1:7" x14ac:dyDescent="0.25">
      <c r="A61" s="2"/>
      <c r="B61" s="3"/>
      <c r="C61" s="51"/>
      <c r="D61" s="29"/>
      <c r="E61" s="30"/>
      <c r="F61" s="3"/>
      <c r="G61" s="2"/>
    </row>
  </sheetData>
  <sortState ref="A8:G23">
    <sortCondition descending="1" ref="D8:D23"/>
  </sortState>
  <phoneticPr fontId="0" type="noConversion"/>
  <printOptions horizontalCentered="1"/>
  <pageMargins left="0.75" right="0.75" top="1" bottom="1" header="0.5" footer="0.5"/>
  <pageSetup orientation="portrait" horizontalDpi="300" verticalDpi="300" r:id="rId1"/>
  <headerFooter alignWithMargins="0">
    <oddHeader>&amp;L&amp;"Tahoma,Bold"&amp;11U.S. Biathlon Association&amp;R&amp;"Tahoma,Bold"&amp;11 2018 Race Points</oddHeader>
    <oddFooter>&amp;R&amp;"Tahoma,Regular"Page &amp;P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topLeftCell="A10" workbookViewId="0">
      <selection activeCell="B32" sqref="B32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8" x14ac:dyDescent="0.25">
      <c r="A1" s="16" t="s">
        <v>22</v>
      </c>
      <c r="B1" s="17" t="s">
        <v>1336</v>
      </c>
      <c r="C1" s="18"/>
      <c r="D1" s="18"/>
      <c r="E1" s="18"/>
      <c r="F1" s="18"/>
      <c r="G1" s="19"/>
    </row>
    <row r="2" spans="1:8" x14ac:dyDescent="0.25">
      <c r="A2" s="20" t="s">
        <v>23</v>
      </c>
      <c r="B2" s="21">
        <v>43188</v>
      </c>
      <c r="C2" s="22"/>
      <c r="D2" s="22"/>
      <c r="E2" s="22"/>
      <c r="F2" s="22"/>
      <c r="G2" s="23"/>
    </row>
    <row r="3" spans="1:8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8" x14ac:dyDescent="0.25">
      <c r="A4" s="20" t="s">
        <v>1</v>
      </c>
      <c r="B4" s="24" t="s">
        <v>833</v>
      </c>
      <c r="C4" s="22"/>
      <c r="D4" s="22"/>
      <c r="E4" s="22"/>
      <c r="F4" s="22"/>
      <c r="G4" s="23"/>
    </row>
    <row r="5" spans="1:8" x14ac:dyDescent="0.25">
      <c r="A5" s="20" t="s">
        <v>27</v>
      </c>
      <c r="B5" s="24" t="s">
        <v>1224</v>
      </c>
      <c r="C5" s="22"/>
      <c r="D5" s="22"/>
      <c r="E5" s="22" t="s">
        <v>55</v>
      </c>
      <c r="F5" s="38">
        <f>AVERAGE(C8:C12)*(AVERAGE(D8:D12)/100)</f>
        <v>1.355874551812984E-2</v>
      </c>
      <c r="G5" s="23"/>
    </row>
    <row r="6" spans="1:8" x14ac:dyDescent="0.25">
      <c r="A6" s="25" t="s">
        <v>29</v>
      </c>
      <c r="B6" s="26"/>
      <c r="C6" s="26"/>
      <c r="D6" s="26"/>
      <c r="E6" s="26"/>
      <c r="F6" s="26"/>
      <c r="G6" s="27"/>
    </row>
    <row r="7" spans="1:8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8" x14ac:dyDescent="0.25">
      <c r="A8" s="2">
        <v>5</v>
      </c>
      <c r="B8" s="3" t="s">
        <v>772</v>
      </c>
      <c r="C8" s="51">
        <f>TIME(0,23,57)</f>
        <v>1.6631944444444446E-2</v>
      </c>
      <c r="D8" s="29">
        <f>INDEX('Points Summary'!$F$4:$F$1143,G8)</f>
        <v>81.785334346671192</v>
      </c>
      <c r="E8" s="30">
        <f t="shared" ref="E8:E34" si="0">(AVERAGE($D$8:$D$12)/100*AVERAGE($C$8:$C$12))/C8</f>
        <v>0.81522311257231594</v>
      </c>
      <c r="F8" s="3"/>
      <c r="G8" s="2">
        <f>MATCH(B8,'Points Summary'!$B$4:$B$1144,0)</f>
        <v>90</v>
      </c>
      <c r="H8" s="197"/>
    </row>
    <row r="9" spans="1:8" x14ac:dyDescent="0.25">
      <c r="A9" s="2">
        <v>1</v>
      </c>
      <c r="B9" s="3" t="s">
        <v>808</v>
      </c>
      <c r="C9" s="51">
        <f>TIME(0,22,53)</f>
        <v>1.5891203703703703E-2</v>
      </c>
      <c r="D9" s="29">
        <f>INDEX('Points Summary'!$F$4:$F$1143,G9)</f>
        <v>80.557714578078887</v>
      </c>
      <c r="E9" s="30">
        <f t="shared" si="0"/>
        <v>0.85322331592601475</v>
      </c>
      <c r="F9" s="3"/>
      <c r="G9" s="2">
        <f>MATCH(B9,'Points Summary'!$B$4:$B$1144,0)</f>
        <v>441</v>
      </c>
      <c r="H9" s="197"/>
    </row>
    <row r="10" spans="1:8" x14ac:dyDescent="0.25">
      <c r="A10" s="2">
        <v>4</v>
      </c>
      <c r="B10" s="3" t="s">
        <v>847</v>
      </c>
      <c r="C10" s="51">
        <f>TIME(0,23,53)</f>
        <v>1.6585648148148148E-2</v>
      </c>
      <c r="D10" s="29">
        <f>INDEX('Points Summary'!$F$4:$F$1143,G10)</f>
        <v>77.868356934222959</v>
      </c>
      <c r="E10" s="30">
        <f t="shared" si="0"/>
        <v>0.81749868301913342</v>
      </c>
      <c r="F10" s="3"/>
      <c r="G10" s="2">
        <f>MATCH(B10,'Points Summary'!$B$4:$B$1144,0)</f>
        <v>446</v>
      </c>
      <c r="H10" s="197"/>
    </row>
    <row r="11" spans="1:8" x14ac:dyDescent="0.25">
      <c r="A11" s="2">
        <v>2</v>
      </c>
      <c r="B11" s="3" t="s">
        <v>269</v>
      </c>
      <c r="C11" s="51">
        <f>TIME(0,28,42)</f>
        <v>1.9930555555555556E-2</v>
      </c>
      <c r="D11" s="29">
        <f>INDEX('Points Summary'!$F$4:$F$1143,G11)</f>
        <v>75.795752491003284</v>
      </c>
      <c r="E11" s="30">
        <f t="shared" si="0"/>
        <v>0.68029942669362264</v>
      </c>
      <c r="F11" s="3"/>
      <c r="G11" s="2">
        <f>MATCH(B11,'Points Summary'!$B$4:$B$1144,0)</f>
        <v>425</v>
      </c>
      <c r="H11" s="197"/>
    </row>
    <row r="12" spans="1:8" x14ac:dyDescent="0.25">
      <c r="A12" s="2">
        <v>7</v>
      </c>
      <c r="B12" s="3" t="s">
        <v>1040</v>
      </c>
      <c r="C12" s="51">
        <f>TIME(0,25,54)</f>
        <v>1.7986111111111109E-2</v>
      </c>
      <c r="D12" s="29">
        <f>INDEX('Points Summary'!$F$4:$F$1143,G12)</f>
        <v>73.497966256493498</v>
      </c>
      <c r="E12" s="30">
        <f t="shared" si="0"/>
        <v>0.75384531066050087</v>
      </c>
      <c r="F12" s="3"/>
      <c r="G12" s="2">
        <f>MATCH(B12,'Points Summary'!$B$4:$B$1144,0)</f>
        <v>198</v>
      </c>
      <c r="H12" s="197"/>
    </row>
    <row r="13" spans="1:8" x14ac:dyDescent="0.25">
      <c r="A13" s="2">
        <v>6</v>
      </c>
      <c r="B13" s="3" t="s">
        <v>1037</v>
      </c>
      <c r="C13" s="51">
        <f>TIME(0,24,45)</f>
        <v>1.7187499999999998E-2</v>
      </c>
      <c r="D13" s="29">
        <f>INDEX('Points Summary'!$F$4:$F$1143,G13)</f>
        <v>72.650782880097523</v>
      </c>
      <c r="E13" s="30">
        <f t="shared" si="0"/>
        <v>0.78887246650937259</v>
      </c>
      <c r="F13" s="3"/>
      <c r="G13" s="2">
        <f>MATCH(B13,'Points Summary'!$B$4:$B$1144,0)</f>
        <v>42</v>
      </c>
      <c r="H13" s="197"/>
    </row>
    <row r="14" spans="1:8" x14ac:dyDescent="0.25">
      <c r="A14" s="2">
        <v>11</v>
      </c>
      <c r="B14" s="3" t="s">
        <v>90</v>
      </c>
      <c r="C14" s="51">
        <f>TIME(0,34,10)</f>
        <v>2.372685185185185E-2</v>
      </c>
      <c r="D14" s="29">
        <f>INDEX('Points Summary'!$F$4:$F$1143,G14)</f>
        <v>64.679230598182357</v>
      </c>
      <c r="E14" s="30">
        <f t="shared" si="0"/>
        <v>0.57145151842264308</v>
      </c>
      <c r="F14" s="3"/>
      <c r="G14" s="2">
        <f>MATCH(B14,'Points Summary'!$B$4:$B$1144,0)</f>
        <v>334</v>
      </c>
      <c r="H14" s="197"/>
    </row>
    <row r="15" spans="1:8" x14ac:dyDescent="0.25">
      <c r="A15" s="2">
        <v>9</v>
      </c>
      <c r="B15" s="3" t="s">
        <v>774</v>
      </c>
      <c r="C15" s="51">
        <f>TIME(0,26,46)</f>
        <v>1.8587962962962962E-2</v>
      </c>
      <c r="D15" s="29">
        <f>INDEX('Points Summary'!$F$4:$F$1143,G15)</f>
        <v>71.319535937863435</v>
      </c>
      <c r="E15" s="30">
        <f t="shared" si="0"/>
        <v>0.72943686971757049</v>
      </c>
      <c r="F15" s="3"/>
      <c r="G15" s="2">
        <f>MATCH(B15,'Points Summary'!$B$4:$B$1144,0)</f>
        <v>258</v>
      </c>
      <c r="H15" s="197"/>
    </row>
    <row r="16" spans="1:8" x14ac:dyDescent="0.25">
      <c r="A16" s="2">
        <v>4</v>
      </c>
      <c r="B16" s="3" t="s">
        <v>106</v>
      </c>
      <c r="C16" s="51">
        <f>TIME(0,29,19)</f>
        <v>2.0358796296296295E-2</v>
      </c>
      <c r="D16" s="29">
        <f>INDEX('Points Summary'!$F$4:$F$1143,G16)</f>
        <v>68.483457061753498</v>
      </c>
      <c r="E16" s="30">
        <f t="shared" si="0"/>
        <v>0.66598954676885636</v>
      </c>
      <c r="F16" s="3"/>
      <c r="G16" s="2">
        <f>MATCH(B16,'Points Summary'!$B$4:$B$1144,0)</f>
        <v>45</v>
      </c>
      <c r="H16" s="197"/>
    </row>
    <row r="17" spans="1:8" x14ac:dyDescent="0.25">
      <c r="A17" s="2">
        <v>1</v>
      </c>
      <c r="B17" s="3" t="s">
        <v>8</v>
      </c>
      <c r="C17" s="51">
        <f>TIME(0,26,56)</f>
        <v>1.8703703703703705E-2</v>
      </c>
      <c r="D17" s="29">
        <f>INDEX('Points Summary'!$F$4:$F$1143,G17)</f>
        <v>67.132561141984624</v>
      </c>
      <c r="E17" s="30">
        <f t="shared" si="0"/>
        <v>0.72492302770199135</v>
      </c>
      <c r="F17" s="3"/>
      <c r="G17" s="2">
        <f>MATCH(B17,'Points Summary'!$B$4:$B$1144,0)</f>
        <v>89</v>
      </c>
      <c r="H17" s="197"/>
    </row>
    <row r="18" spans="1:8" x14ac:dyDescent="0.25">
      <c r="A18" s="2">
        <v>7</v>
      </c>
      <c r="B18" s="3" t="s">
        <v>733</v>
      </c>
      <c r="C18" s="51">
        <f>TIME(0,31,27)</f>
        <v>2.1840277777777778E-2</v>
      </c>
      <c r="D18" s="29">
        <f>INDEX('Points Summary'!$F$4:$F$1143,G18)</f>
        <v>66.595123596656933</v>
      </c>
      <c r="E18" s="30">
        <f t="shared" si="0"/>
        <v>0.62081378524982411</v>
      </c>
      <c r="F18" s="3"/>
      <c r="G18" s="2">
        <f>MATCH(B18,'Points Summary'!$B$4:$B$1144,0)</f>
        <v>33</v>
      </c>
      <c r="H18" s="197"/>
    </row>
    <row r="19" spans="1:8" x14ac:dyDescent="0.25">
      <c r="A19" s="2">
        <v>10</v>
      </c>
      <c r="B19" s="3" t="s">
        <v>807</v>
      </c>
      <c r="C19" s="51">
        <f>TIME(0,33,5)</f>
        <v>2.297453703703704E-2</v>
      </c>
      <c r="D19" s="29">
        <f>INDEX('Points Summary'!$F$4:$F$1143,G19)</f>
        <v>63.342271196195597</v>
      </c>
      <c r="E19" s="30">
        <f t="shared" si="0"/>
        <v>0.5901640366581451</v>
      </c>
      <c r="F19" s="3"/>
      <c r="G19" s="2">
        <f>MATCH(B19,'Points Summary'!$B$4:$B$1144,0)</f>
        <v>433</v>
      </c>
      <c r="H19" s="197"/>
    </row>
    <row r="20" spans="1:8" x14ac:dyDescent="0.25">
      <c r="A20" s="2">
        <v>15</v>
      </c>
      <c r="B20" s="3" t="s">
        <v>786</v>
      </c>
      <c r="C20" s="51">
        <f>TIME(0,36,43)</f>
        <v>2.5497685185185189E-2</v>
      </c>
      <c r="D20" s="29">
        <f>INDEX('Points Summary'!$F$4:$F$1143,G20)</f>
        <v>61.662453318181292</v>
      </c>
      <c r="E20" s="30">
        <f t="shared" si="0"/>
        <v>0.53176378246319478</v>
      </c>
      <c r="F20" s="3"/>
      <c r="G20" s="2">
        <f>MATCH(B20,'Points Summary'!$B$4:$B$1144,0)</f>
        <v>110</v>
      </c>
      <c r="H20" s="197"/>
    </row>
    <row r="21" spans="1:8" x14ac:dyDescent="0.25">
      <c r="A21" s="2">
        <v>6</v>
      </c>
      <c r="B21" s="3" t="s">
        <v>785</v>
      </c>
      <c r="C21" s="51">
        <f>TIME(0,30,10)</f>
        <v>2.0949074074074075E-2</v>
      </c>
      <c r="D21" s="29">
        <f>INDEX('Points Summary'!$F$4:$F$1143,G21)</f>
        <v>61.405976272712444</v>
      </c>
      <c r="E21" s="30">
        <f t="shared" si="0"/>
        <v>0.64722409545105974</v>
      </c>
      <c r="F21" s="3"/>
      <c r="G21" s="2">
        <f>MATCH(B21,'Points Summary'!$B$4:$B$1144,0)</f>
        <v>430</v>
      </c>
      <c r="H21" s="197"/>
    </row>
    <row r="22" spans="1:8" x14ac:dyDescent="0.25">
      <c r="A22" s="2">
        <v>12</v>
      </c>
      <c r="B22" s="3" t="s">
        <v>491</v>
      </c>
      <c r="C22" s="51">
        <f>TIME(0,34,11)</f>
        <v>2.3738425925925923E-2</v>
      </c>
      <c r="D22" s="29">
        <f>INDEX('Points Summary'!$F$4:$F$1143,G22)</f>
        <v>60.524290845204135</v>
      </c>
      <c r="E22" s="30">
        <f t="shared" si="0"/>
        <v>0.57117289749703481</v>
      </c>
      <c r="F22" s="3"/>
      <c r="G22" s="2">
        <f>MATCH(B22,'Points Summary'!$B$4:$B$1144,0)</f>
        <v>54</v>
      </c>
      <c r="H22" s="197"/>
    </row>
    <row r="23" spans="1:8" x14ac:dyDescent="0.25">
      <c r="A23" s="2">
        <v>10</v>
      </c>
      <c r="B23" s="3" t="s">
        <v>1084</v>
      </c>
      <c r="C23" s="51">
        <f>TIME(0,33,38)</f>
        <v>2.3356481481481482E-2</v>
      </c>
      <c r="D23" s="29">
        <f>INDEX('Points Summary'!$F$4:$F$1143,G23)</f>
        <v>59.914210747568333</v>
      </c>
      <c r="E23" s="30">
        <f t="shared" si="0"/>
        <v>0.58051318769396343</v>
      </c>
      <c r="F23" s="3"/>
      <c r="G23" s="2">
        <f>MATCH(B23,'Points Summary'!$B$4:$B$1144,0)</f>
        <v>392</v>
      </c>
      <c r="H23" s="197"/>
    </row>
    <row r="24" spans="1:8" x14ac:dyDescent="0.25">
      <c r="A24" s="2">
        <v>13</v>
      </c>
      <c r="B24" s="3" t="s">
        <v>1054</v>
      </c>
      <c r="C24" s="51">
        <f>TIME(0,35,24)</f>
        <v>2.4583333333333332E-2</v>
      </c>
      <c r="D24" s="29">
        <f>INDEX('Points Summary'!$F$4:$F$1143,G24)</f>
        <v>56.65159485662447</v>
      </c>
      <c r="E24" s="30">
        <f t="shared" si="0"/>
        <v>0.55154219056799347</v>
      </c>
      <c r="F24" s="3"/>
      <c r="G24" s="2">
        <f>MATCH(B24,'Points Summary'!$B$4:$B$1144,0)</f>
        <v>217</v>
      </c>
      <c r="H24" s="197"/>
    </row>
    <row r="25" spans="1:8" x14ac:dyDescent="0.25">
      <c r="A25" s="2">
        <v>16</v>
      </c>
      <c r="B25" s="3" t="s">
        <v>710</v>
      </c>
      <c r="C25" s="51">
        <f>TIME(0,38,57)</f>
        <v>2.704861111111111E-2</v>
      </c>
      <c r="D25" s="29">
        <f>INDEX('Points Summary'!$F$4:$F$1143,G25)</f>
        <v>55.86857146731198</v>
      </c>
      <c r="E25" s="30">
        <f t="shared" si="0"/>
        <v>0.50127326177424825</v>
      </c>
      <c r="F25" s="3"/>
      <c r="G25" s="2">
        <f>MATCH(B25,'Points Summary'!$B$4:$B$1144,0)</f>
        <v>351</v>
      </c>
      <c r="H25" s="197"/>
    </row>
    <row r="26" spans="1:8" x14ac:dyDescent="0.25">
      <c r="A26" s="2">
        <v>14</v>
      </c>
      <c r="B26" s="3" t="s">
        <v>783</v>
      </c>
      <c r="C26" s="51">
        <f>TIME(0,35,48)</f>
        <v>2.4861111111111108E-2</v>
      </c>
      <c r="D26" s="29">
        <f>INDEX('Points Summary'!$F$4:$F$1143,G26)</f>
        <v>52.397236396258847</v>
      </c>
      <c r="E26" s="30">
        <f t="shared" si="0"/>
        <v>0.5453797079918149</v>
      </c>
      <c r="F26" s="3"/>
      <c r="G26" s="2">
        <f>MATCH(B26,'Points Summary'!$B$4:$B$1144,0)</f>
        <v>328</v>
      </c>
    </row>
    <row r="27" spans="1:8" x14ac:dyDescent="0.25">
      <c r="A27" s="2">
        <v>3</v>
      </c>
      <c r="B27" s="145" t="s">
        <v>1332</v>
      </c>
      <c r="C27" s="51">
        <f>TIME(0,28,53)</f>
        <v>2.0057870370370368E-2</v>
      </c>
      <c r="D27" s="29">
        <f>INDEX('Points Summary'!$F$4:$F$1143,G27)</f>
        <v>0</v>
      </c>
      <c r="E27" s="30">
        <f t="shared" si="0"/>
        <v>0.67598131146359974</v>
      </c>
      <c r="F27" s="3"/>
      <c r="G27" s="2">
        <f>MATCH(B27,'Points Summary'!$B$4:$B$1144,0)</f>
        <v>233</v>
      </c>
    </row>
    <row r="28" spans="1:8" x14ac:dyDescent="0.25">
      <c r="A28" s="2">
        <v>5</v>
      </c>
      <c r="B28" s="3" t="s">
        <v>1333</v>
      </c>
      <c r="C28" s="51">
        <f>TIME(0,29,32)</f>
        <v>2.0509259259259258E-2</v>
      </c>
      <c r="D28" s="29">
        <f>INDEX('Points Summary'!$F$4:$F$1143,G28)</f>
        <v>0</v>
      </c>
      <c r="E28" s="30">
        <f t="shared" si="0"/>
        <v>0.66110361894267389</v>
      </c>
      <c r="F28" s="3"/>
      <c r="G28" s="2">
        <f>MATCH(B28,'Points Summary'!$B$4:$B$1144,0)</f>
        <v>437</v>
      </c>
    </row>
    <row r="29" spans="1:8" x14ac:dyDescent="0.25">
      <c r="A29" s="2">
        <v>8</v>
      </c>
      <c r="B29" s="3" t="s">
        <v>1334</v>
      </c>
      <c r="C29" s="51">
        <f>TIME(0,31,51)</f>
        <v>2.2118055555555557E-2</v>
      </c>
      <c r="D29" s="29">
        <f>INDEX('Points Summary'!$F$4:$F$1143,G29)</f>
        <v>0</v>
      </c>
      <c r="E29" s="30">
        <f t="shared" si="0"/>
        <v>0.61301706581183568</v>
      </c>
      <c r="F29" s="3"/>
      <c r="G29" s="2">
        <f>MATCH(B29,'Points Summary'!$B$4:$B$1144,0)</f>
        <v>218</v>
      </c>
    </row>
    <row r="30" spans="1:8" x14ac:dyDescent="0.25">
      <c r="A30" s="2">
        <v>9</v>
      </c>
      <c r="B30" s="3" t="s">
        <v>1056</v>
      </c>
      <c r="C30" s="51">
        <f>TIME(0,32,54)</f>
        <v>2.2847222222222224E-2</v>
      </c>
      <c r="D30" s="29">
        <f>INDEX('Points Summary'!$F$4:$F$1143,G30)</f>
        <v>66.562919993215374</v>
      </c>
      <c r="E30" s="30">
        <f t="shared" si="0"/>
        <v>0.59345269137103251</v>
      </c>
      <c r="F30" s="3"/>
      <c r="G30" s="2">
        <f>MATCH(B30,'Points Summary'!$B$4:$B$1144,0)</f>
        <v>361</v>
      </c>
    </row>
    <row r="31" spans="1:8" x14ac:dyDescent="0.25">
      <c r="A31" s="2">
        <v>17</v>
      </c>
      <c r="B31" s="3" t="s">
        <v>1058</v>
      </c>
      <c r="C31" s="51">
        <f>TIME(0,40,32)</f>
        <v>2.8148148148148148E-2</v>
      </c>
      <c r="D31" s="29">
        <f>INDEX('Points Summary'!$F$4:$F$1143,G31)</f>
        <v>53.525078450978434</v>
      </c>
      <c r="E31" s="30">
        <f t="shared" si="0"/>
        <v>0.48169227498619166</v>
      </c>
      <c r="F31" s="3"/>
      <c r="G31" s="2">
        <f>MATCH(B31,'Points Summary'!$B$4:$B$1144,0)</f>
        <v>162</v>
      </c>
    </row>
    <row r="32" spans="1:8" x14ac:dyDescent="0.25">
      <c r="A32" s="2">
        <v>2</v>
      </c>
      <c r="B32" s="3" t="s">
        <v>839</v>
      </c>
      <c r="C32" s="51">
        <f>TIME(0,23,1)</f>
        <v>1.5983796296296295E-2</v>
      </c>
      <c r="D32" s="29">
        <f>INDEX('Points Summary'!$F$4:$F$1143,G32)</f>
        <v>66.795927850866093</v>
      </c>
      <c r="E32" s="30">
        <f t="shared" si="0"/>
        <v>0.84828067542825369</v>
      </c>
      <c r="F32" s="3"/>
      <c r="G32" s="2">
        <f>MATCH(B32,'Points Summary'!$B$4:$B$1144,0)</f>
        <v>64</v>
      </c>
    </row>
    <row r="33" spans="1:7" x14ac:dyDescent="0.25">
      <c r="A33" s="2">
        <v>3</v>
      </c>
      <c r="B33" s="3" t="s">
        <v>846</v>
      </c>
      <c r="C33" s="51">
        <f>TIME(0,23,40)</f>
        <v>1.6435185185185188E-2</v>
      </c>
      <c r="D33" s="29">
        <f>INDEX('Points Summary'!$F$4:$F$1143,G33)</f>
        <v>80.041551324306269</v>
      </c>
      <c r="E33" s="30">
        <f t="shared" si="0"/>
        <v>0.82498282589184369</v>
      </c>
      <c r="F33" s="3"/>
      <c r="G33" s="2">
        <f>MATCH(B33,'Points Summary'!$B$4:$B$1144,0)</f>
        <v>168</v>
      </c>
    </row>
    <row r="34" spans="1:7" x14ac:dyDescent="0.25">
      <c r="A34" s="2">
        <v>8</v>
      </c>
      <c r="B34" s="3" t="s">
        <v>1335</v>
      </c>
      <c r="C34" s="51">
        <f>TIME(0,25,56)</f>
        <v>1.800925925925926E-2</v>
      </c>
      <c r="D34" s="29">
        <f>INDEX('Points Summary'!$F$4:$F$1143,G34)</f>
        <v>0</v>
      </c>
      <c r="E34" s="30">
        <f t="shared" si="0"/>
        <v>0.75287635781903484</v>
      </c>
      <c r="F34" s="3"/>
      <c r="G34" s="2">
        <f>MATCH(B34,'Points Summary'!$B$4:$B$1144,0)</f>
        <v>95</v>
      </c>
    </row>
  </sheetData>
  <sortState ref="A8:G26">
    <sortCondition descending="1" ref="D8:D26"/>
  </sortState>
  <phoneticPr fontId="0" type="noConversion"/>
  <printOptions horizontalCentered="1"/>
  <pageMargins left="0.75" right="0.75" top="1" bottom="1" header="0.5" footer="0.5"/>
  <pageSetup orientation="portrait" horizontalDpi="4294967292" verticalDpi="1200" r:id="rId1"/>
  <headerFooter alignWithMargins="0">
    <oddHeader>&amp;L&amp;"Tahoma,Bold"&amp;11U.S. Biathlon Association&amp;R&amp;"Tahoma,Bold"&amp;11 2018 Race Points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"/>
  <sheetViews>
    <sheetView workbookViewId="0">
      <selection activeCell="B19" sqref="B19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1336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43189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43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 t="s">
        <v>29</v>
      </c>
      <c r="D4" s="22"/>
      <c r="E4" s="22"/>
      <c r="F4" s="22"/>
      <c r="G4" s="23"/>
    </row>
    <row r="5" spans="1:7" x14ac:dyDescent="0.25">
      <c r="A5" s="20" t="s">
        <v>27</v>
      </c>
      <c r="B5" s="24" t="s">
        <v>1224</v>
      </c>
      <c r="C5" s="22"/>
      <c r="D5" s="22"/>
      <c r="E5" s="22" t="s">
        <v>55</v>
      </c>
      <c r="F5" s="38">
        <f>AVERAGE(C8:C11)*(AVERAGE(D8:D11)/100)</f>
        <v>2.4994759239144758E-2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3</v>
      </c>
      <c r="B8" s="3" t="s">
        <v>7</v>
      </c>
      <c r="C8" s="51">
        <v>2.5011574074074075E-2</v>
      </c>
      <c r="D8" s="29">
        <f>INDEX('Points Summary'!$F$4:$F$1143,G8)</f>
        <v>99.815882011789284</v>
      </c>
      <c r="E8" s="124">
        <f t="shared" ref="E8:E23" si="0">(AVERAGE($D$8:$D$11)/100*AVERAGE($C$8:$C$11))/C8</f>
        <v>0.99932771784456598</v>
      </c>
      <c r="F8" s="3"/>
      <c r="G8" s="2">
        <f>MATCH(B8,'Points Summary'!$B$4:$B$1144,0)</f>
        <v>63</v>
      </c>
    </row>
    <row r="9" spans="1:7" x14ac:dyDescent="0.25">
      <c r="A9" s="2">
        <v>1</v>
      </c>
      <c r="B9" s="3" t="s">
        <v>84</v>
      </c>
      <c r="C9" s="51">
        <v>2.3925925925925923E-2</v>
      </c>
      <c r="D9" s="29">
        <f>INDEX('Points Summary'!$F$4:$F$1143,G9)</f>
        <v>99.460903353359868</v>
      </c>
      <c r="E9" s="124">
        <f t="shared" si="0"/>
        <v>1.0446725997784962</v>
      </c>
      <c r="F9" s="3"/>
      <c r="G9" s="2">
        <f>MATCH(B9,'Points Summary'!$B$4:$B$1144,0)</f>
        <v>13</v>
      </c>
    </row>
    <row r="10" spans="1:7" x14ac:dyDescent="0.25">
      <c r="A10" s="2">
        <v>2</v>
      </c>
      <c r="B10" s="3" t="s">
        <v>189</v>
      </c>
      <c r="C10" s="51">
        <v>2.4755787037037038E-2</v>
      </c>
      <c r="D10" s="29">
        <f>INDEX('Points Summary'!$F$4:$F$1143,G10)</f>
        <v>98.820210613063381</v>
      </c>
      <c r="E10" s="124">
        <f t="shared" si="0"/>
        <v>1.0096531854046973</v>
      </c>
      <c r="F10" s="3"/>
      <c r="G10" s="2">
        <f>MATCH(B10,'Points Summary'!$B$4:$B$1144,0)</f>
        <v>120</v>
      </c>
    </row>
    <row r="11" spans="1:7" x14ac:dyDescent="0.25">
      <c r="A11" s="2">
        <v>9</v>
      </c>
      <c r="B11" s="3" t="s">
        <v>70</v>
      </c>
      <c r="C11" s="51">
        <v>2.7797453703703706E-2</v>
      </c>
      <c r="D11" s="29">
        <f>INDEX('Points Summary'!$F$4:$F$1143,G11)</f>
        <v>95.945007171519649</v>
      </c>
      <c r="E11" s="124">
        <f t="shared" si="0"/>
        <v>0.89917441739688841</v>
      </c>
      <c r="F11" s="3"/>
      <c r="G11" s="2">
        <f>MATCH(B11,'Points Summary'!$B$4:$B$1144,0)</f>
        <v>309</v>
      </c>
    </row>
    <row r="12" spans="1:7" x14ac:dyDescent="0.25">
      <c r="A12" s="2">
        <v>6</v>
      </c>
      <c r="B12" s="3" t="s">
        <v>50</v>
      </c>
      <c r="C12" s="51">
        <v>2.5710648148148149E-2</v>
      </c>
      <c r="D12" s="29">
        <f>INDEX('Points Summary'!$F$4:$F$1143,G12)</f>
        <v>95.089327975174797</v>
      </c>
      <c r="E12" s="124">
        <f t="shared" si="0"/>
        <v>0.97215593691460656</v>
      </c>
      <c r="F12" s="3"/>
      <c r="G12" s="2">
        <f>MATCH(B12,'Points Summary'!$B$4:$B$1144,0)</f>
        <v>104</v>
      </c>
    </row>
    <row r="13" spans="1:7" x14ac:dyDescent="0.25">
      <c r="A13" s="2">
        <v>4</v>
      </c>
      <c r="B13" s="3" t="s">
        <v>762</v>
      </c>
      <c r="C13" s="51">
        <v>2.4497685185185181E-2</v>
      </c>
      <c r="D13" s="29">
        <f>INDEX('Points Summary'!$F$4:$F$1143,G13)</f>
        <v>93.60112568228071</v>
      </c>
      <c r="E13" s="124">
        <f t="shared" si="0"/>
        <v>1.0202906540026966</v>
      </c>
      <c r="F13" s="3"/>
      <c r="G13" s="2">
        <f>MATCH(B13,'Points Summary'!$B$4:$B$1144,0)</f>
        <v>366</v>
      </c>
    </row>
    <row r="14" spans="1:7" x14ac:dyDescent="0.25">
      <c r="A14" s="2">
        <v>5</v>
      </c>
      <c r="B14" s="3" t="s">
        <v>795</v>
      </c>
      <c r="C14" s="51">
        <v>2.5214120370370366E-2</v>
      </c>
      <c r="D14" s="29">
        <f>INDEX('Points Summary'!$F$4:$F$1143,G14)</f>
        <v>92.674366002181756</v>
      </c>
      <c r="E14" s="124">
        <f t="shared" si="0"/>
        <v>0.99130006805696924</v>
      </c>
      <c r="F14" s="3"/>
      <c r="G14" s="2">
        <f>MATCH(B14,'Points Summary'!$B$4:$B$1144,0)</f>
        <v>201</v>
      </c>
    </row>
    <row r="15" spans="1:7" x14ac:dyDescent="0.25">
      <c r="A15" s="2">
        <v>8</v>
      </c>
      <c r="B15" s="3" t="s">
        <v>838</v>
      </c>
      <c r="C15" s="51">
        <v>2.5826388888888888E-2</v>
      </c>
      <c r="D15" s="29">
        <f>INDEX('Points Summary'!$F$4:$F$1143,G15)</f>
        <v>90.493939450526881</v>
      </c>
      <c r="E15" s="124">
        <f t="shared" si="0"/>
        <v>0.96779922840463706</v>
      </c>
      <c r="F15" s="3"/>
      <c r="G15" s="2">
        <f>MATCH(B15,'Points Summary'!$B$4:$B$1144,0)</f>
        <v>57</v>
      </c>
    </row>
    <row r="16" spans="1:7" x14ac:dyDescent="0.25">
      <c r="A16" s="2">
        <v>7</v>
      </c>
      <c r="B16" s="145" t="s">
        <v>765</v>
      </c>
      <c r="C16" s="51">
        <v>2.6443287037037036E-2</v>
      </c>
      <c r="D16" s="29">
        <f>INDEX('Points Summary'!$F$4:$F$1143,G16)</f>
        <v>89.06928922635062</v>
      </c>
      <c r="E16" s="124">
        <f t="shared" si="0"/>
        <v>0.9452213412098337</v>
      </c>
      <c r="F16" s="3"/>
      <c r="G16" s="2">
        <f>MATCH(B16,'Points Summary'!$B$4:$B$1144,0)</f>
        <v>97</v>
      </c>
    </row>
    <row r="17" spans="1:7" x14ac:dyDescent="0.25">
      <c r="A17" s="2">
        <v>10</v>
      </c>
      <c r="B17" s="3" t="s">
        <v>714</v>
      </c>
      <c r="C17" s="51">
        <v>2.7645833333333338E-2</v>
      </c>
      <c r="D17" s="29">
        <f>INDEX('Points Summary'!$F$4:$F$1143,G17)</f>
        <v>83.939036057542722</v>
      </c>
      <c r="E17" s="124">
        <f t="shared" si="0"/>
        <v>0.9041058353270145</v>
      </c>
      <c r="F17" s="3"/>
      <c r="G17" s="2">
        <f>MATCH(B17,'Points Summary'!$B$4:$B$1144,0)</f>
        <v>220</v>
      </c>
    </row>
    <row r="18" spans="1:7" x14ac:dyDescent="0.25">
      <c r="A18" s="2">
        <v>11</v>
      </c>
      <c r="B18" s="3" t="s">
        <v>718</v>
      </c>
      <c r="C18" s="51">
        <v>3.0807870370370374E-2</v>
      </c>
      <c r="D18" s="29">
        <f>INDEX('Points Summary'!$F$4:$F$1143,G18)</f>
        <v>81.013290109009503</v>
      </c>
      <c r="E18" s="124">
        <f t="shared" si="0"/>
        <v>0.81131084163427258</v>
      </c>
      <c r="F18" s="3"/>
      <c r="G18" s="2">
        <f>MATCH(B18,'Points Summary'!$B$4:$B$1144,0)</f>
        <v>305</v>
      </c>
    </row>
    <row r="19" spans="1:7" x14ac:dyDescent="0.25">
      <c r="A19" s="2">
        <v>12</v>
      </c>
      <c r="B19" s="3" t="s">
        <v>730</v>
      </c>
      <c r="C19" s="51">
        <v>3.1166666666666665E-2</v>
      </c>
      <c r="D19" s="29">
        <f>INDEX('Points Summary'!$F$4:$F$1143,G19)</f>
        <v>76.49851546192447</v>
      </c>
      <c r="E19" s="124">
        <f t="shared" si="0"/>
        <v>0.80197088467844146</v>
      </c>
      <c r="F19" s="3"/>
      <c r="G19" s="2">
        <f>MATCH(B19,'Points Summary'!$B$4:$B$1144,0)</f>
        <v>355</v>
      </c>
    </row>
    <row r="20" spans="1:7" x14ac:dyDescent="0.25">
      <c r="A20" s="2">
        <v>13</v>
      </c>
      <c r="B20" s="3" t="s">
        <v>729</v>
      </c>
      <c r="C20" s="51">
        <v>3.2574074074074075E-2</v>
      </c>
      <c r="D20" s="29">
        <f>INDEX('Points Summary'!$F$4:$F$1143,G20)</f>
        <v>74.818918747524734</v>
      </c>
      <c r="E20" s="124">
        <f t="shared" si="0"/>
        <v>0.76732063610791179</v>
      </c>
      <c r="F20" s="3"/>
      <c r="G20" s="2">
        <f>MATCH(B20,'Points Summary'!$B$4:$B$1144,0)</f>
        <v>252</v>
      </c>
    </row>
    <row r="21" spans="1:7" x14ac:dyDescent="0.25">
      <c r="A21" s="2">
        <v>14</v>
      </c>
      <c r="B21" s="3" t="s">
        <v>1194</v>
      </c>
      <c r="C21" s="51">
        <v>3.3142361111111109E-2</v>
      </c>
      <c r="D21" s="29">
        <f>INDEX('Points Summary'!$F$4:$F$1143,G21)</f>
        <v>0</v>
      </c>
      <c r="E21" s="124">
        <f t="shared" si="0"/>
        <v>0.75416350559179579</v>
      </c>
      <c r="F21" s="3"/>
      <c r="G21" s="2">
        <f>MATCH(B21,'Points Summary'!$B$4:$B$1144,0)</f>
        <v>297</v>
      </c>
    </row>
    <row r="22" spans="1:7" x14ac:dyDescent="0.25">
      <c r="A22" s="2">
        <v>15</v>
      </c>
      <c r="B22" s="3" t="s">
        <v>1337</v>
      </c>
      <c r="C22" s="51">
        <v>3.5847222222222218E-2</v>
      </c>
      <c r="D22" s="29">
        <f>INDEX('Points Summary'!$F$4:$F$1143,G22)</f>
        <v>0</v>
      </c>
      <c r="E22" s="124">
        <f t="shared" si="0"/>
        <v>0.69725790980954006</v>
      </c>
      <c r="F22" s="3"/>
      <c r="G22" s="2">
        <f>MATCH(B22,'Points Summary'!$B$4:$B$1144,0)</f>
        <v>226</v>
      </c>
    </row>
    <row r="23" spans="1:7" x14ac:dyDescent="0.25">
      <c r="A23" s="2">
        <v>16</v>
      </c>
      <c r="B23" s="3" t="s">
        <v>1195</v>
      </c>
      <c r="C23" s="51">
        <f>TIME(1,10,57)</f>
        <v>4.927083333333334E-2</v>
      </c>
      <c r="D23" s="29">
        <f>INDEX('Points Summary'!$F$4:$F$1143,G23)</f>
        <v>0</v>
      </c>
      <c r="E23" s="124">
        <f t="shared" si="0"/>
        <v>0.50729321077333966</v>
      </c>
      <c r="F23" s="3"/>
      <c r="G23" s="2">
        <f>MATCH(B23,'Points Summary'!$B$4:$B$1144,0)</f>
        <v>458</v>
      </c>
    </row>
    <row r="24" spans="1:7" x14ac:dyDescent="0.25">
      <c r="A24" s="2"/>
      <c r="B24" s="3"/>
      <c r="C24" s="51"/>
      <c r="D24" s="29"/>
      <c r="E24" s="30"/>
      <c r="F24" s="3"/>
      <c r="G24" s="2"/>
    </row>
    <row r="25" spans="1:7" x14ac:dyDescent="0.25">
      <c r="A25" s="2"/>
      <c r="B25" s="3"/>
      <c r="C25" s="51"/>
      <c r="D25" s="29"/>
      <c r="E25" s="30"/>
      <c r="F25" s="3"/>
      <c r="G25" s="2"/>
    </row>
    <row r="26" spans="1:7" x14ac:dyDescent="0.25">
      <c r="A26" s="2"/>
      <c r="B26" s="3"/>
      <c r="C26" s="51"/>
      <c r="D26" s="29"/>
      <c r="E26" s="30"/>
      <c r="F26" s="3"/>
      <c r="G26" s="2"/>
    </row>
    <row r="27" spans="1:7" x14ac:dyDescent="0.25">
      <c r="A27" s="2"/>
      <c r="B27" s="3"/>
      <c r="C27" s="51"/>
      <c r="D27" s="29"/>
      <c r="E27" s="30"/>
      <c r="F27" s="3"/>
      <c r="G27" s="2"/>
    </row>
    <row r="28" spans="1:7" x14ac:dyDescent="0.25">
      <c r="A28" s="2"/>
      <c r="B28" s="3"/>
      <c r="C28" s="51"/>
      <c r="D28" s="29"/>
      <c r="E28" s="30"/>
      <c r="F28" s="3"/>
      <c r="G28" s="2"/>
    </row>
    <row r="29" spans="1:7" x14ac:dyDescent="0.25">
      <c r="A29" s="2"/>
      <c r="B29" s="3"/>
      <c r="C29" s="28"/>
      <c r="D29" s="29"/>
      <c r="E29" s="30"/>
      <c r="F29" s="3"/>
      <c r="G29" s="2"/>
    </row>
    <row r="30" spans="1:7" x14ac:dyDescent="0.25">
      <c r="A30" s="2"/>
      <c r="B30" s="3"/>
      <c r="C30" s="28"/>
      <c r="D30" s="29"/>
      <c r="E30" s="30"/>
      <c r="F30" s="3"/>
      <c r="G30" s="2"/>
    </row>
    <row r="31" spans="1:7" x14ac:dyDescent="0.25">
      <c r="A31" s="2"/>
      <c r="B31" s="3"/>
      <c r="C31" s="28"/>
      <c r="D31" s="29"/>
      <c r="E31" s="30"/>
      <c r="F31" s="3"/>
      <c r="G31" s="2"/>
    </row>
    <row r="32" spans="1:7" x14ac:dyDescent="0.25">
      <c r="A32" s="2"/>
      <c r="B32" s="3"/>
      <c r="C32" s="28"/>
      <c r="D32" s="29"/>
      <c r="E32" s="30"/>
      <c r="F32" s="3"/>
      <c r="G32" s="2"/>
    </row>
    <row r="33" spans="1:7" x14ac:dyDescent="0.25">
      <c r="A33" s="2"/>
      <c r="B33" s="3"/>
      <c r="C33" s="28"/>
      <c r="D33" s="29"/>
      <c r="E33" s="30"/>
      <c r="F33" s="3"/>
      <c r="G33" s="2"/>
    </row>
    <row r="34" spans="1:7" x14ac:dyDescent="0.25">
      <c r="A34" s="2"/>
      <c r="B34" s="3"/>
      <c r="C34" s="28"/>
      <c r="D34" s="29"/>
      <c r="E34" s="30"/>
      <c r="F34" s="3"/>
      <c r="G34" s="2"/>
    </row>
    <row r="35" spans="1:7" x14ac:dyDescent="0.25">
      <c r="A35" s="2"/>
      <c r="B35" s="3"/>
      <c r="C35" s="28"/>
      <c r="D35" s="29"/>
      <c r="E35" s="30"/>
      <c r="F35" s="3"/>
      <c r="G35" s="2"/>
    </row>
    <row r="36" spans="1:7" x14ac:dyDescent="0.25">
      <c r="A36" s="2"/>
      <c r="B36" s="3"/>
      <c r="C36" s="28"/>
      <c r="D36" s="29"/>
      <c r="E36" s="30"/>
      <c r="F36" s="3"/>
      <c r="G36" s="2"/>
    </row>
    <row r="37" spans="1:7" x14ac:dyDescent="0.25">
      <c r="A37" s="2"/>
      <c r="B37" s="3"/>
      <c r="C37" s="28"/>
      <c r="D37" s="29"/>
      <c r="E37" s="30"/>
      <c r="F37" s="3"/>
      <c r="G37" s="2"/>
    </row>
    <row r="38" spans="1:7" x14ac:dyDescent="0.25">
      <c r="A38" s="2"/>
      <c r="B38" s="3"/>
      <c r="C38" s="28"/>
      <c r="D38" s="29"/>
      <c r="E38" s="30"/>
      <c r="F38" s="3"/>
      <c r="G38" s="2"/>
    </row>
    <row r="39" spans="1:7" x14ac:dyDescent="0.25">
      <c r="A39" s="2"/>
      <c r="B39" s="3"/>
      <c r="C39" s="28"/>
      <c r="D39" s="29"/>
      <c r="E39" s="30"/>
      <c r="F39" s="3"/>
      <c r="G39" s="2"/>
    </row>
    <row r="40" spans="1:7" x14ac:dyDescent="0.25">
      <c r="A40" s="2"/>
      <c r="B40" s="3"/>
      <c r="C40" s="28"/>
      <c r="D40" s="29"/>
      <c r="E40" s="30"/>
      <c r="F40" s="3"/>
      <c r="G40" s="2"/>
    </row>
    <row r="41" spans="1:7" x14ac:dyDescent="0.25">
      <c r="A41" s="2"/>
      <c r="B41" s="3"/>
      <c r="C41" s="28"/>
      <c r="D41" s="29"/>
      <c r="E41" s="30"/>
      <c r="F41" s="3"/>
      <c r="G41" s="2"/>
    </row>
    <row r="42" spans="1:7" x14ac:dyDescent="0.25">
      <c r="A42" s="2"/>
      <c r="B42" s="3"/>
      <c r="C42" s="28"/>
      <c r="D42" s="29"/>
      <c r="E42" s="30"/>
      <c r="F42" s="3"/>
      <c r="G42" s="2"/>
    </row>
    <row r="43" spans="1:7" x14ac:dyDescent="0.25">
      <c r="A43" s="2"/>
      <c r="B43" s="3"/>
      <c r="C43" s="28"/>
      <c r="D43" s="29"/>
      <c r="E43" s="30"/>
      <c r="F43" s="3"/>
      <c r="G43" s="2"/>
    </row>
    <row r="44" spans="1:7" x14ac:dyDescent="0.25">
      <c r="A44" s="2"/>
      <c r="B44" s="3"/>
      <c r="C44" s="28"/>
      <c r="D44" s="29"/>
      <c r="E44" s="30"/>
      <c r="F44" s="3"/>
      <c r="G44" s="2"/>
    </row>
    <row r="45" spans="1:7" x14ac:dyDescent="0.25">
      <c r="A45" s="2"/>
      <c r="B45" s="3"/>
      <c r="C45" s="28"/>
      <c r="D45" s="29"/>
      <c r="E45" s="30"/>
      <c r="F45" s="3"/>
      <c r="G45" s="2"/>
    </row>
    <row r="46" spans="1:7" x14ac:dyDescent="0.25">
      <c r="A46" s="2"/>
      <c r="B46" s="3"/>
      <c r="C46" s="28"/>
      <c r="D46" s="29"/>
      <c r="E46" s="30"/>
      <c r="F46" s="3"/>
      <c r="G46" s="2"/>
    </row>
    <row r="47" spans="1:7" x14ac:dyDescent="0.25">
      <c r="A47" s="2"/>
      <c r="B47" s="3"/>
      <c r="C47" s="28"/>
      <c r="D47" s="29"/>
      <c r="E47" s="30"/>
      <c r="F47" s="3"/>
      <c r="G47" s="2"/>
    </row>
    <row r="48" spans="1:7" x14ac:dyDescent="0.25">
      <c r="A48" s="2"/>
      <c r="B48" s="3"/>
      <c r="C48" s="28"/>
      <c r="D48" s="29"/>
      <c r="E48" s="30"/>
      <c r="F48" s="3"/>
      <c r="G48" s="2"/>
    </row>
    <row r="49" spans="1:7" x14ac:dyDescent="0.25">
      <c r="A49" s="2"/>
      <c r="B49" s="3"/>
      <c r="C49" s="28"/>
      <c r="D49" s="29"/>
      <c r="E49" s="30"/>
      <c r="F49" s="3"/>
      <c r="G49" s="2"/>
    </row>
    <row r="50" spans="1:7" x14ac:dyDescent="0.25">
      <c r="A50" s="2"/>
      <c r="B50" s="3"/>
      <c r="C50" s="28"/>
      <c r="D50" s="29"/>
      <c r="E50" s="30"/>
      <c r="F50" s="3"/>
      <c r="G50" s="2"/>
    </row>
    <row r="51" spans="1:7" x14ac:dyDescent="0.25">
      <c r="A51" s="2"/>
      <c r="B51" s="3"/>
      <c r="C51" s="28"/>
      <c r="D51" s="29"/>
      <c r="E51" s="30"/>
      <c r="F51" s="3"/>
      <c r="G51" s="2"/>
    </row>
    <row r="52" spans="1:7" x14ac:dyDescent="0.25">
      <c r="A52" s="2"/>
      <c r="B52" s="3"/>
      <c r="C52" s="28"/>
      <c r="D52" s="29"/>
      <c r="E52" s="30"/>
      <c r="F52" s="3"/>
      <c r="G52" s="2"/>
    </row>
    <row r="53" spans="1:7" x14ac:dyDescent="0.25">
      <c r="A53" s="2"/>
      <c r="B53" s="3"/>
      <c r="C53" s="28"/>
      <c r="D53" s="29"/>
      <c r="E53" s="30"/>
      <c r="F53" s="3"/>
      <c r="G53" s="2"/>
    </row>
    <row r="54" spans="1:7" x14ac:dyDescent="0.25">
      <c r="A54" s="2"/>
      <c r="B54" s="3"/>
      <c r="C54" s="28"/>
      <c r="D54" s="29"/>
      <c r="E54" s="30"/>
      <c r="F54" s="3"/>
      <c r="G54" s="2"/>
    </row>
    <row r="55" spans="1:7" x14ac:dyDescent="0.25">
      <c r="A55" s="2"/>
      <c r="B55" s="3"/>
      <c r="C55" s="28"/>
      <c r="D55" s="29"/>
      <c r="E55" s="30"/>
      <c r="F55" s="3"/>
      <c r="G55" s="2"/>
    </row>
    <row r="56" spans="1:7" x14ac:dyDescent="0.25">
      <c r="A56" s="2"/>
      <c r="B56" s="3"/>
      <c r="C56" s="28"/>
      <c r="D56" s="29"/>
      <c r="E56" s="30"/>
      <c r="F56" s="3"/>
      <c r="G56" s="2"/>
    </row>
    <row r="57" spans="1:7" x14ac:dyDescent="0.25">
      <c r="A57" s="2"/>
      <c r="B57" s="3"/>
      <c r="C57" s="28"/>
      <c r="D57" s="29"/>
      <c r="E57" s="30"/>
      <c r="F57" s="3"/>
      <c r="G57" s="2"/>
    </row>
    <row r="58" spans="1:7" x14ac:dyDescent="0.25">
      <c r="A58" s="2"/>
      <c r="B58" s="3"/>
      <c r="C58" s="28"/>
      <c r="D58" s="29"/>
      <c r="E58" s="30"/>
      <c r="F58" s="3"/>
      <c r="G58" s="2"/>
    </row>
    <row r="59" spans="1:7" x14ac:dyDescent="0.25">
      <c r="A59" s="2"/>
      <c r="B59" s="3"/>
      <c r="C59" s="28"/>
      <c r="D59" s="29"/>
      <c r="E59" s="30"/>
      <c r="F59" s="3"/>
      <c r="G59" s="2"/>
    </row>
    <row r="60" spans="1:7" x14ac:dyDescent="0.25">
      <c r="A60" s="2"/>
      <c r="B60" s="3"/>
      <c r="C60" s="28"/>
      <c r="D60" s="29"/>
      <c r="E60" s="30"/>
      <c r="F60" s="3"/>
      <c r="G60" s="2"/>
    </row>
    <row r="61" spans="1:7" x14ac:dyDescent="0.25">
      <c r="A61" s="2"/>
      <c r="B61" s="3"/>
      <c r="C61" s="28"/>
      <c r="D61" s="29"/>
      <c r="E61" s="30"/>
      <c r="F61" s="3"/>
      <c r="G61" s="2"/>
    </row>
    <row r="62" spans="1:7" x14ac:dyDescent="0.25">
      <c r="A62" s="2"/>
      <c r="B62" s="3"/>
      <c r="C62" s="28"/>
      <c r="D62" s="29"/>
      <c r="E62" s="30"/>
      <c r="F62" s="3"/>
      <c r="G62" s="2"/>
    </row>
    <row r="63" spans="1:7" x14ac:dyDescent="0.25">
      <c r="A63" s="2"/>
      <c r="B63" s="3"/>
      <c r="C63" s="28"/>
      <c r="D63" s="29"/>
      <c r="E63" s="30"/>
      <c r="F63" s="3"/>
      <c r="G63" s="2"/>
    </row>
    <row r="64" spans="1:7" x14ac:dyDescent="0.25">
      <c r="A64" s="2"/>
      <c r="B64" s="3"/>
      <c r="C64" s="28"/>
      <c r="D64" s="29"/>
      <c r="E64" s="30"/>
      <c r="F64" s="3"/>
      <c r="G64" s="2"/>
    </row>
    <row r="65" spans="1:7" x14ac:dyDescent="0.25">
      <c r="A65" s="2"/>
      <c r="B65" s="3"/>
      <c r="C65" s="28"/>
      <c r="D65" s="29"/>
      <c r="E65" s="30"/>
      <c r="F65" s="3"/>
      <c r="G65" s="2"/>
    </row>
    <row r="66" spans="1:7" x14ac:dyDescent="0.25">
      <c r="A66" s="2"/>
      <c r="B66" s="3"/>
      <c r="C66" s="28"/>
      <c r="D66" s="29"/>
      <c r="E66" s="30"/>
      <c r="F66" s="3"/>
      <c r="G66" s="2"/>
    </row>
    <row r="67" spans="1:7" x14ac:dyDescent="0.25">
      <c r="A67" s="2"/>
      <c r="B67" s="3"/>
      <c r="C67" s="28"/>
      <c r="D67" s="29"/>
      <c r="E67" s="30"/>
      <c r="F67" s="3"/>
      <c r="G67" s="2"/>
    </row>
    <row r="68" spans="1:7" x14ac:dyDescent="0.25">
      <c r="A68" s="2"/>
      <c r="B68" s="3"/>
      <c r="C68" s="28"/>
      <c r="D68" s="29"/>
      <c r="E68" s="30"/>
      <c r="F68" s="3"/>
      <c r="G68" s="2"/>
    </row>
  </sheetData>
  <sortState ref="A8:G23">
    <sortCondition descending="1" ref="D8:D23"/>
  </sortState>
  <phoneticPr fontId="0" type="noConversion"/>
  <printOptions horizontalCentered="1"/>
  <pageMargins left="0.75" right="0.75" top="1" bottom="1" header="0.5" footer="0.5"/>
  <pageSetup orientation="portrait" horizontalDpi="200" verticalDpi="200" r:id="rId1"/>
  <headerFooter alignWithMargins="0">
    <oddHeader>&amp;L&amp;"Tahoma,Bold"&amp;11U.S. Biathlon Association&amp;R&amp;"Tahoma,Bold"&amp;11 2018 Race Points</oddHeader>
    <oddFooter>&amp;R&amp;"Tahoma,Regular"Page &amp;P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7"/>
  <sheetViews>
    <sheetView topLeftCell="A7" workbookViewId="0">
      <selection activeCell="B21" sqref="B2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11" x14ac:dyDescent="0.25">
      <c r="A1" s="16" t="s">
        <v>22</v>
      </c>
      <c r="B1" s="17" t="s">
        <v>1336</v>
      </c>
      <c r="C1" s="18"/>
      <c r="D1" s="18"/>
      <c r="E1" s="18"/>
      <c r="F1" s="18"/>
      <c r="G1" s="19"/>
    </row>
    <row r="2" spans="1:11" x14ac:dyDescent="0.25">
      <c r="A2" s="20" t="s">
        <v>23</v>
      </c>
      <c r="B2" s="21">
        <v>43189</v>
      </c>
      <c r="C2" s="22"/>
      <c r="D2" s="22"/>
      <c r="E2" s="22"/>
      <c r="F2" s="22"/>
      <c r="G2" s="23"/>
    </row>
    <row r="3" spans="1:11" x14ac:dyDescent="0.25">
      <c r="A3" s="20" t="s">
        <v>24</v>
      </c>
      <c r="B3" s="24" t="s">
        <v>43</v>
      </c>
      <c r="C3" s="22"/>
      <c r="D3" s="22"/>
      <c r="E3" s="22"/>
      <c r="F3" s="22"/>
      <c r="G3" s="23"/>
    </row>
    <row r="4" spans="1:11" x14ac:dyDescent="0.25">
      <c r="A4" s="20" t="s">
        <v>1</v>
      </c>
      <c r="B4" s="24" t="s">
        <v>833</v>
      </c>
      <c r="C4" s="22"/>
      <c r="D4" s="22"/>
      <c r="E4" s="22"/>
      <c r="F4" s="22"/>
      <c r="G4" s="23"/>
    </row>
    <row r="5" spans="1:11" x14ac:dyDescent="0.25">
      <c r="A5" s="20" t="s">
        <v>27</v>
      </c>
      <c r="B5" s="24" t="s">
        <v>1224</v>
      </c>
      <c r="C5" s="22"/>
      <c r="D5" s="22"/>
      <c r="E5" s="22" t="s">
        <v>55</v>
      </c>
      <c r="F5" s="38">
        <f>AVERAGE(C8:C10)*(AVERAGE(D8:D10)/100)</f>
        <v>2.060019735244295E-2</v>
      </c>
      <c r="G5" s="23"/>
    </row>
    <row r="6" spans="1:11" x14ac:dyDescent="0.25">
      <c r="A6" s="25" t="s">
        <v>29</v>
      </c>
      <c r="B6" s="26"/>
      <c r="C6" s="26"/>
      <c r="D6" s="26"/>
      <c r="E6" s="26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11" x14ac:dyDescent="0.25">
      <c r="A8" s="2">
        <v>7</v>
      </c>
      <c r="B8" s="3" t="s">
        <v>772</v>
      </c>
      <c r="C8" s="51">
        <v>2.6776620370370371E-2</v>
      </c>
      <c r="D8" s="29">
        <f>INDEX('Points Summary'!$F$4:$F$1143,G8)</f>
        <v>81.785334346671192</v>
      </c>
      <c r="E8" s="124">
        <f>(AVERAGE($D$8:$D$10)/100*AVERAGE($C$8:$C$10))/C8</f>
        <v>0.76933522855027914</v>
      </c>
      <c r="F8" s="3"/>
      <c r="G8" s="2">
        <f>MATCH(B8,'Points Summary'!$B$4:$B$1144,0)</f>
        <v>90</v>
      </c>
      <c r="I8" s="28"/>
      <c r="J8" s="28"/>
      <c r="K8" s="28"/>
    </row>
    <row r="9" spans="1:11" x14ac:dyDescent="0.25">
      <c r="A9" s="2">
        <v>2</v>
      </c>
      <c r="B9" s="3" t="s">
        <v>808</v>
      </c>
      <c r="C9" s="51">
        <v>2.4173611111111114E-2</v>
      </c>
      <c r="D9" s="29">
        <f>INDEX('Points Summary'!$F$4:$F$1143,G9)</f>
        <v>80.557714578078887</v>
      </c>
      <c r="E9" s="124">
        <f t="shared" ref="E9:E35" si="0">(AVERAGE($D$8:$D$10)/100*AVERAGE($C$8:$C$10))/C9</f>
        <v>0.85217708093989786</v>
      </c>
      <c r="F9" s="3"/>
      <c r="G9" s="2">
        <f>MATCH(B9,'Points Summary'!$B$4:$B$1144,0)</f>
        <v>441</v>
      </c>
      <c r="I9" s="28"/>
      <c r="J9" s="28"/>
      <c r="K9" s="28"/>
    </row>
    <row r="10" spans="1:11" x14ac:dyDescent="0.25">
      <c r="A10" s="2">
        <v>5</v>
      </c>
      <c r="B10" s="3" t="s">
        <v>846</v>
      </c>
      <c r="C10" s="51">
        <v>2.5540509259259259E-2</v>
      </c>
      <c r="D10" s="29">
        <f>INDEX('Points Summary'!$F$4:$F$1143,G10)</f>
        <v>80.041551324306269</v>
      </c>
      <c r="E10" s="124">
        <f t="shared" si="0"/>
        <v>0.80656956144970815</v>
      </c>
      <c r="F10" s="3"/>
      <c r="G10" s="2">
        <f>MATCH(B10,'Points Summary'!$B$4:$B$1144,0)</f>
        <v>168</v>
      </c>
      <c r="I10" s="28"/>
      <c r="J10" s="28"/>
      <c r="K10" s="28"/>
    </row>
    <row r="11" spans="1:11" x14ac:dyDescent="0.25">
      <c r="A11" s="2">
        <v>4</v>
      </c>
      <c r="B11" s="3" t="s">
        <v>847</v>
      </c>
      <c r="C11" s="51">
        <v>2.5208333333333333E-2</v>
      </c>
      <c r="D11" s="29">
        <f>INDEX('Points Summary'!$F$4:$F$1143,G11)</f>
        <v>77.868356934222959</v>
      </c>
      <c r="E11" s="124">
        <f t="shared" si="0"/>
        <v>0.81719791150186916</v>
      </c>
      <c r="F11" s="3"/>
      <c r="G11" s="2">
        <f>MATCH(B11,'Points Summary'!$B$4:$B$1144,0)</f>
        <v>446</v>
      </c>
      <c r="I11" s="28"/>
      <c r="J11" s="28"/>
      <c r="K11" s="28"/>
    </row>
    <row r="12" spans="1:11" x14ac:dyDescent="0.25">
      <c r="A12" s="2">
        <v>2</v>
      </c>
      <c r="B12" s="3" t="s">
        <v>269</v>
      </c>
      <c r="C12" s="51">
        <v>2.9903935185185183E-2</v>
      </c>
      <c r="D12" s="29">
        <f>INDEX('Points Summary'!$F$4:$F$1143,G12)</f>
        <v>75.795752491003284</v>
      </c>
      <c r="E12" s="124">
        <f t="shared" si="0"/>
        <v>0.68887914666991956</v>
      </c>
      <c r="F12" s="3"/>
      <c r="G12" s="2">
        <f>MATCH(B12,'Points Summary'!$B$4:$B$1144,0)</f>
        <v>425</v>
      </c>
    </row>
    <row r="13" spans="1:11" x14ac:dyDescent="0.25">
      <c r="A13" s="2">
        <v>9</v>
      </c>
      <c r="B13" s="3" t="s">
        <v>1040</v>
      </c>
      <c r="C13" s="51">
        <v>2.8804398148148145E-2</v>
      </c>
      <c r="D13" s="29">
        <f>INDEX('Points Summary'!$F$4:$F$1143,G13)</f>
        <v>73.497966256493498</v>
      </c>
      <c r="E13" s="124">
        <f t="shared" si="0"/>
        <v>0.71517541336885571</v>
      </c>
      <c r="F13" s="3"/>
      <c r="G13" s="2">
        <f>MATCH(B13,'Points Summary'!$B$4:$B$1144,0)</f>
        <v>198</v>
      </c>
    </row>
    <row r="14" spans="1:11" x14ac:dyDescent="0.25">
      <c r="A14" s="2">
        <v>3</v>
      </c>
      <c r="B14" s="3" t="s">
        <v>1037</v>
      </c>
      <c r="C14" s="51">
        <v>2.4923611111111108E-2</v>
      </c>
      <c r="D14" s="29">
        <f>INDEX('Points Summary'!$F$4:$F$1143,G14)</f>
        <v>72.650782880097523</v>
      </c>
      <c r="E14" s="124">
        <f t="shared" si="0"/>
        <v>0.82653341285923243</v>
      </c>
      <c r="F14" s="3"/>
      <c r="G14" s="2">
        <f>MATCH(B14,'Points Summary'!$B$4:$B$1144,0)</f>
        <v>42</v>
      </c>
    </row>
    <row r="15" spans="1:11" x14ac:dyDescent="0.25">
      <c r="A15" s="2">
        <v>9</v>
      </c>
      <c r="B15" s="3" t="s">
        <v>90</v>
      </c>
      <c r="C15" s="51">
        <v>3.4118055555555561E-2</v>
      </c>
      <c r="D15" s="29">
        <f>INDEX('Points Summary'!$F$4:$F$1143,G15)</f>
        <v>64.679230598182357</v>
      </c>
      <c r="E15" s="124">
        <f t="shared" si="0"/>
        <v>0.60379165861017392</v>
      </c>
      <c r="F15" s="3"/>
      <c r="G15" s="2">
        <f>MATCH(B15,'Points Summary'!$B$4:$B$1144,0)</f>
        <v>334</v>
      </c>
    </row>
    <row r="16" spans="1:11" x14ac:dyDescent="0.25">
      <c r="A16" s="2">
        <v>8</v>
      </c>
      <c r="B16" s="3" t="s">
        <v>774</v>
      </c>
      <c r="C16" s="51">
        <v>2.6776620370370371E-2</v>
      </c>
      <c r="D16" s="29">
        <f>INDEX('Points Summary'!$F$4:$F$1143,G16)</f>
        <v>71.319535937863435</v>
      </c>
      <c r="E16" s="124">
        <f t="shared" si="0"/>
        <v>0.76933522855027914</v>
      </c>
      <c r="F16" s="3"/>
      <c r="G16" s="2">
        <f>MATCH(B16,'Points Summary'!$B$4:$B$1144,0)</f>
        <v>258</v>
      </c>
    </row>
    <row r="17" spans="1:7" x14ac:dyDescent="0.25">
      <c r="A17" s="2">
        <v>4</v>
      </c>
      <c r="B17" s="3" t="s">
        <v>106</v>
      </c>
      <c r="C17" s="51">
        <v>3.1709490740740746E-2</v>
      </c>
      <c r="D17" s="29">
        <f>INDEX('Points Summary'!$F$4:$F$1143,G17)</f>
        <v>68.483457061753498</v>
      </c>
      <c r="E17" s="124">
        <f t="shared" si="0"/>
        <v>0.64965399541959723</v>
      </c>
      <c r="F17" s="3"/>
      <c r="G17" s="2">
        <f>MATCH(B17,'Points Summary'!$B$4:$B$1144,0)</f>
        <v>45</v>
      </c>
    </row>
    <row r="18" spans="1:7" x14ac:dyDescent="0.25">
      <c r="A18" s="2">
        <v>1</v>
      </c>
      <c r="B18" s="3" t="s">
        <v>8</v>
      </c>
      <c r="C18" s="51">
        <v>2.7997685185185184E-2</v>
      </c>
      <c r="D18" s="29">
        <f>INDEX('Points Summary'!$F$4:$F$1143,G18)</f>
        <v>67.132561141984624</v>
      </c>
      <c r="E18" s="124">
        <f t="shared" si="0"/>
        <v>0.7357821625676193</v>
      </c>
      <c r="F18" s="3"/>
      <c r="G18" s="2">
        <f>MATCH(B18,'Points Summary'!$B$4:$B$1144,0)</f>
        <v>89</v>
      </c>
    </row>
    <row r="19" spans="1:7" x14ac:dyDescent="0.25">
      <c r="A19" s="2">
        <v>1</v>
      </c>
      <c r="B19" s="3" t="s">
        <v>839</v>
      </c>
      <c r="C19" s="51">
        <v>2.4000000000000004E-2</v>
      </c>
      <c r="D19" s="29">
        <f>INDEX('Points Summary'!$F$4:$F$1143,G19)</f>
        <v>66.795927850866093</v>
      </c>
      <c r="E19" s="124">
        <f t="shared" si="0"/>
        <v>0.85834155635178944</v>
      </c>
      <c r="F19" s="3"/>
      <c r="G19" s="2">
        <f>MATCH(B19,'Points Summary'!$B$4:$B$1144,0)</f>
        <v>64</v>
      </c>
    </row>
    <row r="20" spans="1:7" x14ac:dyDescent="0.25">
      <c r="A20" s="2">
        <v>7</v>
      </c>
      <c r="B20" s="3" t="s">
        <v>733</v>
      </c>
      <c r="C20" s="51">
        <v>3.352083333333334E-2</v>
      </c>
      <c r="D20" s="29">
        <f>INDEX('Points Summary'!$F$4:$F$1143,G20)</f>
        <v>66.595123596656933</v>
      </c>
      <c r="E20" s="124">
        <f t="shared" si="0"/>
        <v>0.61454908198711089</v>
      </c>
      <c r="F20" s="3"/>
      <c r="G20" s="2">
        <f>MATCH(B20,'Points Summary'!$B$4:$B$1144,0)</f>
        <v>33</v>
      </c>
    </row>
    <row r="21" spans="1:7" x14ac:dyDescent="0.25">
      <c r="A21" s="2">
        <v>10</v>
      </c>
      <c r="B21" s="3" t="s">
        <v>1056</v>
      </c>
      <c r="C21" s="51">
        <v>3.6194444444444439E-2</v>
      </c>
      <c r="D21" s="29">
        <f>INDEX('Points Summary'!$F$4:$F$1143,G21)</f>
        <v>66.562919993215374</v>
      </c>
      <c r="E21" s="124">
        <f t="shared" si="0"/>
        <v>0.56915357228545382</v>
      </c>
      <c r="F21" s="3"/>
      <c r="G21" s="2">
        <f>MATCH(B21,'Points Summary'!$B$4:$B$1144,0)</f>
        <v>361</v>
      </c>
    </row>
    <row r="22" spans="1:7" x14ac:dyDescent="0.25">
      <c r="A22" s="2">
        <v>10</v>
      </c>
      <c r="B22" s="3" t="s">
        <v>807</v>
      </c>
      <c r="C22" s="51">
        <v>3.0291666666666665E-2</v>
      </c>
      <c r="D22" s="29">
        <f>INDEX('Points Summary'!$F$4:$F$1143,G22)</f>
        <v>63.342271196195597</v>
      </c>
      <c r="E22" s="124">
        <f t="shared" si="0"/>
        <v>0.6800615357065074</v>
      </c>
      <c r="F22" s="3"/>
      <c r="G22" s="2">
        <f>MATCH(B22,'Points Summary'!$B$4:$B$1144,0)</f>
        <v>433</v>
      </c>
    </row>
    <row r="23" spans="1:7" x14ac:dyDescent="0.25">
      <c r="A23" s="2">
        <v>16</v>
      </c>
      <c r="B23" s="3" t="s">
        <v>786</v>
      </c>
      <c r="C23" s="51">
        <f>TIME(0,57,51)</f>
        <v>4.0173611111111111E-2</v>
      </c>
      <c r="D23" s="29">
        <f>INDEX('Points Summary'!$F$4:$F$1143,G23)</f>
        <v>61.662453318181292</v>
      </c>
      <c r="E23" s="124">
        <f t="shared" si="0"/>
        <v>0.51277932908414603</v>
      </c>
      <c r="F23" s="3"/>
      <c r="G23" s="2">
        <f>MATCH(B23,'Points Summary'!$B$4:$B$1144,0)</f>
        <v>110</v>
      </c>
    </row>
    <row r="24" spans="1:7" x14ac:dyDescent="0.25">
      <c r="A24" s="2">
        <v>5</v>
      </c>
      <c r="B24" s="3" t="s">
        <v>785</v>
      </c>
      <c r="C24" s="51">
        <v>3.1734953703703703E-2</v>
      </c>
      <c r="D24" s="29">
        <f>INDEX('Points Summary'!$F$4:$F$1143,G24)</f>
        <v>61.405976272712444</v>
      </c>
      <c r="E24" s="124">
        <f t="shared" si="0"/>
        <v>0.64913273687992668</v>
      </c>
      <c r="F24" s="3"/>
      <c r="G24" s="2">
        <f>MATCH(B24,'Points Summary'!$B$4:$B$1144,0)</f>
        <v>430</v>
      </c>
    </row>
    <row r="25" spans="1:7" x14ac:dyDescent="0.25">
      <c r="A25" s="2">
        <v>14</v>
      </c>
      <c r="B25" s="3" t="s">
        <v>98</v>
      </c>
      <c r="C25" s="51">
        <v>3.7304398148148149E-2</v>
      </c>
      <c r="D25" s="29">
        <f>INDEX('Points Summary'!$F$4:$F$1143,G25)</f>
        <v>61.16734161191328</v>
      </c>
      <c r="E25" s="124">
        <f t="shared" si="0"/>
        <v>0.5522189976268409</v>
      </c>
      <c r="F25" s="3"/>
      <c r="G25" s="2">
        <f>MATCH(B25,'Points Summary'!$B$4:$B$1144,0)</f>
        <v>38</v>
      </c>
    </row>
    <row r="26" spans="1:7" x14ac:dyDescent="0.25">
      <c r="A26" s="2">
        <v>12</v>
      </c>
      <c r="B26" s="3" t="s">
        <v>491</v>
      </c>
      <c r="C26" s="51">
        <v>3.6694444444444446E-2</v>
      </c>
      <c r="D26" s="29">
        <f>INDEX('Points Summary'!$F$4:$F$1143,G26)</f>
        <v>60.524290845204135</v>
      </c>
      <c r="E26" s="124">
        <f t="shared" si="0"/>
        <v>0.56139826244356261</v>
      </c>
      <c r="F26" s="3"/>
      <c r="G26" s="2">
        <f>MATCH(B26,'Points Summary'!$B$4:$B$1144,0)</f>
        <v>54</v>
      </c>
    </row>
    <row r="27" spans="1:7" x14ac:dyDescent="0.25">
      <c r="A27" s="2">
        <v>11</v>
      </c>
      <c r="B27" s="3" t="s">
        <v>1084</v>
      </c>
      <c r="C27" s="51">
        <f>TIME(0,52,17)</f>
        <v>3.6307870370370372E-2</v>
      </c>
      <c r="D27" s="29">
        <f>INDEX('Points Summary'!$F$4:$F$1143,G27)</f>
        <v>59.914210747568333</v>
      </c>
      <c r="E27" s="124">
        <f t="shared" si="0"/>
        <v>0.56737553434844468</v>
      </c>
      <c r="F27" s="3"/>
      <c r="G27" s="2">
        <f>MATCH(B27,'Points Summary'!$B$4:$B$1144,0)</f>
        <v>392</v>
      </c>
    </row>
    <row r="28" spans="1:7" x14ac:dyDescent="0.25">
      <c r="A28" s="2">
        <v>13</v>
      </c>
      <c r="B28" s="3" t="s">
        <v>1054</v>
      </c>
      <c r="C28" s="51">
        <v>3.6980324074074075E-2</v>
      </c>
      <c r="D28" s="29">
        <f>INDEX('Points Summary'!$F$4:$F$1143,G28)</f>
        <v>56.65159485662447</v>
      </c>
      <c r="E28" s="124">
        <f t="shared" si="0"/>
        <v>0.55705832407469902</v>
      </c>
      <c r="F28" s="3"/>
      <c r="G28" s="2">
        <f>MATCH(B28,'Points Summary'!$B$4:$B$1144,0)</f>
        <v>217</v>
      </c>
    </row>
    <row r="29" spans="1:7" x14ac:dyDescent="0.25">
      <c r="A29" s="2">
        <v>18</v>
      </c>
      <c r="B29" s="3" t="s">
        <v>1058</v>
      </c>
      <c r="C29" s="51">
        <f>TIME(1,6,11.2)</f>
        <v>4.5960648148148146E-2</v>
      </c>
      <c r="D29" s="29">
        <f>INDEX('Points Summary'!$F$4:$F$1143,G29)</f>
        <v>53.525078450978434</v>
      </c>
      <c r="E29" s="124">
        <f t="shared" si="0"/>
        <v>0.44821381295670387</v>
      </c>
      <c r="F29" s="3"/>
      <c r="G29" s="2">
        <f>MATCH(B29,'Points Summary'!$B$4:$B$1144,0)</f>
        <v>162</v>
      </c>
    </row>
    <row r="30" spans="1:7" x14ac:dyDescent="0.25">
      <c r="A30" s="2">
        <v>15</v>
      </c>
      <c r="B30" s="3" t="s">
        <v>1141</v>
      </c>
      <c r="C30" s="51">
        <v>3.9993055555555559E-2</v>
      </c>
      <c r="D30" s="29">
        <f>INDEX('Points Summary'!$F$4:$F$1143,G30)</f>
        <v>53.193032945202248</v>
      </c>
      <c r="E30" s="124">
        <f t="shared" si="0"/>
        <v>0.51509435991522567</v>
      </c>
      <c r="F30" s="3"/>
      <c r="G30" s="2">
        <f>MATCH(B30,'Points Summary'!$B$4:$B$1144,0)</f>
        <v>450</v>
      </c>
    </row>
    <row r="31" spans="1:7" x14ac:dyDescent="0.25">
      <c r="A31" s="2">
        <v>17</v>
      </c>
      <c r="B31" s="3" t="s">
        <v>783</v>
      </c>
      <c r="C31" s="51">
        <f>TIME(1,2,29.1)</f>
        <v>4.3391203703703703E-2</v>
      </c>
      <c r="D31" s="29">
        <f>INDEX('Points Summary'!$F$4:$F$1143,G31)</f>
        <v>52.397236396258847</v>
      </c>
      <c r="E31" s="124">
        <f t="shared" si="0"/>
        <v>0.47475514837318511</v>
      </c>
      <c r="F31" s="3"/>
      <c r="G31" s="2">
        <f>MATCH(B31,'Points Summary'!$B$4:$B$1144,0)</f>
        <v>328</v>
      </c>
    </row>
    <row r="32" spans="1:7" x14ac:dyDescent="0.25">
      <c r="A32" s="2">
        <v>6</v>
      </c>
      <c r="B32" s="3" t="s">
        <v>1335</v>
      </c>
      <c r="C32" s="51">
        <v>2.5694444444444447E-2</v>
      </c>
      <c r="D32" s="29">
        <f>INDEX('Points Summary'!$F$4:$F$1143,G32)</f>
        <v>0</v>
      </c>
      <c r="E32" s="124">
        <f t="shared" si="0"/>
        <v>0.80173741047345526</v>
      </c>
      <c r="F32" s="3"/>
      <c r="G32" s="2">
        <f>MATCH(B32,'Points Summary'!$B$4:$B$1144,0)</f>
        <v>95</v>
      </c>
    </row>
    <row r="33" spans="1:7" x14ac:dyDescent="0.25">
      <c r="A33" s="2">
        <v>3</v>
      </c>
      <c r="B33" s="3" t="s">
        <v>1333</v>
      </c>
      <c r="C33" s="51">
        <v>3.0215277777777775E-2</v>
      </c>
      <c r="D33" s="29">
        <f>INDEX('Points Summary'!$F$4:$F$1143,G33)</f>
        <v>0</v>
      </c>
      <c r="E33" s="124">
        <f t="shared" si="0"/>
        <v>0.68178083630240982</v>
      </c>
      <c r="F33" s="3"/>
      <c r="G33" s="2">
        <f>MATCH(B33,'Points Summary'!$B$4:$B$1144,0)</f>
        <v>437</v>
      </c>
    </row>
    <row r="34" spans="1:7" x14ac:dyDescent="0.25">
      <c r="A34" s="2">
        <v>6</v>
      </c>
      <c r="B34" s="3" t="s">
        <v>1332</v>
      </c>
      <c r="C34" s="51">
        <v>3.2587962962962964E-2</v>
      </c>
      <c r="D34" s="29">
        <f>INDEX('Points Summary'!$F$4:$F$1143,G34)</f>
        <v>0</v>
      </c>
      <c r="E34" s="124">
        <f t="shared" si="0"/>
        <v>0.63214130247587397</v>
      </c>
      <c r="F34" s="3"/>
      <c r="G34" s="2">
        <f>MATCH(B34,'Points Summary'!$B$4:$B$1144,0)</f>
        <v>233</v>
      </c>
    </row>
    <row r="35" spans="1:7" x14ac:dyDescent="0.25">
      <c r="A35" s="2">
        <v>8</v>
      </c>
      <c r="B35" s="3" t="s">
        <v>1334</v>
      </c>
      <c r="C35" s="51">
        <v>2.9906249999999999E-2</v>
      </c>
      <c r="D35" s="29">
        <f>INDEX('Points Summary'!$F$4:$F$1143,G35)</f>
        <v>0</v>
      </c>
      <c r="E35" s="124">
        <f t="shared" si="0"/>
        <v>0.68882582578701612</v>
      </c>
      <c r="F35" s="3"/>
      <c r="G35" s="2">
        <f>MATCH(B35,'Points Summary'!$B$4:$B$1144,0)</f>
        <v>218</v>
      </c>
    </row>
    <row r="36" spans="1:7" x14ac:dyDescent="0.25">
      <c r="A36" s="2"/>
      <c r="B36" s="3"/>
      <c r="C36" s="51"/>
      <c r="D36" s="29"/>
      <c r="E36" s="30"/>
      <c r="F36" s="3"/>
      <c r="G36" s="2"/>
    </row>
    <row r="37" spans="1:7" x14ac:dyDescent="0.25">
      <c r="A37" s="2"/>
      <c r="B37" s="3"/>
      <c r="C37" s="51"/>
      <c r="D37" s="29"/>
      <c r="E37" s="30"/>
      <c r="F37" s="3"/>
      <c r="G37" s="2"/>
    </row>
    <row r="38" spans="1:7" x14ac:dyDescent="0.25">
      <c r="A38" s="2"/>
      <c r="B38" s="3"/>
      <c r="C38" s="51"/>
      <c r="D38" s="29"/>
      <c r="E38" s="30"/>
      <c r="F38" s="3"/>
      <c r="G38" s="2"/>
    </row>
    <row r="39" spans="1:7" x14ac:dyDescent="0.25">
      <c r="A39" s="2"/>
      <c r="B39" s="3"/>
      <c r="C39" s="51"/>
      <c r="D39" s="29"/>
      <c r="E39" s="30"/>
      <c r="F39" s="3"/>
      <c r="G39" s="2"/>
    </row>
    <row r="40" spans="1:7" x14ac:dyDescent="0.25">
      <c r="A40" s="2"/>
      <c r="B40" s="3"/>
      <c r="C40" s="51"/>
      <c r="D40" s="29"/>
      <c r="E40" s="30"/>
      <c r="F40" s="3"/>
      <c r="G40" s="2"/>
    </row>
    <row r="41" spans="1:7" x14ac:dyDescent="0.25">
      <c r="A41" s="2"/>
      <c r="B41" s="3"/>
      <c r="C41" s="51"/>
      <c r="D41" s="29"/>
      <c r="E41" s="30"/>
      <c r="F41" s="3"/>
      <c r="G41" s="2"/>
    </row>
    <row r="42" spans="1:7" x14ac:dyDescent="0.25">
      <c r="A42" s="2"/>
      <c r="B42" s="3"/>
      <c r="C42" s="51"/>
      <c r="D42" s="29"/>
      <c r="E42" s="30"/>
      <c r="F42" s="3"/>
      <c r="G42" s="2"/>
    </row>
    <row r="43" spans="1:7" x14ac:dyDescent="0.25">
      <c r="A43" s="2"/>
      <c r="B43" s="3"/>
      <c r="C43" s="51"/>
      <c r="D43" s="29"/>
      <c r="E43" s="30"/>
      <c r="F43" s="3"/>
      <c r="G43" s="2"/>
    </row>
    <row r="44" spans="1:7" x14ac:dyDescent="0.25">
      <c r="A44" s="2"/>
      <c r="B44" s="3"/>
      <c r="C44" s="51"/>
      <c r="D44" s="29"/>
      <c r="E44" s="30"/>
      <c r="F44" s="3"/>
      <c r="G44" s="2"/>
    </row>
    <row r="45" spans="1:7" x14ac:dyDescent="0.25">
      <c r="A45" s="2"/>
      <c r="B45" s="3"/>
      <c r="C45" s="51"/>
      <c r="D45" s="29"/>
      <c r="E45" s="30"/>
      <c r="F45" s="3"/>
      <c r="G45" s="2"/>
    </row>
    <row r="46" spans="1:7" x14ac:dyDescent="0.25">
      <c r="A46" s="2"/>
      <c r="B46" s="3"/>
      <c r="C46" s="51"/>
      <c r="D46" s="29"/>
      <c r="E46" s="30"/>
      <c r="F46" s="3"/>
      <c r="G46" s="2"/>
    </row>
    <row r="47" spans="1:7" x14ac:dyDescent="0.25">
      <c r="A47" s="2"/>
      <c r="B47" s="3"/>
      <c r="C47" s="51"/>
      <c r="D47" s="29"/>
      <c r="E47" s="30"/>
      <c r="F47" s="3"/>
      <c r="G47" s="2"/>
    </row>
    <row r="48" spans="1:7" x14ac:dyDescent="0.25">
      <c r="A48" s="2"/>
      <c r="B48" s="3"/>
      <c r="C48" s="51"/>
      <c r="D48" s="29"/>
      <c r="E48" s="30"/>
      <c r="F48" s="3"/>
      <c r="G48" s="2"/>
    </row>
    <row r="49" spans="1:7" x14ac:dyDescent="0.25">
      <c r="A49" s="2"/>
      <c r="B49" s="3"/>
      <c r="C49" s="51"/>
      <c r="D49" s="29"/>
      <c r="E49" s="30"/>
      <c r="F49" s="3"/>
      <c r="G49" s="2"/>
    </row>
    <row r="50" spans="1:7" x14ac:dyDescent="0.25">
      <c r="A50" s="2"/>
      <c r="B50" s="3"/>
      <c r="C50" s="51"/>
      <c r="D50" s="29"/>
      <c r="E50" s="30"/>
      <c r="F50" s="3"/>
      <c r="G50" s="2"/>
    </row>
    <row r="51" spans="1:7" x14ac:dyDescent="0.25">
      <c r="A51" s="2"/>
      <c r="B51" s="3"/>
      <c r="C51" s="51"/>
      <c r="D51" s="29"/>
      <c r="E51" s="30"/>
      <c r="F51" s="3"/>
      <c r="G51" s="2"/>
    </row>
    <row r="52" spans="1:7" x14ac:dyDescent="0.25">
      <c r="A52" s="2"/>
      <c r="B52" s="3"/>
      <c r="C52" s="51"/>
      <c r="D52" s="29"/>
      <c r="E52" s="30"/>
      <c r="F52" s="3"/>
      <c r="G52" s="2"/>
    </row>
    <row r="53" spans="1:7" x14ac:dyDescent="0.25">
      <c r="A53" s="2"/>
      <c r="B53" s="3"/>
      <c r="C53" s="51"/>
      <c r="D53" s="29"/>
      <c r="E53" s="30"/>
      <c r="F53" s="3"/>
      <c r="G53" s="2"/>
    </row>
    <row r="54" spans="1:7" x14ac:dyDescent="0.25">
      <c r="A54" s="2"/>
      <c r="B54" s="3"/>
      <c r="C54" s="51"/>
      <c r="D54" s="29"/>
      <c r="E54" s="30"/>
      <c r="F54" s="3"/>
      <c r="G54" s="2"/>
    </row>
    <row r="55" spans="1:7" x14ac:dyDescent="0.25">
      <c r="A55" s="2"/>
      <c r="B55" s="3"/>
      <c r="C55" s="51"/>
      <c r="D55" s="29"/>
      <c r="E55" s="30"/>
      <c r="F55" s="3"/>
      <c r="G55" s="2"/>
    </row>
    <row r="56" spans="1:7" x14ac:dyDescent="0.25">
      <c r="A56" s="2"/>
      <c r="B56" s="3"/>
      <c r="C56" s="51"/>
      <c r="D56" s="29"/>
      <c r="E56" s="30"/>
      <c r="F56" s="3"/>
      <c r="G56" s="2"/>
    </row>
    <row r="57" spans="1:7" x14ac:dyDescent="0.25">
      <c r="A57" s="2"/>
      <c r="B57" s="3"/>
      <c r="C57" s="51"/>
      <c r="D57" s="29"/>
      <c r="E57" s="30"/>
      <c r="F57" s="3"/>
      <c r="G57" s="2"/>
    </row>
    <row r="58" spans="1:7" x14ac:dyDescent="0.25">
      <c r="A58" s="2"/>
      <c r="B58" s="3"/>
      <c r="C58" s="51"/>
      <c r="D58" s="29"/>
      <c r="E58" s="30"/>
      <c r="F58" s="3"/>
      <c r="G58" s="2"/>
    </row>
    <row r="59" spans="1:7" x14ac:dyDescent="0.25">
      <c r="A59" s="2"/>
      <c r="B59" s="3"/>
      <c r="C59" s="51"/>
      <c r="D59" s="29"/>
      <c r="E59" s="30"/>
      <c r="F59" s="3"/>
      <c r="G59" s="2"/>
    </row>
    <row r="60" spans="1:7" x14ac:dyDescent="0.25">
      <c r="A60" s="2"/>
      <c r="B60" s="3"/>
      <c r="C60" s="51"/>
      <c r="D60" s="29"/>
      <c r="E60" s="30"/>
      <c r="F60" s="3"/>
      <c r="G60" s="2"/>
    </row>
    <row r="61" spans="1:7" x14ac:dyDescent="0.25">
      <c r="A61" s="2"/>
      <c r="B61" s="3"/>
      <c r="C61" s="51"/>
      <c r="D61" s="29"/>
      <c r="E61" s="30"/>
      <c r="F61" s="3"/>
      <c r="G61" s="2"/>
    </row>
    <row r="62" spans="1:7" x14ac:dyDescent="0.25">
      <c r="A62" s="2"/>
      <c r="B62" s="3"/>
      <c r="C62" s="51"/>
      <c r="D62" s="29"/>
      <c r="E62" s="30"/>
      <c r="F62" s="3"/>
      <c r="G62" s="2"/>
    </row>
    <row r="63" spans="1:7" x14ac:dyDescent="0.25">
      <c r="A63" s="2"/>
      <c r="B63" s="3"/>
      <c r="C63" s="51"/>
      <c r="D63" s="29"/>
      <c r="E63" s="30"/>
      <c r="F63" s="3"/>
      <c r="G63" s="2"/>
    </row>
    <row r="64" spans="1:7" x14ac:dyDescent="0.25">
      <c r="A64" s="2"/>
      <c r="B64" s="3"/>
      <c r="C64" s="51"/>
      <c r="D64" s="29"/>
      <c r="E64" s="30"/>
      <c r="F64" s="3"/>
      <c r="G64" s="2"/>
    </row>
    <row r="65" spans="1:7" x14ac:dyDescent="0.25">
      <c r="A65" s="2"/>
      <c r="B65" s="3"/>
      <c r="C65" s="51"/>
      <c r="D65" s="29"/>
      <c r="E65" s="30"/>
      <c r="F65" s="3"/>
      <c r="G65" s="2"/>
    </row>
    <row r="66" spans="1:7" x14ac:dyDescent="0.25">
      <c r="A66" s="2"/>
      <c r="B66" s="3"/>
      <c r="C66" s="51"/>
      <c r="D66" s="29"/>
      <c r="E66" s="30"/>
      <c r="F66" s="3"/>
      <c r="G66" s="2"/>
    </row>
    <row r="67" spans="1:7" x14ac:dyDescent="0.25">
      <c r="A67" s="2"/>
      <c r="B67" s="3"/>
      <c r="C67" s="51"/>
      <c r="D67" s="29"/>
      <c r="E67" s="30"/>
      <c r="F67" s="3"/>
      <c r="G67" s="2"/>
    </row>
    <row r="68" spans="1:7" x14ac:dyDescent="0.25">
      <c r="A68" s="2"/>
      <c r="B68" s="3"/>
      <c r="C68" s="51"/>
      <c r="D68" s="29"/>
      <c r="E68" s="30"/>
      <c r="F68" s="3"/>
      <c r="G68" s="2"/>
    </row>
    <row r="69" spans="1:7" x14ac:dyDescent="0.25">
      <c r="A69" s="2"/>
      <c r="B69" s="3"/>
      <c r="C69" s="51"/>
      <c r="D69" s="29"/>
      <c r="E69" s="30"/>
      <c r="F69" s="3"/>
      <c r="G69" s="2"/>
    </row>
    <row r="70" spans="1:7" x14ac:dyDescent="0.25">
      <c r="A70" s="2"/>
      <c r="B70" s="3"/>
      <c r="C70" s="51"/>
      <c r="D70" s="29"/>
      <c r="E70" s="30"/>
      <c r="F70" s="3"/>
      <c r="G70" s="2"/>
    </row>
    <row r="71" spans="1:7" x14ac:dyDescent="0.25">
      <c r="A71" s="2"/>
      <c r="B71" s="3"/>
      <c r="C71" s="51"/>
      <c r="D71" s="29"/>
      <c r="E71" s="30"/>
      <c r="F71" s="3"/>
      <c r="G71" s="2"/>
    </row>
    <row r="72" spans="1:7" x14ac:dyDescent="0.25">
      <c r="A72" s="2"/>
      <c r="B72" s="3"/>
      <c r="C72" s="51"/>
      <c r="D72" s="29"/>
      <c r="E72" s="30"/>
      <c r="F72" s="3"/>
      <c r="G72" s="2"/>
    </row>
    <row r="73" spans="1:7" x14ac:dyDescent="0.25">
      <c r="A73" s="2"/>
      <c r="B73" s="3"/>
      <c r="C73" s="51"/>
      <c r="D73" s="29"/>
      <c r="E73" s="30"/>
      <c r="F73" s="3"/>
      <c r="G73" s="2"/>
    </row>
    <row r="74" spans="1:7" x14ac:dyDescent="0.25">
      <c r="A74" s="2"/>
      <c r="B74" s="3"/>
      <c r="C74" s="51"/>
      <c r="D74" s="29"/>
      <c r="E74" s="30"/>
      <c r="F74" s="3"/>
      <c r="G74" s="2"/>
    </row>
    <row r="75" spans="1:7" x14ac:dyDescent="0.25">
      <c r="A75" s="2"/>
      <c r="B75" s="3"/>
      <c r="C75" s="51"/>
      <c r="D75" s="29"/>
      <c r="E75" s="30"/>
      <c r="F75" s="3"/>
      <c r="G75" s="2"/>
    </row>
    <row r="76" spans="1:7" x14ac:dyDescent="0.25">
      <c r="A76" s="2"/>
      <c r="B76" s="3"/>
      <c r="C76" s="51"/>
      <c r="D76" s="29"/>
      <c r="E76" s="30"/>
      <c r="F76" s="3"/>
      <c r="G76" s="2"/>
    </row>
    <row r="77" spans="1:7" x14ac:dyDescent="0.25">
      <c r="A77" s="2"/>
      <c r="B77" s="3"/>
      <c r="C77" s="51"/>
      <c r="D77" s="29"/>
      <c r="E77" s="30"/>
      <c r="F77" s="3"/>
      <c r="G77" s="2"/>
    </row>
    <row r="78" spans="1:7" x14ac:dyDescent="0.25">
      <c r="A78" s="2"/>
      <c r="B78" s="3"/>
      <c r="C78" s="51"/>
      <c r="D78" s="29"/>
      <c r="E78" s="30"/>
      <c r="F78" s="3"/>
      <c r="G78" s="2"/>
    </row>
    <row r="79" spans="1:7" x14ac:dyDescent="0.25">
      <c r="A79" s="2"/>
      <c r="B79" s="3"/>
      <c r="C79" s="51"/>
      <c r="D79" s="29"/>
      <c r="E79" s="30"/>
      <c r="F79" s="3"/>
      <c r="G79" s="2"/>
    </row>
    <row r="80" spans="1:7" x14ac:dyDescent="0.25">
      <c r="A80" s="2"/>
      <c r="B80" s="3"/>
      <c r="C80" s="51"/>
      <c r="D80" s="29"/>
      <c r="E80" s="30"/>
      <c r="F80" s="3"/>
      <c r="G80" s="2"/>
    </row>
    <row r="81" spans="1:7" x14ac:dyDescent="0.25">
      <c r="A81" s="2"/>
      <c r="B81" s="3"/>
      <c r="C81" s="51"/>
      <c r="D81" s="29"/>
      <c r="E81" s="30"/>
      <c r="F81" s="3"/>
      <c r="G81" s="2"/>
    </row>
    <row r="82" spans="1:7" x14ac:dyDescent="0.25">
      <c r="A82" s="2"/>
      <c r="B82" s="3"/>
      <c r="C82" s="51"/>
      <c r="D82" s="29"/>
      <c r="E82" s="30"/>
      <c r="F82" s="3"/>
      <c r="G82" s="2"/>
    </row>
    <row r="83" spans="1:7" x14ac:dyDescent="0.25">
      <c r="A83" s="2"/>
      <c r="B83" s="3"/>
      <c r="C83" s="51"/>
      <c r="D83" s="29"/>
      <c r="E83" s="30"/>
      <c r="F83" s="3"/>
      <c r="G83" s="2"/>
    </row>
    <row r="84" spans="1:7" x14ac:dyDescent="0.25">
      <c r="A84" s="2"/>
      <c r="B84" s="3"/>
      <c r="C84" s="51"/>
      <c r="D84" s="29"/>
      <c r="E84" s="30"/>
      <c r="F84" s="3"/>
      <c r="G84" s="2"/>
    </row>
    <row r="85" spans="1:7" x14ac:dyDescent="0.25">
      <c r="A85" s="2"/>
      <c r="B85" s="3"/>
      <c r="C85" s="51"/>
      <c r="D85" s="29"/>
      <c r="E85" s="30"/>
      <c r="F85" s="3"/>
      <c r="G85" s="2"/>
    </row>
    <row r="86" spans="1:7" x14ac:dyDescent="0.25">
      <c r="A86" s="2"/>
      <c r="B86" s="3"/>
      <c r="C86" s="51"/>
      <c r="D86" s="29"/>
      <c r="E86" s="30"/>
      <c r="F86" s="3"/>
      <c r="G86" s="2"/>
    </row>
    <row r="87" spans="1:7" x14ac:dyDescent="0.25">
      <c r="A87" s="2"/>
      <c r="B87" s="3"/>
      <c r="C87" s="51"/>
      <c r="D87" s="29"/>
      <c r="E87" s="30"/>
      <c r="F87" s="3"/>
      <c r="G87" s="2"/>
    </row>
    <row r="88" spans="1:7" x14ac:dyDescent="0.25">
      <c r="A88" s="2"/>
      <c r="B88" s="3"/>
      <c r="C88" s="51"/>
      <c r="D88" s="29"/>
      <c r="E88" s="30"/>
      <c r="F88" s="3"/>
      <c r="G88" s="2"/>
    </row>
    <row r="89" spans="1:7" x14ac:dyDescent="0.25">
      <c r="A89" s="2"/>
      <c r="B89" s="3"/>
      <c r="C89" s="51"/>
      <c r="D89" s="29"/>
      <c r="E89" s="30"/>
      <c r="F89" s="3"/>
      <c r="G89" s="2"/>
    </row>
    <row r="90" spans="1:7" x14ac:dyDescent="0.25">
      <c r="A90" s="2"/>
      <c r="B90" s="3"/>
      <c r="C90" s="51"/>
      <c r="D90" s="29"/>
      <c r="E90" s="30"/>
      <c r="F90" s="3"/>
      <c r="G90" s="2"/>
    </row>
    <row r="91" spans="1:7" x14ac:dyDescent="0.25">
      <c r="A91" s="2"/>
      <c r="B91" s="3"/>
      <c r="C91" s="51"/>
      <c r="D91" s="29"/>
      <c r="E91" s="30"/>
      <c r="F91" s="3"/>
      <c r="G91" s="2"/>
    </row>
    <row r="92" spans="1:7" x14ac:dyDescent="0.25">
      <c r="A92" s="2"/>
      <c r="B92" s="3"/>
      <c r="C92" s="51"/>
      <c r="D92" s="29"/>
      <c r="E92" s="30"/>
      <c r="F92" s="3"/>
      <c r="G92" s="2"/>
    </row>
    <row r="93" spans="1:7" x14ac:dyDescent="0.25">
      <c r="A93" s="2"/>
      <c r="B93" s="3"/>
      <c r="C93" s="51"/>
      <c r="D93" s="29"/>
      <c r="E93" s="30"/>
      <c r="F93" s="3"/>
      <c r="G93" s="2"/>
    </row>
    <row r="94" spans="1:7" x14ac:dyDescent="0.25">
      <c r="A94" s="2"/>
      <c r="B94" s="3"/>
      <c r="C94" s="51"/>
      <c r="D94" s="29"/>
      <c r="E94" s="30"/>
      <c r="F94" s="3"/>
      <c r="G94" s="2"/>
    </row>
    <row r="95" spans="1:7" x14ac:dyDescent="0.25">
      <c r="A95" s="2"/>
      <c r="B95" s="3"/>
      <c r="C95" s="51"/>
      <c r="D95" s="29"/>
      <c r="E95" s="30"/>
      <c r="F95" s="3"/>
      <c r="G95" s="2"/>
    </row>
    <row r="96" spans="1:7" x14ac:dyDescent="0.25">
      <c r="A96" s="2"/>
      <c r="B96" s="3"/>
      <c r="C96" s="51"/>
      <c r="D96" s="29"/>
      <c r="E96" s="30"/>
      <c r="F96" s="3"/>
      <c r="G96" s="2"/>
    </row>
    <row r="97" spans="1:7" x14ac:dyDescent="0.25">
      <c r="A97" s="2"/>
      <c r="B97" s="3"/>
      <c r="C97" s="51"/>
      <c r="D97" s="29"/>
      <c r="E97" s="30"/>
      <c r="F97" s="3"/>
      <c r="G97" s="2"/>
    </row>
    <row r="98" spans="1:7" x14ac:dyDescent="0.25">
      <c r="A98" s="2"/>
      <c r="B98" s="3"/>
      <c r="C98" s="51"/>
      <c r="D98" s="29"/>
      <c r="E98" s="30"/>
      <c r="F98" s="3"/>
      <c r="G98" s="2"/>
    </row>
    <row r="99" spans="1:7" x14ac:dyDescent="0.25">
      <c r="A99" s="2"/>
      <c r="B99" s="3"/>
      <c r="C99" s="51"/>
      <c r="D99" s="29"/>
      <c r="E99" s="30"/>
      <c r="F99" s="3"/>
      <c r="G99" s="2"/>
    </row>
    <row r="100" spans="1:7" x14ac:dyDescent="0.25">
      <c r="A100" s="2"/>
      <c r="B100" s="3"/>
      <c r="C100" s="51"/>
      <c r="D100" s="29"/>
      <c r="E100" s="30"/>
      <c r="F100" s="3"/>
      <c r="G100" s="2"/>
    </row>
    <row r="101" spans="1:7" x14ac:dyDescent="0.25">
      <c r="A101" s="2"/>
      <c r="B101" s="3"/>
      <c r="C101" s="51"/>
      <c r="D101" s="29"/>
      <c r="E101" s="30"/>
      <c r="F101" s="3"/>
      <c r="G101" s="2"/>
    </row>
    <row r="102" spans="1:7" x14ac:dyDescent="0.25">
      <c r="A102" s="2"/>
      <c r="B102" s="3"/>
      <c r="C102" s="51"/>
      <c r="D102" s="29"/>
      <c r="E102" s="30"/>
      <c r="F102" s="3"/>
      <c r="G102" s="2"/>
    </row>
    <row r="103" spans="1:7" x14ac:dyDescent="0.25">
      <c r="A103" s="2"/>
      <c r="B103" s="3"/>
    </row>
    <row r="104" spans="1:7" x14ac:dyDescent="0.25">
      <c r="A104" s="2"/>
      <c r="B104" s="3"/>
    </row>
    <row r="105" spans="1:7" x14ac:dyDescent="0.25">
      <c r="A105" s="2"/>
      <c r="B105" s="3"/>
    </row>
    <row r="106" spans="1:7" x14ac:dyDescent="0.25">
      <c r="A106" s="2"/>
      <c r="B106" s="3"/>
    </row>
    <row r="107" spans="1:7" x14ac:dyDescent="0.25">
      <c r="A107" s="2"/>
      <c r="B107" s="3"/>
    </row>
  </sheetData>
  <sortState ref="A8:G35">
    <sortCondition descending="1" ref="D8:D35"/>
  </sortState>
  <phoneticPr fontId="0" type="noConversion"/>
  <printOptions horizontalCentered="1"/>
  <pageMargins left="0.75" right="0.75" top="1" bottom="1" header="0.5" footer="0.5"/>
  <pageSetup orientation="portrait" horizontalDpi="300" verticalDpi="300" r:id="rId1"/>
  <headerFooter alignWithMargins="0">
    <oddHeader>&amp;L&amp;"Tahoma,Bold"&amp;11U.S. Biathlon Association&amp;R&amp;"Tahoma,Bold"&amp;11 2018 Race Points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workbookViewId="0">
      <selection activeCell="C21" sqref="C21"/>
    </sheetView>
  </sheetViews>
  <sheetFormatPr defaultRowHeight="13.2" x14ac:dyDescent="0.25"/>
  <cols>
    <col min="2" max="2" width="20.6640625" customWidth="1"/>
    <col min="3" max="7" width="9.6640625" customWidth="1"/>
  </cols>
  <sheetData>
    <row r="1" spans="1:12" x14ac:dyDescent="0.25">
      <c r="A1" s="16" t="s">
        <v>22</v>
      </c>
      <c r="B1" s="17" t="s">
        <v>1016</v>
      </c>
      <c r="C1" s="18"/>
      <c r="D1" s="18"/>
      <c r="E1" s="18"/>
      <c r="F1" s="18"/>
      <c r="G1" s="19"/>
    </row>
    <row r="2" spans="1:12" x14ac:dyDescent="0.25">
      <c r="A2" s="20" t="s">
        <v>23</v>
      </c>
      <c r="B2" s="21">
        <v>43079</v>
      </c>
      <c r="C2" s="22"/>
      <c r="D2" s="22"/>
      <c r="E2" s="22"/>
      <c r="F2" s="22"/>
      <c r="G2" s="23"/>
    </row>
    <row r="3" spans="1:12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12" x14ac:dyDescent="0.25">
      <c r="A4" s="20" t="s">
        <v>1</v>
      </c>
      <c r="B4" s="24" t="s">
        <v>998</v>
      </c>
      <c r="C4" s="22"/>
      <c r="D4" s="22"/>
      <c r="E4" s="22"/>
      <c r="F4" s="22"/>
      <c r="G4" s="23"/>
    </row>
    <row r="5" spans="1:12" x14ac:dyDescent="0.25">
      <c r="A5" s="20" t="s">
        <v>27</v>
      </c>
      <c r="B5" s="24" t="s">
        <v>840</v>
      </c>
      <c r="C5" s="22"/>
      <c r="D5" s="22"/>
      <c r="E5" s="22" t="s">
        <v>55</v>
      </c>
      <c r="F5" s="38">
        <f>AVERAGE(C8:C12)*(AVERAGE(D8:D12)/100)</f>
        <v>2.4095652499148523E-2</v>
      </c>
      <c r="G5" s="23"/>
    </row>
    <row r="6" spans="1:12" x14ac:dyDescent="0.25">
      <c r="A6" s="25" t="s">
        <v>29</v>
      </c>
      <c r="B6" s="26"/>
      <c r="C6" s="26"/>
      <c r="D6" s="26"/>
      <c r="E6" s="26"/>
      <c r="F6" s="26"/>
      <c r="G6" s="27"/>
    </row>
    <row r="7" spans="1:12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12" x14ac:dyDescent="0.25">
      <c r="A8" s="2">
        <v>1</v>
      </c>
      <c r="B8" s="3" t="s">
        <v>713</v>
      </c>
      <c r="C8" s="156">
        <v>2.8413194444444442E-2</v>
      </c>
      <c r="D8" s="29">
        <f>INDEX('Points Summary'!$H$4:$H$1143,G8)</f>
        <v>78.60794886388625</v>
      </c>
      <c r="E8" s="124">
        <f t="shared" ref="E8:E16" si="0">(AVERAGE($D$8:$D$12)/100*AVERAGE($C$8:$C$12))/C8</f>
        <v>0.84804447265731087</v>
      </c>
      <c r="F8" s="3"/>
      <c r="G8" s="2">
        <f>MATCH(B8,'Points Summary'!$B$4:$B$1144,0)</f>
        <v>77</v>
      </c>
      <c r="I8" s="114"/>
      <c r="J8" s="28"/>
      <c r="K8" s="28"/>
      <c r="L8" s="129"/>
    </row>
    <row r="9" spans="1:12" x14ac:dyDescent="0.25">
      <c r="A9" s="2">
        <v>1</v>
      </c>
      <c r="B9" s="114" t="s">
        <v>165</v>
      </c>
      <c r="C9" s="156">
        <v>3.1943287037037034E-2</v>
      </c>
      <c r="D9" s="29">
        <f>INDEX('Points Summary'!$H$4:$H$1143,G9)</f>
        <v>73.863711227329304</v>
      </c>
      <c r="E9" s="124">
        <f t="shared" si="0"/>
        <v>0.75432601758267781</v>
      </c>
      <c r="F9" s="3"/>
      <c r="G9" s="2">
        <f>MATCH(B9,'Points Summary'!$B$4:$B$1144,0)</f>
        <v>367</v>
      </c>
      <c r="J9" s="28"/>
      <c r="K9" s="28"/>
    </row>
    <row r="10" spans="1:12" x14ac:dyDescent="0.25">
      <c r="A10" s="2">
        <v>2</v>
      </c>
      <c r="B10" s="3" t="s">
        <v>71</v>
      </c>
      <c r="C10" s="156">
        <v>3.4747685185185187E-2</v>
      </c>
      <c r="D10" s="29">
        <f>INDEX('Points Summary'!$H$4:$H$1143,G10)</f>
        <v>70.553654280582819</v>
      </c>
      <c r="E10" s="124">
        <f t="shared" si="0"/>
        <v>0.69344626471468662</v>
      </c>
      <c r="F10" s="3"/>
      <c r="G10" s="2">
        <f>MATCH(B10,'Points Summary'!$B$4:$B$1144,0)</f>
        <v>431</v>
      </c>
      <c r="I10" s="114"/>
      <c r="J10" s="28"/>
      <c r="K10" s="28"/>
    </row>
    <row r="11" spans="1:12" x14ac:dyDescent="0.25">
      <c r="A11" s="2">
        <v>3</v>
      </c>
      <c r="B11" s="3" t="s">
        <v>1004</v>
      </c>
      <c r="C11" s="156">
        <v>3.6284722222222225E-2</v>
      </c>
      <c r="D11" s="29">
        <f>INDEX('Points Summary'!$H$4:$H$1143,G11)</f>
        <v>62.399896367972694</v>
      </c>
      <c r="E11" s="124">
        <f t="shared" si="0"/>
        <v>0.66407157126839944</v>
      </c>
      <c r="F11" s="3"/>
      <c r="G11" s="2">
        <f>MATCH(B11,'Points Summary'!$B$4:$B$1144,0)</f>
        <v>361</v>
      </c>
    </row>
    <row r="12" spans="1:12" x14ac:dyDescent="0.25">
      <c r="A12" s="2">
        <v>5</v>
      </c>
      <c r="B12" s="114" t="s">
        <v>272</v>
      </c>
      <c r="C12" s="156">
        <f>TIME(1,0,46.9)</f>
        <v>4.2199074074074076E-2</v>
      </c>
      <c r="D12" s="29">
        <f>INDEX('Points Summary'!$H$4:$H$1143,G12)</f>
        <v>61.598455070075723</v>
      </c>
      <c r="E12" s="124">
        <f t="shared" si="0"/>
        <v>0.57099955456018436</v>
      </c>
      <c r="F12" s="3"/>
      <c r="G12" s="2">
        <f>MATCH(B12,'Points Summary'!$B$4:$B$1144,0)</f>
        <v>199</v>
      </c>
    </row>
    <row r="13" spans="1:12" x14ac:dyDescent="0.25">
      <c r="A13" s="2">
        <v>4</v>
      </c>
      <c r="B13" s="114" t="s">
        <v>910</v>
      </c>
      <c r="C13" s="156">
        <v>3.8138888888888889E-2</v>
      </c>
      <c r="D13" s="29">
        <f>INDEX('Points Summary'!$H$4:$H$1143,G13)</f>
        <v>59.574050773297316</v>
      </c>
      <c r="E13" s="124">
        <f t="shared" si="0"/>
        <v>0.631786955549415</v>
      </c>
      <c r="F13" s="3"/>
      <c r="G13" s="2">
        <f>MATCH(B13,'Points Summary'!$B$4:$B$1144,0)</f>
        <v>350</v>
      </c>
    </row>
    <row r="14" spans="1:12" x14ac:dyDescent="0.25">
      <c r="A14" s="2">
        <v>8</v>
      </c>
      <c r="B14" s="114" t="s">
        <v>1000</v>
      </c>
      <c r="C14" s="156">
        <f>TIME(1,5,23.3)</f>
        <v>4.5405092592592594E-2</v>
      </c>
      <c r="D14" s="29">
        <f>INDEX('Points Summary'!$H$4:$H$1143,G14)</f>
        <v>54.233639543797466</v>
      </c>
      <c r="E14" s="124">
        <f t="shared" si="0"/>
        <v>0.5306817170345226</v>
      </c>
      <c r="F14" s="3"/>
      <c r="G14" s="2">
        <f>MATCH(B14,'Points Summary'!$B$4:$B$1144,0)</f>
        <v>162</v>
      </c>
    </row>
    <row r="15" spans="1:12" x14ac:dyDescent="0.25">
      <c r="A15" s="2">
        <v>7</v>
      </c>
      <c r="B15" s="114" t="s">
        <v>997</v>
      </c>
      <c r="C15" s="156">
        <f>TIME(1,3,52.1)</f>
        <v>4.4351851851851858E-2</v>
      </c>
      <c r="D15" s="29" t="e">
        <f>INDEX('Points Summary'!$H$4:$H$1143,G15)</f>
        <v>#N/A</v>
      </c>
      <c r="E15" s="124">
        <f t="shared" si="0"/>
        <v>0.54328402294531108</v>
      </c>
      <c r="F15" s="3"/>
      <c r="G15" s="2" t="e">
        <f>MATCH(B15,'Points Summary'!$B$4:$B$1144,0)</f>
        <v>#N/A</v>
      </c>
    </row>
    <row r="16" spans="1:12" x14ac:dyDescent="0.25">
      <c r="A16" s="2">
        <v>6</v>
      </c>
      <c r="B16" s="3" t="s">
        <v>1017</v>
      </c>
      <c r="C16" s="156">
        <f>TIME(1,2,52.3)</f>
        <v>4.3657407407407402E-2</v>
      </c>
      <c r="D16" s="29">
        <f>INDEX('Points Summary'!$H$4:$H$1143,G16)</f>
        <v>0</v>
      </c>
      <c r="E16" s="124">
        <f t="shared" si="0"/>
        <v>0.55192586848526848</v>
      </c>
      <c r="F16" s="3"/>
      <c r="G16" s="2">
        <f>MATCH(B16,'Points Summary'!$B$4:$B$1144,0)</f>
        <v>261</v>
      </c>
      <c r="I16" t="s">
        <v>29</v>
      </c>
    </row>
    <row r="17" spans="1:7" x14ac:dyDescent="0.25">
      <c r="A17" s="2"/>
      <c r="B17" s="3"/>
      <c r="C17" s="156"/>
      <c r="D17" s="29"/>
      <c r="E17" s="124"/>
      <c r="F17" s="3"/>
      <c r="G17" s="2"/>
    </row>
    <row r="18" spans="1:7" x14ac:dyDescent="0.25">
      <c r="A18" s="2"/>
      <c r="B18" s="114"/>
      <c r="C18" s="156"/>
      <c r="D18" s="29"/>
      <c r="E18" s="124"/>
      <c r="F18" s="3"/>
      <c r="G18" s="2"/>
    </row>
    <row r="19" spans="1:7" x14ac:dyDescent="0.25">
      <c r="A19" s="2"/>
      <c r="B19" s="3"/>
      <c r="C19" s="28"/>
      <c r="D19" s="28"/>
      <c r="E19" s="28"/>
      <c r="F19" s="3"/>
      <c r="G19" s="2"/>
    </row>
    <row r="20" spans="1:7" x14ac:dyDescent="0.25">
      <c r="A20" s="2"/>
      <c r="B20" s="3"/>
      <c r="C20" s="28"/>
      <c r="D20" s="28"/>
      <c r="E20" s="28"/>
      <c r="F20" s="3"/>
      <c r="G20" s="2"/>
    </row>
    <row r="21" spans="1:7" x14ac:dyDescent="0.25">
      <c r="A21" s="2"/>
      <c r="B21" s="3"/>
      <c r="C21" s="28"/>
      <c r="D21" s="29"/>
      <c r="E21" s="30"/>
      <c r="F21" s="3"/>
      <c r="G21" s="2"/>
    </row>
    <row r="22" spans="1:7" x14ac:dyDescent="0.25">
      <c r="A22" s="2"/>
      <c r="B22" s="3"/>
      <c r="C22" s="28"/>
      <c r="D22" s="29"/>
      <c r="E22" s="30"/>
      <c r="F22" s="3"/>
      <c r="G22" s="2"/>
    </row>
    <row r="23" spans="1:7" x14ac:dyDescent="0.25">
      <c r="A23" s="2"/>
      <c r="B23" s="3"/>
      <c r="C23" s="28"/>
      <c r="D23" s="29"/>
      <c r="E23" s="30"/>
      <c r="F23" s="3"/>
      <c r="G23" s="2"/>
    </row>
    <row r="24" spans="1:7" x14ac:dyDescent="0.25">
      <c r="A24" s="2"/>
      <c r="B24" s="3"/>
      <c r="C24" s="28"/>
      <c r="D24" s="29"/>
      <c r="E24" s="30"/>
      <c r="F24" s="3"/>
      <c r="G24" s="2"/>
    </row>
    <row r="25" spans="1:7" x14ac:dyDescent="0.25">
      <c r="A25" s="2"/>
      <c r="B25" s="3"/>
      <c r="C25" s="28"/>
      <c r="D25" s="29"/>
      <c r="E25" s="30"/>
      <c r="F25" s="3"/>
      <c r="G25" s="2"/>
    </row>
    <row r="26" spans="1:7" x14ac:dyDescent="0.25">
      <c r="A26" s="2"/>
      <c r="B26" s="3"/>
      <c r="C26" s="28"/>
      <c r="D26" s="29"/>
      <c r="E26" s="30"/>
      <c r="F26" s="3"/>
      <c r="G26" s="2"/>
    </row>
    <row r="27" spans="1:7" x14ac:dyDescent="0.25">
      <c r="A27" s="2"/>
      <c r="B27" s="3"/>
      <c r="C27" s="28"/>
      <c r="D27" s="29"/>
      <c r="E27" s="30"/>
      <c r="F27" s="3"/>
      <c r="G27" s="2"/>
    </row>
    <row r="28" spans="1:7" x14ac:dyDescent="0.25">
      <c r="A28" s="2"/>
      <c r="B28" s="3"/>
      <c r="C28" s="28"/>
      <c r="D28" s="29"/>
      <c r="E28" s="30"/>
      <c r="F28" s="3"/>
      <c r="G28" s="2"/>
    </row>
    <row r="29" spans="1:7" x14ac:dyDescent="0.25">
      <c r="A29" s="2"/>
      <c r="B29" s="3"/>
      <c r="C29" s="28"/>
      <c r="D29" s="29"/>
      <c r="E29" s="30"/>
      <c r="F29" s="3"/>
      <c r="G29" s="2"/>
    </row>
  </sheetData>
  <sortState ref="A8:E16">
    <sortCondition descending="1" ref="D8:D16"/>
  </sortState>
  <phoneticPr fontId="0" type="noConversion"/>
  <printOptions horizontalCentered="1"/>
  <pageMargins left="0.75" right="0.75" top="1" bottom="1" header="0.5" footer="0.5"/>
  <pageSetup orientation="portrait" horizontalDpi="4294967292" r:id="rId1"/>
  <headerFooter alignWithMargins="0">
    <oddHeader xml:space="preserve">&amp;L&amp;"Tahoma,Bold"&amp;11 U.S. Biathlon Association&amp;R&amp;"Tahoma,Bold"&amp;11 2018 Race Points
 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3"/>
  <sheetViews>
    <sheetView workbookViewId="0">
      <selection activeCell="C25" sqref="C25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11" x14ac:dyDescent="0.25">
      <c r="A1" s="16" t="s">
        <v>22</v>
      </c>
      <c r="B1" s="17" t="s">
        <v>1338</v>
      </c>
      <c r="C1" s="18"/>
      <c r="D1" s="18"/>
      <c r="E1" s="18"/>
      <c r="F1" s="18"/>
      <c r="G1" s="19"/>
    </row>
    <row r="2" spans="1:11" x14ac:dyDescent="0.25">
      <c r="A2" s="20" t="s">
        <v>23</v>
      </c>
      <c r="B2" s="21">
        <v>43141</v>
      </c>
      <c r="C2" s="22"/>
      <c r="D2" s="22"/>
      <c r="E2" s="22"/>
      <c r="F2" s="22"/>
      <c r="G2" s="23"/>
    </row>
    <row r="3" spans="1:11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11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11" x14ac:dyDescent="0.25">
      <c r="A5" s="20" t="s">
        <v>27</v>
      </c>
      <c r="B5" s="24" t="s">
        <v>967</v>
      </c>
      <c r="C5" s="22"/>
      <c r="D5" s="22"/>
      <c r="E5" s="22" t="s">
        <v>55</v>
      </c>
      <c r="F5" s="38">
        <f>AVERAGE(C8:C12)*(AVERAGE(D8:D12)/100)</f>
        <v>1.2032743388137356E-2</v>
      </c>
      <c r="G5" s="23"/>
    </row>
    <row r="6" spans="1:11" x14ac:dyDescent="0.25">
      <c r="A6" s="25" t="s">
        <v>29</v>
      </c>
      <c r="B6" s="26"/>
      <c r="C6" s="26"/>
      <c r="D6" s="26"/>
      <c r="E6" s="26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11" x14ac:dyDescent="0.25">
      <c r="A8" s="2">
        <v>11</v>
      </c>
      <c r="B8" s="3" t="s">
        <v>918</v>
      </c>
      <c r="C8" s="51">
        <v>2.0030092592592592E-2</v>
      </c>
      <c r="D8" s="29">
        <f>INDEX('Points Summary'!$F$4:$F$1143,G8)</f>
        <v>73.838322342535349</v>
      </c>
      <c r="E8" s="124">
        <f t="shared" ref="E8:E23" si="0">(AVERAGE($D$8:$D$12)/100*AVERAGE($C$8:$C$12))/C8</f>
        <v>0.60073328830178407</v>
      </c>
      <c r="F8" s="3"/>
      <c r="G8" s="2">
        <f>MATCH(B8,'Points Summary'!$B$4:$B$1144,0)</f>
        <v>212</v>
      </c>
      <c r="I8" s="51"/>
      <c r="J8" s="51"/>
      <c r="K8" s="51"/>
    </row>
    <row r="9" spans="1:11" x14ac:dyDescent="0.25">
      <c r="A9" s="2">
        <v>4</v>
      </c>
      <c r="B9" s="3" t="s">
        <v>839</v>
      </c>
      <c r="C9" s="51">
        <v>1.4674768518518519E-2</v>
      </c>
      <c r="D9" s="29">
        <f>INDEX('Points Summary'!$F$4:$F$1143,G9)</f>
        <v>66.795927850866093</v>
      </c>
      <c r="E9" s="124">
        <f t="shared" si="0"/>
        <v>0.81996137608255182</v>
      </c>
      <c r="F9" s="3"/>
      <c r="G9" s="2">
        <f>MATCH(B9,'Points Summary'!$B$4:$B$1144,0)</f>
        <v>64</v>
      </c>
      <c r="I9" s="51"/>
      <c r="J9" s="51"/>
      <c r="K9" s="51"/>
    </row>
    <row r="10" spans="1:11" x14ac:dyDescent="0.25">
      <c r="A10" s="2">
        <v>8</v>
      </c>
      <c r="B10" s="3" t="s">
        <v>155</v>
      </c>
      <c r="C10" s="51">
        <v>1.8045138888888888E-2</v>
      </c>
      <c r="D10" s="29">
        <f>INDEX('Points Summary'!$F$4:$F$1143,G10)</f>
        <v>66.28283754655763</v>
      </c>
      <c r="E10" s="124">
        <f t="shared" si="0"/>
        <v>0.66681356470724618</v>
      </c>
      <c r="F10" s="3"/>
      <c r="G10" s="2">
        <f>MATCH(B10,'Points Summary'!$B$4:$B$1144,0)</f>
        <v>204</v>
      </c>
      <c r="I10" s="51"/>
      <c r="J10" s="51"/>
      <c r="K10" s="51"/>
    </row>
    <row r="11" spans="1:11" x14ac:dyDescent="0.25">
      <c r="A11" s="2">
        <v>9</v>
      </c>
      <c r="B11" s="3" t="s">
        <v>785</v>
      </c>
      <c r="C11" s="51">
        <v>1.8467592592592594E-2</v>
      </c>
      <c r="D11" s="29">
        <f>INDEX('Points Summary'!$F$4:$F$1143,G11)</f>
        <v>61.405976272712444</v>
      </c>
      <c r="E11" s="124">
        <f t="shared" si="0"/>
        <v>0.65155993277454716</v>
      </c>
      <c r="F11" s="3"/>
      <c r="G11" s="2">
        <f>MATCH(B11,'Points Summary'!$B$4:$B$1144,0)</f>
        <v>430</v>
      </c>
      <c r="I11" s="51"/>
      <c r="J11" s="51"/>
      <c r="K11" s="51"/>
    </row>
    <row r="12" spans="1:11" x14ac:dyDescent="0.25">
      <c r="A12" s="2">
        <v>13</v>
      </c>
      <c r="B12" s="3" t="s">
        <v>1057</v>
      </c>
      <c r="C12" s="51">
        <v>2.1542824074074072E-2</v>
      </c>
      <c r="D12" s="29">
        <f>INDEX('Points Summary'!$F$4:$F$1143,G12)</f>
        <v>55.973220451445926</v>
      </c>
      <c r="E12" s="124">
        <f t="shared" si="0"/>
        <v>0.55854995365339688</v>
      </c>
      <c r="F12" s="3"/>
      <c r="G12" s="2">
        <f>MATCH(B12,'Points Summary'!$B$4:$B$1144,0)</f>
        <v>134</v>
      </c>
      <c r="I12" s="51"/>
      <c r="J12" s="51"/>
      <c r="K12" s="51"/>
    </row>
    <row r="13" spans="1:11" x14ac:dyDescent="0.25">
      <c r="A13" s="2">
        <v>12</v>
      </c>
      <c r="B13" s="3" t="s">
        <v>783</v>
      </c>
      <c r="C13" s="51">
        <v>2.0406250000000001E-2</v>
      </c>
      <c r="D13" s="29">
        <f>INDEX('Points Summary'!$F$4:$F$1143,G13)</f>
        <v>52.397236396258847</v>
      </c>
      <c r="E13" s="124">
        <f t="shared" si="0"/>
        <v>0.58965970661622569</v>
      </c>
      <c r="F13" s="3"/>
      <c r="G13" s="2">
        <f>MATCH(B13,'Points Summary'!$B$4:$B$1144,0)</f>
        <v>328</v>
      </c>
      <c r="I13" s="51"/>
    </row>
    <row r="14" spans="1:11" x14ac:dyDescent="0.25">
      <c r="A14" s="2">
        <v>18</v>
      </c>
      <c r="B14" s="3" t="s">
        <v>1345</v>
      </c>
      <c r="C14" s="51">
        <v>2.4409722222222222E-2</v>
      </c>
      <c r="D14" s="29">
        <f>INDEX('Points Summary'!$F$4:$F$1143,G14)</f>
        <v>48.414196577914218</v>
      </c>
      <c r="E14" s="124">
        <f t="shared" si="0"/>
        <v>0.4929488045211321</v>
      </c>
      <c r="F14" s="3"/>
      <c r="G14" s="2">
        <f>MATCH(B14,'Points Summary'!$B$4:$B$1144,0)</f>
        <v>406</v>
      </c>
      <c r="I14" s="51"/>
    </row>
    <row r="15" spans="1:11" x14ac:dyDescent="0.25">
      <c r="A15" s="2">
        <v>6</v>
      </c>
      <c r="B15" s="3" t="s">
        <v>971</v>
      </c>
      <c r="C15" s="51">
        <v>1.5319444444444443E-2</v>
      </c>
      <c r="D15" s="29">
        <f>INDEX('Points Summary'!$F$4:$F$1143,G15)</f>
        <v>46.260700403476264</v>
      </c>
      <c r="E15" s="124">
        <f t="shared" si="0"/>
        <v>0.78545559741241133</v>
      </c>
      <c r="F15" s="3"/>
      <c r="G15" s="2">
        <f>MATCH(B15,'Points Summary'!$B$4:$B$1144,0)</f>
        <v>101</v>
      </c>
      <c r="I15" s="51"/>
    </row>
    <row r="16" spans="1:11" x14ac:dyDescent="0.25">
      <c r="A16" s="2">
        <v>15</v>
      </c>
      <c r="B16" s="3" t="s">
        <v>758</v>
      </c>
      <c r="C16" s="51">
        <v>2.1975694444444444E-2</v>
      </c>
      <c r="D16" s="29">
        <f>INDEX('Points Summary'!$F$4:$F$1143,G16)</f>
        <v>45.907986673761499</v>
      </c>
      <c r="E16" s="124">
        <f t="shared" si="0"/>
        <v>0.5475478109944002</v>
      </c>
      <c r="F16" s="3"/>
      <c r="G16" s="2">
        <f>MATCH(B16,'Points Summary'!$B$4:$B$1144,0)</f>
        <v>370</v>
      </c>
      <c r="I16" s="51"/>
    </row>
    <row r="17" spans="1:9" x14ac:dyDescent="0.25">
      <c r="A17" s="2">
        <v>3</v>
      </c>
      <c r="B17" s="3" t="s">
        <v>1022</v>
      </c>
      <c r="C17" s="51">
        <v>1.440162037037037E-2</v>
      </c>
      <c r="D17" s="29">
        <f>INDEX('Points Summary'!$F$4:$F$1143,G17)</f>
        <v>0</v>
      </c>
      <c r="E17" s="124">
        <f t="shared" si="0"/>
        <v>0.83551316301138601</v>
      </c>
      <c r="F17" s="3"/>
      <c r="G17" s="2">
        <f>MATCH(B17,'Points Summary'!$B$4:$B$1144,0)</f>
        <v>222</v>
      </c>
      <c r="I17" s="51"/>
    </row>
    <row r="18" spans="1:9" x14ac:dyDescent="0.25">
      <c r="A18" s="2">
        <v>5</v>
      </c>
      <c r="B18" s="3" t="s">
        <v>1341</v>
      </c>
      <c r="C18" s="51">
        <v>1.5166666666666667E-2</v>
      </c>
      <c r="D18" s="29">
        <f>INDEX('Points Summary'!$F$4:$F$1143,G18)</f>
        <v>0</v>
      </c>
      <c r="E18" s="124">
        <f t="shared" si="0"/>
        <v>0.79336769592114431</v>
      </c>
      <c r="F18" s="3"/>
      <c r="G18" s="2">
        <f>MATCH(B18,'Points Summary'!$B$4:$B$1144,0)</f>
        <v>282</v>
      </c>
      <c r="I18" s="51"/>
    </row>
    <row r="19" spans="1:9" x14ac:dyDescent="0.25">
      <c r="A19" s="2">
        <v>7</v>
      </c>
      <c r="B19" s="3" t="s">
        <v>1342</v>
      </c>
      <c r="C19" s="51">
        <v>1.6312499999999997E-2</v>
      </c>
      <c r="D19" s="29">
        <f>INDEX('Points Summary'!$F$4:$F$1143,G19)</f>
        <v>0</v>
      </c>
      <c r="E19" s="124">
        <f t="shared" si="0"/>
        <v>0.73763944141838211</v>
      </c>
      <c r="F19" s="3"/>
      <c r="G19" s="2">
        <f>MATCH(B19,'Points Summary'!$B$4:$B$1144,0)</f>
        <v>43</v>
      </c>
      <c r="I19" s="51"/>
    </row>
    <row r="20" spans="1:9" x14ac:dyDescent="0.25">
      <c r="A20" s="2">
        <v>10</v>
      </c>
      <c r="B20" s="3" t="s">
        <v>1343</v>
      </c>
      <c r="C20" s="51">
        <v>1.8939814814814816E-2</v>
      </c>
      <c r="D20" s="29">
        <f>INDEX('Points Summary'!$F$4:$F$1143,G20)</f>
        <v>0</v>
      </c>
      <c r="E20" s="124">
        <f t="shared" si="0"/>
        <v>0.63531473278847927</v>
      </c>
      <c r="F20" s="3"/>
      <c r="G20" s="2">
        <f>MATCH(B20,'Points Summary'!$B$4:$B$1144,0)</f>
        <v>141</v>
      </c>
      <c r="I20" s="51"/>
    </row>
    <row r="21" spans="1:9" x14ac:dyDescent="0.25">
      <c r="A21" s="2">
        <v>14</v>
      </c>
      <c r="B21" s="3" t="s">
        <v>1344</v>
      </c>
      <c r="C21" s="51">
        <v>2.1880787037037039E-2</v>
      </c>
      <c r="D21" s="29">
        <f>INDEX('Points Summary'!$F$4:$F$1143,G21)</f>
        <v>0</v>
      </c>
      <c r="E21" s="124">
        <f t="shared" si="0"/>
        <v>0.54992278695322272</v>
      </c>
      <c r="F21" s="3"/>
      <c r="G21" s="2">
        <f>MATCH(B21,'Points Summary'!$B$4:$B$1144,0)</f>
        <v>333</v>
      </c>
      <c r="I21" s="51"/>
    </row>
    <row r="22" spans="1:9" x14ac:dyDescent="0.25">
      <c r="A22" s="2">
        <v>16</v>
      </c>
      <c r="B22" s="3" t="s">
        <v>1346</v>
      </c>
      <c r="C22" s="51">
        <v>2.2293981481481481E-2</v>
      </c>
      <c r="D22" s="29">
        <f>INDEX('Points Summary'!$F$4:$F$1143,G22)</f>
        <v>0</v>
      </c>
      <c r="E22" s="124">
        <f t="shared" si="0"/>
        <v>0.53973057249250733</v>
      </c>
      <c r="F22" s="3"/>
      <c r="G22" s="2">
        <f>MATCH(B22,'Points Summary'!$B$4:$B$1144,0)</f>
        <v>438</v>
      </c>
      <c r="I22" s="51"/>
    </row>
    <row r="23" spans="1:9" x14ac:dyDescent="0.25">
      <c r="A23" s="2">
        <v>17</v>
      </c>
      <c r="B23" s="3" t="s">
        <v>821</v>
      </c>
      <c r="C23" s="51">
        <v>2.3126157407407408E-2</v>
      </c>
      <c r="D23" s="29">
        <f>INDEX('Points Summary'!$F$4:$F$1143,G23)</f>
        <v>0</v>
      </c>
      <c r="E23" s="124">
        <f t="shared" si="0"/>
        <v>0.52030880773488186</v>
      </c>
      <c r="F23" s="3"/>
      <c r="G23" s="2">
        <f>MATCH(B23,'Points Summary'!$B$4:$B$1144,0)</f>
        <v>277</v>
      </c>
      <c r="I23" s="51"/>
    </row>
    <row r="24" spans="1:9" x14ac:dyDescent="0.25">
      <c r="A24" s="2"/>
      <c r="C24" s="51"/>
      <c r="D24" s="29"/>
      <c r="E24" s="124"/>
      <c r="F24" s="3"/>
      <c r="G24" s="2"/>
      <c r="I24" s="51"/>
    </row>
    <row r="25" spans="1:9" x14ac:dyDescent="0.25">
      <c r="A25" s="2"/>
      <c r="B25" s="3"/>
      <c r="C25" s="51"/>
      <c r="D25" s="29"/>
      <c r="E25" s="124"/>
      <c r="F25" s="3"/>
      <c r="G25" s="2"/>
      <c r="I25" s="51"/>
    </row>
    <row r="26" spans="1:9" x14ac:dyDescent="0.25">
      <c r="A26" s="2"/>
      <c r="C26" s="51"/>
      <c r="D26" s="29"/>
      <c r="E26" s="124"/>
      <c r="F26" s="3"/>
      <c r="G26" s="2"/>
    </row>
    <row r="27" spans="1:9" x14ac:dyDescent="0.25">
      <c r="A27" s="2"/>
      <c r="B27" s="3"/>
      <c r="C27" s="51"/>
      <c r="D27" s="29"/>
      <c r="E27" s="124"/>
      <c r="F27" s="3"/>
      <c r="G27" s="2"/>
    </row>
    <row r="28" spans="1:9" x14ac:dyDescent="0.25">
      <c r="A28" s="2"/>
      <c r="C28" s="51"/>
      <c r="D28" s="29"/>
      <c r="E28" s="124"/>
      <c r="F28" s="3"/>
      <c r="G28" s="2"/>
    </row>
    <row r="29" spans="1:9" x14ac:dyDescent="0.25">
      <c r="A29" s="2"/>
      <c r="B29" s="3"/>
      <c r="C29" s="51"/>
      <c r="D29" s="29"/>
      <c r="E29" s="124"/>
      <c r="F29" s="3"/>
      <c r="G29" s="2"/>
    </row>
    <row r="30" spans="1:9" x14ac:dyDescent="0.25">
      <c r="A30" s="2"/>
      <c r="B30" s="3"/>
      <c r="C30" s="51"/>
      <c r="D30" s="29"/>
      <c r="E30" s="124"/>
      <c r="F30" s="3"/>
      <c r="G30" s="2"/>
    </row>
    <row r="31" spans="1:9" x14ac:dyDescent="0.25">
      <c r="A31" s="2"/>
      <c r="C31" s="51"/>
      <c r="D31" s="29"/>
      <c r="E31" s="124"/>
      <c r="F31" s="3"/>
      <c r="G31" s="2"/>
    </row>
    <row r="32" spans="1:9" x14ac:dyDescent="0.25">
      <c r="A32" s="2"/>
      <c r="B32" s="3"/>
      <c r="C32" s="51"/>
      <c r="D32" s="29"/>
      <c r="E32" s="124"/>
      <c r="F32" s="3"/>
      <c r="G32" s="2"/>
    </row>
    <row r="33" spans="1:7" x14ac:dyDescent="0.25">
      <c r="A33" s="2"/>
      <c r="C33" s="51"/>
      <c r="D33" s="29"/>
      <c r="E33" s="124"/>
      <c r="F33" s="3"/>
      <c r="G33" s="2"/>
    </row>
    <row r="34" spans="1:7" x14ac:dyDescent="0.25">
      <c r="A34" s="2"/>
      <c r="B34" s="75"/>
      <c r="C34" s="51"/>
      <c r="D34" s="29"/>
      <c r="E34" s="124"/>
      <c r="F34" s="3"/>
      <c r="G34" s="2"/>
    </row>
    <row r="35" spans="1:7" x14ac:dyDescent="0.25">
      <c r="A35" s="2"/>
      <c r="B35" s="3"/>
      <c r="C35" s="51"/>
      <c r="D35" s="29"/>
      <c r="E35" s="124"/>
      <c r="F35" s="3"/>
      <c r="G35" s="2"/>
    </row>
    <row r="36" spans="1:7" x14ac:dyDescent="0.25">
      <c r="A36" s="2"/>
      <c r="C36" s="51"/>
      <c r="D36" s="29"/>
      <c r="E36" s="124"/>
      <c r="F36" s="3"/>
      <c r="G36" s="2"/>
    </row>
    <row r="37" spans="1:7" x14ac:dyDescent="0.25">
      <c r="A37" s="2"/>
      <c r="B37" s="3"/>
      <c r="C37" s="51"/>
      <c r="D37" s="29"/>
      <c r="E37" s="124"/>
      <c r="F37" s="3"/>
      <c r="G37" s="2"/>
    </row>
    <row r="38" spans="1:7" x14ac:dyDescent="0.25">
      <c r="A38" s="2"/>
      <c r="B38" s="3"/>
      <c r="C38" s="51"/>
      <c r="D38" s="29"/>
      <c r="E38" s="124"/>
      <c r="F38" s="3"/>
      <c r="G38" s="2"/>
    </row>
    <row r="39" spans="1:7" x14ac:dyDescent="0.25">
      <c r="A39" s="2"/>
      <c r="C39" s="51"/>
      <c r="D39" s="29"/>
      <c r="E39" s="124"/>
      <c r="F39" s="3"/>
      <c r="G39" s="2"/>
    </row>
    <row r="40" spans="1:7" x14ac:dyDescent="0.25">
      <c r="A40" s="2"/>
      <c r="C40" s="51"/>
      <c r="D40" s="29"/>
      <c r="E40" s="124"/>
      <c r="F40" s="3"/>
      <c r="G40" s="2"/>
    </row>
    <row r="41" spans="1:7" x14ac:dyDescent="0.25">
      <c r="A41" s="2"/>
      <c r="C41" s="51"/>
      <c r="D41" s="29"/>
      <c r="E41" s="124"/>
      <c r="F41" s="3"/>
      <c r="G41" s="2"/>
    </row>
    <row r="42" spans="1:7" x14ac:dyDescent="0.25">
      <c r="A42" s="2"/>
      <c r="C42" s="51"/>
      <c r="D42" s="29"/>
      <c r="E42" s="124"/>
      <c r="F42" s="3"/>
      <c r="G42" s="2"/>
    </row>
    <row r="43" spans="1:7" x14ac:dyDescent="0.25">
      <c r="A43" s="2"/>
      <c r="C43" s="51"/>
      <c r="D43" s="29"/>
      <c r="E43" s="124"/>
      <c r="F43" s="3"/>
      <c r="G43" s="2"/>
    </row>
    <row r="44" spans="1:7" x14ac:dyDescent="0.25">
      <c r="A44" s="2"/>
      <c r="C44" s="51"/>
      <c r="D44" s="29"/>
      <c r="E44" s="124"/>
      <c r="F44" s="3"/>
      <c r="G44" s="2"/>
    </row>
    <row r="45" spans="1:7" x14ac:dyDescent="0.25">
      <c r="A45" s="2"/>
      <c r="C45" s="51"/>
      <c r="D45" s="29"/>
      <c r="E45" s="124"/>
      <c r="F45" s="3"/>
      <c r="G45" s="2"/>
    </row>
    <row r="46" spans="1:7" x14ac:dyDescent="0.25">
      <c r="A46" s="2"/>
      <c r="C46" s="51"/>
      <c r="D46" s="29"/>
      <c r="E46" s="124"/>
      <c r="F46" s="3"/>
      <c r="G46" s="2"/>
    </row>
    <row r="47" spans="1:7" x14ac:dyDescent="0.25">
      <c r="A47" s="2"/>
      <c r="C47" s="51"/>
      <c r="D47" s="29"/>
      <c r="E47" s="124"/>
      <c r="F47" s="3"/>
      <c r="G47" s="2"/>
    </row>
    <row r="48" spans="1:7" x14ac:dyDescent="0.25">
      <c r="A48" s="2"/>
      <c r="C48" s="51"/>
      <c r="D48" s="29"/>
      <c r="E48" s="124"/>
      <c r="F48" s="3"/>
      <c r="G48" s="2"/>
    </row>
    <row r="49" spans="1:7" x14ac:dyDescent="0.25">
      <c r="A49" s="2"/>
      <c r="C49" s="51"/>
      <c r="D49" s="29"/>
      <c r="E49" s="124"/>
      <c r="F49" s="3"/>
      <c r="G49" s="2"/>
    </row>
    <row r="50" spans="1:7" x14ac:dyDescent="0.25">
      <c r="A50" s="2"/>
      <c r="C50" s="51"/>
      <c r="D50" s="29"/>
      <c r="E50" s="124"/>
      <c r="F50" s="3"/>
      <c r="G50" s="2"/>
    </row>
    <row r="51" spans="1:7" x14ac:dyDescent="0.25">
      <c r="A51" s="2"/>
      <c r="C51" s="51"/>
      <c r="D51" s="29"/>
      <c r="E51" s="124"/>
      <c r="F51" s="3"/>
      <c r="G51" s="2"/>
    </row>
    <row r="52" spans="1:7" x14ac:dyDescent="0.25">
      <c r="A52" s="2"/>
      <c r="C52" s="51"/>
      <c r="D52" s="29"/>
      <c r="E52" s="124"/>
      <c r="F52" s="3"/>
      <c r="G52" s="2"/>
    </row>
    <row r="53" spans="1:7" x14ac:dyDescent="0.25">
      <c r="A53" s="2"/>
      <c r="C53" s="51"/>
      <c r="D53" s="29"/>
      <c r="E53" s="124"/>
      <c r="F53" s="3"/>
      <c r="G53" s="2"/>
    </row>
    <row r="54" spans="1:7" x14ac:dyDescent="0.25">
      <c r="A54" s="2"/>
      <c r="C54" s="51"/>
      <c r="D54" s="29"/>
      <c r="E54" s="124"/>
      <c r="F54" s="3"/>
      <c r="G54" s="2"/>
    </row>
    <row r="55" spans="1:7" x14ac:dyDescent="0.25">
      <c r="A55" s="2"/>
      <c r="C55" s="51"/>
      <c r="D55" s="29"/>
      <c r="E55" s="124"/>
      <c r="F55" s="3"/>
      <c r="G55" s="2"/>
    </row>
    <row r="56" spans="1:7" x14ac:dyDescent="0.25">
      <c r="A56" s="2"/>
      <c r="C56" s="51"/>
      <c r="D56" s="29"/>
      <c r="E56" s="124"/>
      <c r="F56" s="3"/>
      <c r="G56" s="2"/>
    </row>
    <row r="57" spans="1:7" x14ac:dyDescent="0.25">
      <c r="A57" s="2"/>
      <c r="B57" s="3"/>
      <c r="C57" s="51"/>
      <c r="D57" s="29"/>
      <c r="E57" s="124"/>
      <c r="F57" s="3"/>
      <c r="G57" s="2"/>
    </row>
    <row r="58" spans="1:7" x14ac:dyDescent="0.25">
      <c r="A58" s="2"/>
      <c r="B58" s="3"/>
      <c r="C58" s="51"/>
      <c r="D58" s="29"/>
      <c r="E58" s="124"/>
      <c r="F58" s="3"/>
      <c r="G58" s="2"/>
    </row>
    <row r="59" spans="1:7" x14ac:dyDescent="0.25">
      <c r="A59" s="2"/>
      <c r="B59" s="3"/>
      <c r="C59" s="51"/>
      <c r="D59" s="29"/>
      <c r="E59" s="124"/>
      <c r="F59" s="3"/>
      <c r="G59" s="2"/>
    </row>
    <row r="60" spans="1:7" x14ac:dyDescent="0.25">
      <c r="A60" s="2"/>
      <c r="B60" s="3"/>
      <c r="C60" s="51"/>
      <c r="D60" s="29"/>
      <c r="E60" s="124"/>
      <c r="F60" s="3"/>
      <c r="G60" s="2"/>
    </row>
    <row r="61" spans="1:7" x14ac:dyDescent="0.25">
      <c r="A61" s="2"/>
      <c r="B61" s="3"/>
      <c r="C61" s="51"/>
      <c r="D61" s="29"/>
      <c r="E61" s="124"/>
      <c r="F61" s="3"/>
      <c r="G61" s="2"/>
    </row>
    <row r="62" spans="1:7" x14ac:dyDescent="0.25">
      <c r="A62" s="2"/>
      <c r="B62" s="3"/>
      <c r="C62" s="51"/>
      <c r="D62" s="29"/>
      <c r="E62" s="124"/>
      <c r="F62" s="3"/>
      <c r="G62" s="2"/>
    </row>
    <row r="63" spans="1:7" x14ac:dyDescent="0.25">
      <c r="A63" s="2"/>
      <c r="B63" s="3"/>
      <c r="C63" s="51"/>
      <c r="D63" s="29"/>
      <c r="E63" s="124"/>
      <c r="F63" s="3"/>
      <c r="G63" s="2"/>
    </row>
    <row r="64" spans="1:7" x14ac:dyDescent="0.25">
      <c r="A64" s="2"/>
      <c r="B64" s="3"/>
      <c r="C64" s="51"/>
      <c r="D64" s="29"/>
      <c r="E64" s="124"/>
      <c r="F64" s="3"/>
      <c r="G64" s="2"/>
    </row>
    <row r="65" spans="1:7" x14ac:dyDescent="0.25">
      <c r="A65" s="2"/>
      <c r="C65" s="51"/>
      <c r="D65" s="29"/>
      <c r="E65" s="124"/>
      <c r="F65" s="3"/>
      <c r="G65" s="2"/>
    </row>
    <row r="66" spans="1:7" x14ac:dyDescent="0.25">
      <c r="A66" s="2"/>
      <c r="B66" s="3"/>
      <c r="C66" s="51"/>
      <c r="D66" s="29"/>
      <c r="E66" s="124"/>
      <c r="F66" s="3"/>
      <c r="G66" s="2"/>
    </row>
    <row r="67" spans="1:7" x14ac:dyDescent="0.25">
      <c r="A67" s="2"/>
      <c r="C67" s="51"/>
      <c r="D67" s="29"/>
      <c r="E67" s="124"/>
      <c r="F67" s="3"/>
      <c r="G67" s="2"/>
    </row>
    <row r="68" spans="1:7" x14ac:dyDescent="0.25">
      <c r="A68" s="2"/>
      <c r="C68" s="51"/>
      <c r="D68" s="29"/>
      <c r="E68" s="124"/>
      <c r="F68" s="3"/>
      <c r="G68" s="2"/>
    </row>
    <row r="69" spans="1:7" x14ac:dyDescent="0.25">
      <c r="A69" s="2"/>
      <c r="C69" s="51"/>
      <c r="D69" s="29"/>
      <c r="E69" s="124"/>
      <c r="F69" s="3"/>
      <c r="G69" s="2"/>
    </row>
    <row r="70" spans="1:7" x14ac:dyDescent="0.25">
      <c r="A70" s="2"/>
      <c r="C70" s="51"/>
      <c r="D70" s="29"/>
      <c r="E70" s="124"/>
      <c r="F70" s="3"/>
      <c r="G70" s="2"/>
    </row>
    <row r="71" spans="1:7" x14ac:dyDescent="0.25">
      <c r="A71" s="2"/>
      <c r="C71" s="51"/>
      <c r="D71" s="29"/>
      <c r="E71" s="124"/>
      <c r="F71" s="3"/>
      <c r="G71" s="2"/>
    </row>
    <row r="72" spans="1:7" x14ac:dyDescent="0.25">
      <c r="A72" s="2"/>
      <c r="C72" s="51"/>
      <c r="D72" s="29"/>
      <c r="E72" s="124"/>
      <c r="F72" s="3"/>
      <c r="G72" s="2"/>
    </row>
    <row r="73" spans="1:7" x14ac:dyDescent="0.25">
      <c r="A73" s="2"/>
      <c r="C73" s="51"/>
      <c r="D73" s="29"/>
      <c r="E73" s="124"/>
      <c r="F73" s="3"/>
      <c r="G73" s="2"/>
    </row>
    <row r="74" spans="1:7" x14ac:dyDescent="0.25">
      <c r="A74" s="2"/>
      <c r="C74" s="51"/>
      <c r="D74" s="29"/>
      <c r="E74" s="124"/>
      <c r="F74" s="3"/>
      <c r="G74" s="2"/>
    </row>
    <row r="75" spans="1:7" x14ac:dyDescent="0.25">
      <c r="A75" s="2"/>
      <c r="C75" s="51"/>
      <c r="D75" s="29"/>
      <c r="E75" s="124"/>
      <c r="F75" s="3"/>
      <c r="G75" s="2"/>
    </row>
    <row r="76" spans="1:7" x14ac:dyDescent="0.25">
      <c r="A76" s="2"/>
      <c r="C76" s="51"/>
      <c r="D76" s="29"/>
      <c r="E76" s="124"/>
      <c r="F76" s="3"/>
      <c r="G76" s="2"/>
    </row>
    <row r="77" spans="1:7" x14ac:dyDescent="0.25">
      <c r="A77" s="2"/>
      <c r="C77" s="51"/>
      <c r="D77" s="29"/>
      <c r="E77" s="124"/>
      <c r="F77" s="3"/>
      <c r="G77" s="2"/>
    </row>
    <row r="78" spans="1:7" x14ac:dyDescent="0.25">
      <c r="A78" s="2"/>
      <c r="C78" s="51"/>
      <c r="D78" s="29"/>
      <c r="E78" s="124"/>
      <c r="F78" s="3"/>
      <c r="G78" s="2"/>
    </row>
    <row r="79" spans="1:7" x14ac:dyDescent="0.25">
      <c r="A79" s="2"/>
      <c r="C79" s="51"/>
      <c r="D79" s="29"/>
      <c r="E79" s="124"/>
      <c r="F79" s="3"/>
      <c r="G79" s="2"/>
    </row>
    <row r="80" spans="1:7" x14ac:dyDescent="0.25">
      <c r="A80" s="2"/>
      <c r="C80" s="51"/>
      <c r="D80" s="29"/>
      <c r="E80" s="124"/>
      <c r="F80" s="3"/>
      <c r="G80" s="2"/>
    </row>
    <row r="81" spans="1:7" x14ac:dyDescent="0.25">
      <c r="A81" s="2"/>
      <c r="C81" s="51"/>
      <c r="D81" s="29"/>
      <c r="E81" s="124"/>
      <c r="F81" s="3"/>
      <c r="G81" s="2"/>
    </row>
    <row r="82" spans="1:7" x14ac:dyDescent="0.25">
      <c r="A82" s="2"/>
      <c r="C82" s="51"/>
      <c r="D82" s="29"/>
      <c r="E82" s="124"/>
      <c r="F82" s="3"/>
      <c r="G82" s="2"/>
    </row>
    <row r="83" spans="1:7" x14ac:dyDescent="0.25">
      <c r="A83" s="2"/>
      <c r="C83" s="51"/>
      <c r="D83" s="29"/>
      <c r="E83" s="124"/>
      <c r="F83" s="3"/>
      <c r="G83" s="2"/>
    </row>
    <row r="84" spans="1:7" x14ac:dyDescent="0.25">
      <c r="A84" s="2"/>
      <c r="C84" s="51"/>
      <c r="D84" s="29"/>
      <c r="E84" s="124"/>
      <c r="F84" s="3"/>
      <c r="G84" s="2"/>
    </row>
    <row r="85" spans="1:7" x14ac:dyDescent="0.25">
      <c r="A85" s="2"/>
      <c r="C85" s="51"/>
      <c r="D85" s="29"/>
      <c r="E85" s="124"/>
      <c r="F85" s="3"/>
      <c r="G85" s="2"/>
    </row>
    <row r="86" spans="1:7" x14ac:dyDescent="0.25">
      <c r="A86" s="2"/>
      <c r="C86" s="51"/>
      <c r="D86" s="29"/>
      <c r="E86" s="124"/>
      <c r="F86" s="3"/>
      <c r="G86" s="2"/>
    </row>
    <row r="87" spans="1:7" x14ac:dyDescent="0.25">
      <c r="A87" s="2"/>
      <c r="C87" s="51"/>
      <c r="D87" s="29"/>
      <c r="E87" s="124"/>
      <c r="F87" s="3"/>
      <c r="G87" s="2"/>
    </row>
    <row r="88" spans="1:7" x14ac:dyDescent="0.25">
      <c r="A88" s="2"/>
      <c r="C88" s="51"/>
      <c r="D88" s="29"/>
      <c r="E88" s="124"/>
      <c r="F88" s="3"/>
      <c r="G88" s="2"/>
    </row>
    <row r="89" spans="1:7" x14ac:dyDescent="0.25">
      <c r="A89" s="2"/>
      <c r="C89" s="51"/>
      <c r="D89" s="29"/>
      <c r="E89" s="124"/>
      <c r="F89" s="3"/>
      <c r="G89" s="2"/>
    </row>
    <row r="90" spans="1:7" x14ac:dyDescent="0.25">
      <c r="A90" s="2"/>
      <c r="C90" s="51"/>
      <c r="D90" s="29"/>
      <c r="E90" s="124"/>
      <c r="F90" s="3"/>
      <c r="G90" s="2"/>
    </row>
    <row r="91" spans="1:7" x14ac:dyDescent="0.25">
      <c r="A91" s="2"/>
      <c r="C91" s="51"/>
      <c r="D91" s="29"/>
      <c r="E91" s="124"/>
      <c r="F91" s="3"/>
      <c r="G91" s="2"/>
    </row>
    <row r="92" spans="1:7" x14ac:dyDescent="0.25">
      <c r="A92" s="2"/>
      <c r="C92" s="51"/>
      <c r="D92" s="29"/>
      <c r="E92" s="124"/>
      <c r="F92" s="3"/>
      <c r="G92" s="2"/>
    </row>
    <row r="93" spans="1:7" x14ac:dyDescent="0.25">
      <c r="A93" s="2"/>
      <c r="C93" s="51"/>
      <c r="D93" s="29"/>
      <c r="E93" s="124"/>
      <c r="F93" s="3"/>
      <c r="G93" s="2"/>
    </row>
    <row r="94" spans="1:7" x14ac:dyDescent="0.25">
      <c r="A94" s="2"/>
      <c r="C94" s="51"/>
      <c r="D94" s="29"/>
      <c r="E94" s="124"/>
      <c r="F94" s="3"/>
      <c r="G94" s="2"/>
    </row>
    <row r="95" spans="1:7" x14ac:dyDescent="0.25">
      <c r="A95" s="2"/>
      <c r="C95" s="51"/>
      <c r="D95" s="29"/>
      <c r="E95" s="124"/>
      <c r="F95" s="3"/>
      <c r="G95" s="2"/>
    </row>
    <row r="96" spans="1:7" x14ac:dyDescent="0.25">
      <c r="A96" s="2"/>
      <c r="C96" s="51"/>
      <c r="D96" s="29"/>
      <c r="E96" s="124"/>
      <c r="F96" s="3"/>
      <c r="G96" s="2"/>
    </row>
    <row r="97" spans="1:7" x14ac:dyDescent="0.25">
      <c r="A97" s="2"/>
      <c r="C97" s="51"/>
      <c r="D97" s="29"/>
      <c r="E97" s="124"/>
      <c r="F97" s="3"/>
      <c r="G97" s="2"/>
    </row>
    <row r="98" spans="1:7" x14ac:dyDescent="0.25">
      <c r="A98" s="2"/>
      <c r="C98" s="51"/>
      <c r="D98" s="29"/>
      <c r="E98" s="124"/>
      <c r="F98" s="3"/>
      <c r="G98" s="2"/>
    </row>
    <row r="99" spans="1:7" x14ac:dyDescent="0.25">
      <c r="A99" s="2"/>
      <c r="B99" s="3"/>
      <c r="C99" s="51"/>
      <c r="D99" s="29"/>
      <c r="E99" s="124"/>
      <c r="F99" s="3"/>
      <c r="G99" s="2"/>
    </row>
    <row r="100" spans="1:7" x14ac:dyDescent="0.25">
      <c r="A100" s="2"/>
      <c r="C100" s="51"/>
      <c r="D100" s="29"/>
      <c r="E100" s="124"/>
      <c r="F100" s="3"/>
      <c r="G100" s="2"/>
    </row>
    <row r="101" spans="1:7" x14ac:dyDescent="0.25">
      <c r="A101" s="2"/>
      <c r="C101" s="51"/>
      <c r="D101" s="29"/>
      <c r="E101" s="124"/>
      <c r="F101" s="3"/>
      <c r="G101" s="2"/>
    </row>
    <row r="102" spans="1:7" x14ac:dyDescent="0.25">
      <c r="A102" s="2"/>
      <c r="C102" s="51"/>
      <c r="D102" s="29"/>
      <c r="E102" s="124"/>
      <c r="F102" s="3"/>
      <c r="G102" s="2"/>
    </row>
    <row r="103" spans="1:7" x14ac:dyDescent="0.25">
      <c r="A103" s="2"/>
    </row>
  </sheetData>
  <sortState ref="A8:G25">
    <sortCondition descending="1" ref="D8:D25"/>
  </sortState>
  <phoneticPr fontId="0" type="noConversion"/>
  <pageMargins left="0.75" right="0.75" top="1" bottom="1" header="0.5" footer="0.5"/>
  <pageSetup orientation="portrait" horizontalDpi="200" verticalDpi="200" r:id="rId1"/>
  <headerFooter alignWithMargins="0">
    <oddHeader>&amp;L&amp;"Tahoma,Bold"&amp;11U.S. Biathlon Association&amp;R&amp;"Tahoma,Bold"&amp;11 2018 Race Points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3"/>
  <sheetViews>
    <sheetView workbookViewId="0">
      <selection activeCell="J10" sqref="J10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9" x14ac:dyDescent="0.25">
      <c r="A1" s="16" t="s">
        <v>22</v>
      </c>
      <c r="B1" s="17" t="s">
        <v>1347</v>
      </c>
      <c r="C1" s="18"/>
      <c r="D1" s="18"/>
      <c r="E1" s="18"/>
      <c r="F1" s="18"/>
      <c r="G1" s="19"/>
    </row>
    <row r="2" spans="1:9" x14ac:dyDescent="0.25">
      <c r="A2" s="20" t="s">
        <v>23</v>
      </c>
      <c r="B2" s="21">
        <v>43142</v>
      </c>
      <c r="C2" s="22"/>
      <c r="D2" s="22"/>
      <c r="E2" s="22"/>
      <c r="F2" s="22"/>
      <c r="G2" s="23"/>
    </row>
    <row r="3" spans="1:9" x14ac:dyDescent="0.25">
      <c r="A3" s="20" t="s">
        <v>24</v>
      </c>
      <c r="B3" s="24" t="s">
        <v>421</v>
      </c>
      <c r="C3" s="22"/>
      <c r="D3" s="22"/>
      <c r="E3" s="22"/>
      <c r="F3" s="22"/>
      <c r="G3" s="23"/>
    </row>
    <row r="4" spans="1:9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9" x14ac:dyDescent="0.25">
      <c r="A5" s="20" t="s">
        <v>27</v>
      </c>
      <c r="B5" s="24" t="s">
        <v>967</v>
      </c>
      <c r="C5" s="22"/>
      <c r="D5" s="22"/>
      <c r="E5" s="22" t="s">
        <v>55</v>
      </c>
      <c r="F5" s="38">
        <f>AVERAGE(C8:C12)*(AVERAGE(D8:D12)/100)</f>
        <v>2.0751809325160114E-2</v>
      </c>
      <c r="G5" s="23"/>
    </row>
    <row r="6" spans="1:9" x14ac:dyDescent="0.25">
      <c r="A6" s="25" t="s">
        <v>29</v>
      </c>
      <c r="B6" s="26"/>
      <c r="C6" s="26"/>
      <c r="D6" s="26"/>
      <c r="E6" s="26"/>
      <c r="F6" s="26"/>
      <c r="G6" s="27"/>
    </row>
    <row r="7" spans="1:9" x14ac:dyDescent="0.25">
      <c r="A7" s="3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9" x14ac:dyDescent="0.25">
      <c r="A8" s="2">
        <v>10</v>
      </c>
      <c r="B8" s="3" t="s">
        <v>918</v>
      </c>
      <c r="C8" s="51">
        <v>3.4782407407407408E-2</v>
      </c>
      <c r="D8" s="29">
        <f>INDEX('Points Summary'!$F$4:$F$1143,G8)</f>
        <v>73.838322342535349</v>
      </c>
      <c r="E8" s="124">
        <f t="shared" ref="E8:E22" si="0">(AVERAGE($D$8:$D$12)/100*AVERAGE($C$8:$C$12))/C8</f>
        <v>0.59661797074864698</v>
      </c>
      <c r="F8" s="3"/>
      <c r="G8" s="2">
        <f>MATCH(B8,'Points Summary'!$B$4:$B$1144,0)</f>
        <v>212</v>
      </c>
      <c r="I8" s="197"/>
    </row>
    <row r="9" spans="1:9" x14ac:dyDescent="0.25">
      <c r="A9" s="2">
        <v>2</v>
      </c>
      <c r="B9" s="3" t="s">
        <v>839</v>
      </c>
      <c r="C9" s="51">
        <v>2.467824074074074E-2</v>
      </c>
      <c r="D9" s="29">
        <f>INDEX('Points Summary'!$F$4:$F$1143,G9)</f>
        <v>66.795927850866093</v>
      </c>
      <c r="E9" s="124">
        <f t="shared" si="0"/>
        <v>0.84089500313940246</v>
      </c>
      <c r="F9" s="3"/>
      <c r="G9" s="2">
        <f>MATCH(B9,'Points Summary'!$B$4:$B$1144,0)</f>
        <v>64</v>
      </c>
      <c r="I9" s="197"/>
    </row>
    <row r="10" spans="1:9" x14ac:dyDescent="0.25">
      <c r="A10" s="2">
        <v>7</v>
      </c>
      <c r="B10" s="3" t="s">
        <v>155</v>
      </c>
      <c r="C10" s="51">
        <v>3.241666666666667E-2</v>
      </c>
      <c r="D10" s="29">
        <f>INDEX('Points Summary'!$F$4:$F$1143,G10)</f>
        <v>66.28283754655763</v>
      </c>
      <c r="E10" s="124">
        <f t="shared" si="0"/>
        <v>0.64015864242139164</v>
      </c>
      <c r="F10" s="3"/>
      <c r="G10" s="2">
        <f>MATCH(B10,'Points Summary'!$B$4:$B$1144,0)</f>
        <v>204</v>
      </c>
      <c r="I10" s="197"/>
    </row>
    <row r="11" spans="1:9" x14ac:dyDescent="0.25">
      <c r="A11" s="2">
        <v>6</v>
      </c>
      <c r="B11" s="3" t="s">
        <v>785</v>
      </c>
      <c r="C11" s="51">
        <v>3.0652777777777779E-2</v>
      </c>
      <c r="D11" s="29">
        <f>INDEX('Points Summary'!$F$4:$F$1143,G11)</f>
        <v>61.405976272712444</v>
      </c>
      <c r="E11" s="124">
        <f t="shared" si="0"/>
        <v>0.67699604504373723</v>
      </c>
      <c r="F11" s="3"/>
      <c r="G11" s="2">
        <f>MATCH(B11,'Points Summary'!$B$4:$B$1144,0)</f>
        <v>430</v>
      </c>
      <c r="I11" s="197"/>
    </row>
    <row r="12" spans="1:9" x14ac:dyDescent="0.25">
      <c r="A12" s="2">
        <v>15</v>
      </c>
      <c r="B12" s="3" t="s">
        <v>1057</v>
      </c>
      <c r="C12" s="51">
        <v>3.7445601851851855E-2</v>
      </c>
      <c r="D12" s="29">
        <f>INDEX('Points Summary'!$F$4:$F$1143,G12)</f>
        <v>55.973220451445926</v>
      </c>
      <c r="E12" s="124">
        <f t="shared" si="0"/>
        <v>0.55418549305901577</v>
      </c>
      <c r="F12" s="3"/>
      <c r="G12" s="2">
        <f>MATCH(B12,'Points Summary'!$B$4:$B$1144,0)</f>
        <v>134</v>
      </c>
      <c r="I12" s="197"/>
    </row>
    <row r="13" spans="1:9" x14ac:dyDescent="0.25">
      <c r="A13" s="2">
        <v>11</v>
      </c>
      <c r="B13" s="3" t="s">
        <v>783</v>
      </c>
      <c r="C13" s="51">
        <v>3.5023148148148144E-2</v>
      </c>
      <c r="D13" s="29">
        <f>INDEX('Points Summary'!$F$4:$F$1143,G13)</f>
        <v>52.397236396258847</v>
      </c>
      <c r="E13" s="124">
        <f t="shared" si="0"/>
        <v>0.59251696156438671</v>
      </c>
      <c r="F13" s="3"/>
      <c r="G13" s="2">
        <f>MATCH(B13,'Points Summary'!$B$4:$B$1144,0)</f>
        <v>328</v>
      </c>
      <c r="I13" s="197"/>
    </row>
    <row r="14" spans="1:9" x14ac:dyDescent="0.25">
      <c r="A14" s="2">
        <v>13</v>
      </c>
      <c r="B14" s="3" t="s">
        <v>1345</v>
      </c>
      <c r="C14" s="51">
        <v>3.6520833333333336E-2</v>
      </c>
      <c r="D14" s="29">
        <f>INDEX('Points Summary'!$F$4:$F$1143,G14)</f>
        <v>48.414196577914218</v>
      </c>
      <c r="E14" s="124">
        <f t="shared" si="0"/>
        <v>0.56821839566895915</v>
      </c>
      <c r="F14" s="3"/>
      <c r="G14" s="2">
        <f>MATCH(B14,'Points Summary'!$B$4:$B$1144,0)</f>
        <v>406</v>
      </c>
      <c r="I14" s="197"/>
    </row>
    <row r="15" spans="1:9" x14ac:dyDescent="0.25">
      <c r="A15" s="2">
        <v>3</v>
      </c>
      <c r="B15" s="3" t="s">
        <v>971</v>
      </c>
      <c r="C15" s="51">
        <v>2.5017361111111108E-2</v>
      </c>
      <c r="D15" s="29">
        <f>INDEX('Points Summary'!$F$4:$F$1143,G15)</f>
        <v>46.260700403476264</v>
      </c>
      <c r="E15" s="124">
        <f t="shared" si="0"/>
        <v>0.82949633388565069</v>
      </c>
      <c r="F15" s="3"/>
      <c r="G15" s="2">
        <f>MATCH(B15,'Points Summary'!$B$4:$B$1144,0)</f>
        <v>101</v>
      </c>
      <c r="I15" s="197"/>
    </row>
    <row r="16" spans="1:9" x14ac:dyDescent="0.25">
      <c r="A16" s="2">
        <v>14</v>
      </c>
      <c r="B16" s="3" t="s">
        <v>758</v>
      </c>
      <c r="C16" s="51">
        <v>3.7219907407407403E-2</v>
      </c>
      <c r="D16" s="29">
        <f>INDEX('Points Summary'!$F$4:$F$1143,G16)</f>
        <v>45.907986673761499</v>
      </c>
      <c r="E16" s="124">
        <f t="shared" si="0"/>
        <v>0.55754596855956029</v>
      </c>
      <c r="F16" s="3"/>
      <c r="G16" s="2">
        <f>MATCH(B16,'Points Summary'!$B$4:$B$1144,0)</f>
        <v>370</v>
      </c>
      <c r="I16" s="197"/>
    </row>
    <row r="17" spans="1:9" x14ac:dyDescent="0.25">
      <c r="A17" s="2">
        <v>1</v>
      </c>
      <c r="B17" s="3" t="s">
        <v>1022</v>
      </c>
      <c r="C17" s="51">
        <v>2.3745370370370372E-2</v>
      </c>
      <c r="D17" s="29">
        <f>INDEX('Points Summary'!$F$4:$F$1143,G17)</f>
        <v>0</v>
      </c>
      <c r="E17" s="124">
        <f t="shared" si="0"/>
        <v>0.87393074950956995</v>
      </c>
      <c r="F17" s="3"/>
      <c r="G17" s="2">
        <f>MATCH(B17,'Points Summary'!$B$4:$B$1144,0)</f>
        <v>222</v>
      </c>
      <c r="I17" s="197"/>
    </row>
    <row r="18" spans="1:9" x14ac:dyDescent="0.25">
      <c r="A18" s="2">
        <v>4</v>
      </c>
      <c r="B18" s="3" t="s">
        <v>1341</v>
      </c>
      <c r="C18" s="51">
        <v>2.5707175925925922E-2</v>
      </c>
      <c r="D18" s="29">
        <f>INDEX('Points Summary'!$F$4:$F$1143,G18)</f>
        <v>0</v>
      </c>
      <c r="E18" s="124">
        <f t="shared" si="0"/>
        <v>0.80723800175311067</v>
      </c>
      <c r="F18" s="3"/>
      <c r="G18" s="2">
        <f>MATCH(B18,'Points Summary'!$B$4:$B$1144,0)</f>
        <v>282</v>
      </c>
      <c r="I18" s="197"/>
    </row>
    <row r="19" spans="1:9" x14ac:dyDescent="0.25">
      <c r="A19" s="2">
        <v>5</v>
      </c>
      <c r="B19" s="3" t="s">
        <v>1342</v>
      </c>
      <c r="C19" s="51">
        <v>2.7916666666666669E-2</v>
      </c>
      <c r="D19" s="29">
        <f>INDEX('Points Summary'!$F$4:$F$1143,G19)</f>
        <v>0</v>
      </c>
      <c r="E19" s="124">
        <f t="shared" si="0"/>
        <v>0.74334839373707862</v>
      </c>
      <c r="F19" s="3"/>
      <c r="G19" s="2">
        <f>MATCH(B19,'Points Summary'!$B$4:$B$1144,0)</f>
        <v>43</v>
      </c>
      <c r="I19" s="197"/>
    </row>
    <row r="20" spans="1:9" x14ac:dyDescent="0.25">
      <c r="A20" s="2">
        <v>8</v>
      </c>
      <c r="B20" s="3" t="s">
        <v>1343</v>
      </c>
      <c r="C20" s="51">
        <v>3.3615740740740745E-2</v>
      </c>
      <c r="D20" s="29">
        <f>INDEX('Points Summary'!$F$4:$F$1143,G20)</f>
        <v>0</v>
      </c>
      <c r="E20" s="124">
        <f t="shared" si="0"/>
        <v>0.61732417218490343</v>
      </c>
      <c r="F20" s="3"/>
      <c r="G20" s="2">
        <f>MATCH(B20,'Points Summary'!$B$4:$B$1144,0)</f>
        <v>141</v>
      </c>
      <c r="I20" s="197"/>
    </row>
    <row r="21" spans="1:9" x14ac:dyDescent="0.25">
      <c r="A21" s="2">
        <v>9</v>
      </c>
      <c r="B21" s="3" t="s">
        <v>1346</v>
      </c>
      <c r="C21" s="51">
        <v>3.4724537037037033E-2</v>
      </c>
      <c r="D21" s="29">
        <f>INDEX('Points Summary'!$F$4:$F$1143,G21)</f>
        <v>0</v>
      </c>
      <c r="E21" s="124">
        <f t="shared" si="0"/>
        <v>0.59761226774676157</v>
      </c>
      <c r="F21" s="3"/>
      <c r="G21" s="2">
        <f>MATCH(B21,'Points Summary'!$B$4:$B$1144,0)</f>
        <v>438</v>
      </c>
      <c r="I21" s="197"/>
    </row>
    <row r="22" spans="1:9" x14ac:dyDescent="0.25">
      <c r="A22" s="2">
        <v>12</v>
      </c>
      <c r="B22" s="3" t="s">
        <v>821</v>
      </c>
      <c r="C22" s="51">
        <v>3.5451388888888886E-2</v>
      </c>
      <c r="D22" s="29">
        <f>INDEX('Points Summary'!$F$4:$F$1143,G22)</f>
        <v>0</v>
      </c>
      <c r="E22" s="124">
        <f t="shared" si="0"/>
        <v>0.58535955784976623</v>
      </c>
      <c r="F22" s="3"/>
      <c r="G22" s="2">
        <f>MATCH(B22,'Points Summary'!$B$4:$B$1144,0)</f>
        <v>277</v>
      </c>
      <c r="I22" s="197"/>
    </row>
    <row r="23" spans="1:9" x14ac:dyDescent="0.25">
      <c r="A23" s="2"/>
      <c r="B23" s="3"/>
      <c r="C23" s="51"/>
      <c r="D23" s="29"/>
      <c r="E23" s="124"/>
      <c r="F23" s="3"/>
      <c r="G23" s="2"/>
      <c r="I23" s="196"/>
    </row>
    <row r="24" spans="1:9" x14ac:dyDescent="0.25">
      <c r="A24" s="2"/>
      <c r="B24" s="3"/>
      <c r="C24" s="51"/>
      <c r="D24" s="29"/>
      <c r="E24" s="124"/>
      <c r="F24" s="3"/>
      <c r="G24" s="2"/>
      <c r="I24" s="196"/>
    </row>
    <row r="25" spans="1:9" x14ac:dyDescent="0.25">
      <c r="A25" s="2"/>
      <c r="B25" s="3"/>
      <c r="C25" s="51"/>
      <c r="D25" s="29"/>
      <c r="E25" s="124"/>
      <c r="F25" s="3"/>
      <c r="G25" s="2"/>
      <c r="I25" s="196"/>
    </row>
    <row r="26" spans="1:9" x14ac:dyDescent="0.25">
      <c r="A26" s="2"/>
      <c r="B26" s="3"/>
      <c r="C26" s="51"/>
      <c r="D26" s="29"/>
      <c r="E26" s="30"/>
      <c r="F26" s="3"/>
      <c r="G26" s="2"/>
    </row>
    <row r="27" spans="1:9" x14ac:dyDescent="0.25">
      <c r="A27" s="2"/>
      <c r="B27" s="3"/>
      <c r="C27" s="51"/>
      <c r="D27" s="29"/>
      <c r="E27" s="30"/>
      <c r="F27" s="3"/>
      <c r="G27" s="2"/>
    </row>
    <row r="28" spans="1:9" x14ac:dyDescent="0.25">
      <c r="A28" s="2"/>
      <c r="C28" s="51"/>
      <c r="D28" s="29"/>
      <c r="E28" s="30"/>
      <c r="F28" s="3"/>
      <c r="G28" s="2"/>
    </row>
    <row r="29" spans="1:9" x14ac:dyDescent="0.25">
      <c r="A29" s="2"/>
      <c r="B29" s="3"/>
      <c r="C29" s="51"/>
      <c r="D29" s="29"/>
      <c r="E29" s="30"/>
      <c r="F29" s="3"/>
      <c r="G29" s="2"/>
    </row>
    <row r="30" spans="1:9" x14ac:dyDescent="0.25">
      <c r="A30" s="2"/>
      <c r="B30" s="3"/>
      <c r="C30" s="51"/>
      <c r="D30" s="29"/>
      <c r="E30" s="30"/>
      <c r="F30" s="3"/>
      <c r="G30" s="2"/>
    </row>
    <row r="31" spans="1:9" x14ac:dyDescent="0.25">
      <c r="A31" s="2"/>
      <c r="B31" s="3"/>
      <c r="C31" s="51"/>
      <c r="D31" s="29"/>
      <c r="E31" s="30"/>
      <c r="F31" s="3"/>
      <c r="G31" s="2"/>
    </row>
    <row r="32" spans="1:9" x14ac:dyDescent="0.25">
      <c r="A32" s="2"/>
      <c r="B32" s="3"/>
      <c r="C32" s="51"/>
      <c r="D32" s="29"/>
      <c r="E32" s="30"/>
      <c r="F32" s="3"/>
      <c r="G32" s="2"/>
    </row>
    <row r="33" spans="1:7" x14ac:dyDescent="0.25">
      <c r="A33" s="2"/>
      <c r="B33" s="3"/>
      <c r="C33" s="51"/>
      <c r="D33" s="29"/>
      <c r="E33" s="30"/>
      <c r="F33" s="3"/>
      <c r="G33" s="2"/>
    </row>
    <row r="34" spans="1:7" x14ac:dyDescent="0.25">
      <c r="A34" s="2"/>
      <c r="B34" s="3"/>
      <c r="C34" s="51"/>
      <c r="D34" s="29"/>
      <c r="E34" s="30"/>
      <c r="F34" s="3"/>
      <c r="G34" s="2"/>
    </row>
    <row r="35" spans="1:7" x14ac:dyDescent="0.25">
      <c r="A35" s="2"/>
      <c r="B35" s="75"/>
      <c r="C35" s="51"/>
      <c r="D35" s="29"/>
      <c r="E35" s="30"/>
      <c r="F35" s="3"/>
      <c r="G35" s="2"/>
    </row>
    <row r="36" spans="1:7" x14ac:dyDescent="0.25">
      <c r="A36" s="2"/>
      <c r="B36" s="3"/>
      <c r="C36" s="51"/>
      <c r="D36" s="29"/>
      <c r="E36" s="30"/>
      <c r="F36" s="3"/>
      <c r="G36" s="2"/>
    </row>
    <row r="37" spans="1:7" x14ac:dyDescent="0.25">
      <c r="A37" s="2"/>
      <c r="B37" s="3"/>
      <c r="C37" s="51"/>
      <c r="D37" s="29"/>
      <c r="E37" s="30"/>
      <c r="F37" s="3"/>
      <c r="G37" s="2"/>
    </row>
    <row r="38" spans="1:7" x14ac:dyDescent="0.25">
      <c r="A38" s="2"/>
      <c r="C38" s="51"/>
      <c r="D38" s="29"/>
      <c r="E38" s="30"/>
      <c r="F38" s="3"/>
      <c r="G38" s="2"/>
    </row>
    <row r="39" spans="1:7" x14ac:dyDescent="0.25">
      <c r="A39" s="2"/>
      <c r="C39" s="51"/>
      <c r="D39" s="29"/>
      <c r="E39" s="30"/>
      <c r="F39" s="3"/>
      <c r="G39" s="2"/>
    </row>
    <row r="40" spans="1:7" x14ac:dyDescent="0.25">
      <c r="A40" s="2"/>
      <c r="C40" s="51"/>
      <c r="D40" s="29"/>
      <c r="E40" s="30"/>
      <c r="F40" s="3"/>
      <c r="G40" s="2"/>
    </row>
    <row r="41" spans="1:7" x14ac:dyDescent="0.25">
      <c r="A41" s="2"/>
      <c r="B41" s="3"/>
      <c r="C41" s="51"/>
      <c r="D41" s="29"/>
      <c r="E41" s="30"/>
      <c r="F41" s="3"/>
      <c r="G41" s="2"/>
    </row>
    <row r="42" spans="1:7" x14ac:dyDescent="0.25">
      <c r="A42" s="2"/>
      <c r="B42" s="3"/>
      <c r="C42" s="51"/>
      <c r="D42" s="29"/>
      <c r="E42" s="30"/>
      <c r="F42" s="3"/>
      <c r="G42" s="2"/>
    </row>
    <row r="43" spans="1:7" x14ac:dyDescent="0.25">
      <c r="A43" s="2"/>
      <c r="B43" s="3"/>
      <c r="C43" s="51"/>
      <c r="D43" s="29"/>
      <c r="E43" s="30"/>
      <c r="F43" s="3"/>
      <c r="G43" s="2"/>
    </row>
    <row r="44" spans="1:7" x14ac:dyDescent="0.25">
      <c r="A44" s="2"/>
      <c r="B44" s="3"/>
      <c r="C44" s="51"/>
      <c r="D44" s="29"/>
      <c r="E44" s="30"/>
      <c r="F44" s="3"/>
      <c r="G44" s="2"/>
    </row>
    <row r="45" spans="1:7" x14ac:dyDescent="0.25">
      <c r="A45" s="2"/>
      <c r="B45" s="3"/>
      <c r="C45" s="51"/>
      <c r="D45" s="29"/>
      <c r="E45" s="30"/>
      <c r="F45" s="3"/>
      <c r="G45" s="2"/>
    </row>
    <row r="46" spans="1:7" x14ac:dyDescent="0.25">
      <c r="A46" s="2"/>
      <c r="B46" s="3"/>
      <c r="C46" s="51"/>
      <c r="D46" s="29"/>
      <c r="E46" s="30"/>
      <c r="F46" s="3"/>
      <c r="G46" s="2"/>
    </row>
    <row r="47" spans="1:7" x14ac:dyDescent="0.25">
      <c r="A47" s="2"/>
      <c r="B47" s="3"/>
      <c r="C47" s="51"/>
      <c r="D47" s="29"/>
      <c r="E47" s="30"/>
      <c r="F47" s="3"/>
      <c r="G47" s="2"/>
    </row>
    <row r="48" spans="1:7" x14ac:dyDescent="0.25">
      <c r="A48" s="2"/>
      <c r="B48" s="3"/>
      <c r="C48" s="51"/>
      <c r="D48" s="29"/>
      <c r="E48" s="30"/>
      <c r="F48" s="3"/>
      <c r="G48" s="2"/>
    </row>
    <row r="49" spans="1:7" x14ac:dyDescent="0.25">
      <c r="A49" s="2"/>
      <c r="B49" s="3"/>
      <c r="C49" s="51"/>
      <c r="D49" s="29"/>
      <c r="E49" s="30"/>
      <c r="F49" s="3"/>
      <c r="G49" s="2"/>
    </row>
    <row r="50" spans="1:7" x14ac:dyDescent="0.25">
      <c r="A50" s="2"/>
      <c r="B50" s="3"/>
      <c r="C50" s="51"/>
      <c r="D50" s="29"/>
      <c r="E50" s="30"/>
      <c r="F50" s="3"/>
      <c r="G50" s="2"/>
    </row>
    <row r="51" spans="1:7" x14ac:dyDescent="0.25">
      <c r="A51" s="2"/>
      <c r="B51" s="3"/>
      <c r="C51" s="51"/>
      <c r="D51" s="29"/>
      <c r="E51" s="30"/>
      <c r="F51" s="3"/>
      <c r="G51" s="2"/>
    </row>
    <row r="52" spans="1:7" x14ac:dyDescent="0.25">
      <c r="A52" s="2"/>
      <c r="B52" s="3"/>
      <c r="C52" s="51"/>
      <c r="D52" s="29"/>
      <c r="E52" s="30"/>
      <c r="F52" s="3"/>
      <c r="G52" s="2"/>
    </row>
    <row r="53" spans="1:7" x14ac:dyDescent="0.25">
      <c r="A53" s="2"/>
      <c r="B53" s="3"/>
      <c r="C53" s="51"/>
      <c r="D53" s="29"/>
      <c r="E53" s="30"/>
      <c r="F53" s="3"/>
      <c r="G53" s="2"/>
    </row>
    <row r="54" spans="1:7" x14ac:dyDescent="0.25">
      <c r="A54" s="2"/>
      <c r="B54" s="3"/>
      <c r="C54" s="51"/>
      <c r="D54" s="29"/>
      <c r="E54" s="30"/>
      <c r="F54" s="3"/>
      <c r="G54" s="2"/>
    </row>
    <row r="55" spans="1:7" x14ac:dyDescent="0.25">
      <c r="A55" s="2"/>
      <c r="B55" s="3"/>
      <c r="C55" s="51"/>
      <c r="D55" s="29"/>
      <c r="E55" s="30"/>
      <c r="F55" s="3"/>
      <c r="G55" s="2"/>
    </row>
    <row r="56" spans="1:7" x14ac:dyDescent="0.25">
      <c r="A56" s="2"/>
      <c r="B56" s="3"/>
      <c r="C56" s="51"/>
      <c r="D56" s="29"/>
      <c r="E56" s="30"/>
      <c r="F56" s="3"/>
      <c r="G56" s="2"/>
    </row>
    <row r="57" spans="1:7" x14ac:dyDescent="0.25">
      <c r="A57" s="2"/>
      <c r="B57" s="3"/>
      <c r="C57" s="51"/>
      <c r="D57" s="29"/>
      <c r="E57" s="30"/>
      <c r="F57" s="3"/>
      <c r="G57" s="2"/>
    </row>
    <row r="58" spans="1:7" x14ac:dyDescent="0.25">
      <c r="A58" s="2"/>
      <c r="B58" s="3"/>
      <c r="C58" s="51"/>
      <c r="D58" s="29"/>
      <c r="E58" s="30"/>
      <c r="F58" s="3"/>
      <c r="G58" s="2"/>
    </row>
    <row r="59" spans="1:7" x14ac:dyDescent="0.25">
      <c r="A59" s="2"/>
      <c r="B59" s="3"/>
      <c r="C59" s="51"/>
      <c r="D59" s="29"/>
      <c r="E59" s="30"/>
      <c r="F59" s="3"/>
      <c r="G59" s="2"/>
    </row>
    <row r="60" spans="1:7" x14ac:dyDescent="0.25">
      <c r="A60" s="2"/>
      <c r="B60" s="3"/>
      <c r="C60" s="51"/>
      <c r="D60" s="29"/>
      <c r="E60" s="30"/>
      <c r="F60" s="3"/>
      <c r="G60" s="2"/>
    </row>
    <row r="61" spans="1:7" x14ac:dyDescent="0.25">
      <c r="A61" s="2"/>
      <c r="B61" s="3"/>
      <c r="C61" s="51"/>
      <c r="D61" s="29"/>
      <c r="E61" s="30"/>
      <c r="F61" s="3"/>
      <c r="G61" s="2"/>
    </row>
    <row r="62" spans="1:7" x14ac:dyDescent="0.25">
      <c r="A62" s="2"/>
      <c r="B62" s="3"/>
      <c r="C62" s="51"/>
      <c r="D62" s="29"/>
      <c r="E62" s="30"/>
      <c r="F62" s="3"/>
      <c r="G62" s="2"/>
    </row>
    <row r="63" spans="1:7" x14ac:dyDescent="0.25">
      <c r="A63" s="2"/>
      <c r="B63" s="3"/>
      <c r="C63" s="51"/>
      <c r="D63" s="29"/>
      <c r="E63" s="30"/>
      <c r="F63" s="3"/>
      <c r="G63" s="2"/>
    </row>
    <row r="64" spans="1:7" x14ac:dyDescent="0.25">
      <c r="A64" s="2"/>
      <c r="B64" s="3"/>
      <c r="C64" s="51"/>
      <c r="D64" s="29"/>
      <c r="E64" s="30"/>
      <c r="F64" s="3"/>
      <c r="G64" s="2"/>
    </row>
    <row r="65" spans="1:7" x14ac:dyDescent="0.25">
      <c r="A65" s="2"/>
      <c r="B65" s="3"/>
      <c r="C65" s="51"/>
      <c r="D65" s="29"/>
      <c r="E65" s="30"/>
      <c r="F65" s="3"/>
      <c r="G65" s="2"/>
    </row>
    <row r="66" spans="1:7" x14ac:dyDescent="0.25">
      <c r="A66" s="2"/>
      <c r="B66" s="3"/>
      <c r="C66" s="51"/>
      <c r="D66" s="29"/>
      <c r="E66" s="30"/>
      <c r="F66" s="3"/>
      <c r="G66" s="2"/>
    </row>
    <row r="67" spans="1:7" x14ac:dyDescent="0.25">
      <c r="A67" s="2"/>
      <c r="B67" s="3"/>
      <c r="C67" s="51"/>
      <c r="D67" s="29"/>
      <c r="E67" s="30"/>
      <c r="F67" s="3"/>
      <c r="G67" s="2"/>
    </row>
    <row r="68" spans="1:7" x14ac:dyDescent="0.25">
      <c r="A68" s="2"/>
      <c r="B68" s="3"/>
      <c r="C68" s="51"/>
      <c r="D68" s="29"/>
      <c r="E68" s="30"/>
      <c r="F68" s="3"/>
      <c r="G68" s="2"/>
    </row>
    <row r="69" spans="1:7" x14ac:dyDescent="0.25">
      <c r="A69" s="2"/>
      <c r="B69" s="3"/>
      <c r="C69" s="51"/>
      <c r="D69" s="29"/>
      <c r="E69" s="30"/>
      <c r="F69" s="3"/>
      <c r="G69" s="2"/>
    </row>
    <row r="70" spans="1:7" x14ac:dyDescent="0.25">
      <c r="A70" s="2"/>
      <c r="B70" s="3"/>
      <c r="C70" s="51"/>
      <c r="D70" s="29"/>
      <c r="E70" s="30"/>
      <c r="F70" s="3"/>
      <c r="G70" s="2"/>
    </row>
    <row r="71" spans="1:7" x14ac:dyDescent="0.25">
      <c r="A71" s="2"/>
      <c r="B71" s="3"/>
      <c r="C71" s="51"/>
      <c r="D71" s="29"/>
      <c r="E71" s="30"/>
      <c r="F71" s="3"/>
      <c r="G71" s="2"/>
    </row>
    <row r="72" spans="1:7" x14ac:dyDescent="0.25">
      <c r="A72" s="2"/>
      <c r="B72" s="3"/>
      <c r="C72" s="51"/>
      <c r="D72" s="29"/>
      <c r="E72" s="30"/>
      <c r="F72" s="3"/>
      <c r="G72" s="2"/>
    </row>
    <row r="73" spans="1:7" x14ac:dyDescent="0.25">
      <c r="A73" s="2"/>
      <c r="B73" s="3"/>
      <c r="C73" s="51"/>
      <c r="D73" s="29"/>
      <c r="E73" s="30"/>
      <c r="F73" s="3"/>
      <c r="G73" s="2"/>
    </row>
    <row r="74" spans="1:7" x14ac:dyDescent="0.25">
      <c r="A74" s="2"/>
      <c r="B74" s="3"/>
      <c r="C74" s="51"/>
      <c r="D74" s="29"/>
      <c r="E74" s="30"/>
      <c r="F74" s="3"/>
      <c r="G74" s="2"/>
    </row>
    <row r="75" spans="1:7" x14ac:dyDescent="0.25">
      <c r="A75" s="2"/>
      <c r="B75" s="3"/>
      <c r="C75" s="51"/>
      <c r="D75" s="29"/>
      <c r="E75" s="30"/>
      <c r="F75" s="3"/>
      <c r="G75" s="2"/>
    </row>
    <row r="76" spans="1:7" x14ac:dyDescent="0.25">
      <c r="A76" s="2"/>
      <c r="B76" s="3"/>
      <c r="C76" s="51"/>
      <c r="D76" s="29"/>
      <c r="E76" s="30"/>
      <c r="F76" s="3"/>
      <c r="G76" s="2"/>
    </row>
    <row r="77" spans="1:7" x14ac:dyDescent="0.25">
      <c r="A77" s="2"/>
      <c r="B77" s="3"/>
      <c r="C77" s="51"/>
      <c r="D77" s="29"/>
      <c r="E77" s="30"/>
      <c r="F77" s="3"/>
      <c r="G77" s="2"/>
    </row>
    <row r="78" spans="1:7" x14ac:dyDescent="0.25">
      <c r="A78" s="2"/>
      <c r="B78" s="3"/>
      <c r="C78" s="51"/>
      <c r="D78" s="29"/>
      <c r="E78" s="30"/>
      <c r="F78" s="3"/>
      <c r="G78" s="2"/>
    </row>
    <row r="79" spans="1:7" x14ac:dyDescent="0.25">
      <c r="A79" s="2"/>
      <c r="B79" s="3"/>
      <c r="C79" s="51"/>
      <c r="D79" s="29"/>
      <c r="E79" s="30"/>
      <c r="F79" s="3"/>
      <c r="G79" s="2"/>
    </row>
    <row r="80" spans="1:7" x14ac:dyDescent="0.25">
      <c r="A80" s="2"/>
      <c r="B80" s="3"/>
      <c r="C80" s="51"/>
      <c r="D80" s="29"/>
      <c r="E80" s="30"/>
      <c r="F80" s="3"/>
      <c r="G80" s="2"/>
    </row>
    <row r="81" spans="1:7" x14ac:dyDescent="0.25">
      <c r="A81" s="2"/>
      <c r="B81" s="3"/>
      <c r="C81" s="51"/>
      <c r="D81" s="29"/>
      <c r="E81" s="30"/>
      <c r="F81" s="3"/>
      <c r="G81" s="2"/>
    </row>
    <row r="82" spans="1:7" x14ac:dyDescent="0.25">
      <c r="A82" s="2"/>
      <c r="B82" s="3"/>
      <c r="C82" s="51"/>
      <c r="D82" s="29"/>
      <c r="E82" s="30"/>
      <c r="F82" s="3"/>
      <c r="G82" s="2"/>
    </row>
    <row r="83" spans="1:7" x14ac:dyDescent="0.25">
      <c r="A83" s="2"/>
      <c r="B83" s="3"/>
      <c r="C83" s="51"/>
      <c r="D83" s="29"/>
      <c r="E83" s="30"/>
      <c r="F83" s="3"/>
      <c r="G83" s="2"/>
    </row>
  </sheetData>
  <sortState ref="A8:G22">
    <sortCondition descending="1" ref="D8:D22"/>
  </sortState>
  <phoneticPr fontId="0" type="noConversion"/>
  <printOptions horizontalCentered="1"/>
  <pageMargins left="0.75" right="0.75" top="1" bottom="1" header="0.5" footer="0.5"/>
  <pageSetup orientation="portrait" horizontalDpi="200" verticalDpi="200" r:id="rId1"/>
  <headerFooter alignWithMargins="0">
    <oddHeader>&amp;L&amp;"Tahoma,Bold"&amp;11U.S. Biathlon Association&amp;R&amp;"Tahoma,Bold"&amp;11 2018 Race Points</oddHeader>
    <oddFooter>&amp;R&amp;"Tahoma,Regular"Page &amp;P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1"/>
  <sheetViews>
    <sheetView workbookViewId="0">
      <selection activeCell="H11" sqref="H1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11" x14ac:dyDescent="0.25">
      <c r="A1" s="16" t="s">
        <v>22</v>
      </c>
      <c r="B1" s="17" t="s">
        <v>1348</v>
      </c>
      <c r="C1" s="18"/>
      <c r="D1" s="18"/>
      <c r="E1" s="18"/>
      <c r="F1" s="18"/>
      <c r="G1" s="19"/>
    </row>
    <row r="2" spans="1:11" x14ac:dyDescent="0.25">
      <c r="A2" s="20" t="s">
        <v>23</v>
      </c>
      <c r="B2" s="21">
        <v>43169</v>
      </c>
      <c r="C2" s="22"/>
      <c r="D2" s="22"/>
      <c r="E2" s="22"/>
      <c r="F2" s="22"/>
      <c r="G2" s="23"/>
    </row>
    <row r="3" spans="1:11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11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11" x14ac:dyDescent="0.25">
      <c r="A5" s="20" t="s">
        <v>27</v>
      </c>
      <c r="B5" s="24" t="s">
        <v>967</v>
      </c>
      <c r="C5" s="22"/>
      <c r="D5" s="22"/>
      <c r="E5" s="22" t="s">
        <v>55</v>
      </c>
      <c r="F5" s="38">
        <f>AVERAGE(C8:C12)*(AVERAGE(D8:D12)/100)</f>
        <v>1.0167024091469553E-2</v>
      </c>
      <c r="G5" s="23"/>
    </row>
    <row r="6" spans="1:11" x14ac:dyDescent="0.25">
      <c r="A6" s="25" t="s">
        <v>29</v>
      </c>
      <c r="B6" s="26"/>
      <c r="C6" s="26"/>
      <c r="D6" s="26"/>
      <c r="E6" s="26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11" x14ac:dyDescent="0.25">
      <c r="A8" s="2">
        <v>2</v>
      </c>
      <c r="B8" s="3" t="s">
        <v>785</v>
      </c>
      <c r="C8" s="51">
        <v>1.8935185185185183E-2</v>
      </c>
      <c r="D8" s="29">
        <f>INDEX('Points Summary'!$F$4:$F$1143,G8)</f>
        <v>61.405976272712444</v>
      </c>
      <c r="E8" s="124">
        <f t="shared" ref="E8:E17" si="0">(AVERAGE($D$8:$D$12)/100*AVERAGE($C$8:$C$12))/C8</f>
        <v>0.53693819162773193</v>
      </c>
      <c r="F8" s="3"/>
      <c r="G8" s="2">
        <f>MATCH(B8,'Points Summary'!$B$4:$B$1144,0)</f>
        <v>430</v>
      </c>
      <c r="H8" s="196"/>
      <c r="I8" s="197"/>
      <c r="J8" s="28"/>
      <c r="K8" s="28"/>
    </row>
    <row r="9" spans="1:11" x14ac:dyDescent="0.25">
      <c r="A9" s="2">
        <v>6</v>
      </c>
      <c r="B9" s="3" t="s">
        <v>784</v>
      </c>
      <c r="C9" s="51">
        <v>2.1387731481481483E-2</v>
      </c>
      <c r="D9" s="29">
        <f>INDEX('Points Summary'!$F$4:$F$1143,G9)</f>
        <v>48.676270052437225</v>
      </c>
      <c r="E9" s="124">
        <f t="shared" si="0"/>
        <v>0.47536710942311233</v>
      </c>
      <c r="F9" s="3"/>
      <c r="G9" s="2">
        <f>MATCH(B9,'Points Summary'!$B$4:$B$1144,0)</f>
        <v>338</v>
      </c>
      <c r="H9" s="196"/>
      <c r="I9" s="197"/>
    </row>
    <row r="10" spans="1:11" x14ac:dyDescent="0.25">
      <c r="A10" s="2">
        <v>8</v>
      </c>
      <c r="B10" s="3" t="s">
        <v>1345</v>
      </c>
      <c r="C10" s="51">
        <v>2.3033564814814819E-2</v>
      </c>
      <c r="D10" s="29">
        <f>INDEX('Points Summary'!$F$4:$F$1143,G10)</f>
        <v>48.414196577914218</v>
      </c>
      <c r="E10" s="124">
        <f t="shared" si="0"/>
        <v>0.44140037259583398</v>
      </c>
      <c r="F10" s="3"/>
      <c r="G10" s="2">
        <f>MATCH(B10,'Points Summary'!$B$4:$B$1144,0)</f>
        <v>406</v>
      </c>
      <c r="H10" s="196"/>
      <c r="I10" s="197"/>
      <c r="J10" s="28"/>
      <c r="K10" s="28"/>
    </row>
    <row r="11" spans="1:11" x14ac:dyDescent="0.25">
      <c r="A11" s="2">
        <v>1</v>
      </c>
      <c r="B11" s="3" t="s">
        <v>971</v>
      </c>
      <c r="C11" s="51">
        <v>1.6495370370370372E-2</v>
      </c>
      <c r="D11" s="29">
        <f>INDEX('Points Summary'!$F$4:$F$1143,G11)</f>
        <v>46.260700403476264</v>
      </c>
      <c r="E11" s="124">
        <f t="shared" si="0"/>
        <v>0.61635621772591165</v>
      </c>
      <c r="F11" s="3"/>
      <c r="G11" s="2">
        <f>MATCH(B11,'Points Summary'!$B$4:$B$1144,0)</f>
        <v>101</v>
      </c>
      <c r="H11" s="196"/>
      <c r="I11" s="197"/>
      <c r="J11" s="28"/>
      <c r="K11" s="28"/>
    </row>
    <row r="12" spans="1:11" x14ac:dyDescent="0.25">
      <c r="A12" s="2">
        <v>7</v>
      </c>
      <c r="B12" s="3" t="s">
        <v>758</v>
      </c>
      <c r="C12" s="51">
        <v>2.1548611111111112E-2</v>
      </c>
      <c r="D12" s="29">
        <f>INDEX('Points Summary'!$F$4:$F$1143,G12)</f>
        <v>45.907986673761499</v>
      </c>
      <c r="E12" s="124">
        <f t="shared" si="0"/>
        <v>0.47181806934309234</v>
      </c>
      <c r="F12" s="3"/>
      <c r="G12" s="2">
        <f>MATCH(B12,'Points Summary'!$B$4:$B$1144,0)</f>
        <v>370</v>
      </c>
      <c r="H12" s="196"/>
      <c r="I12" s="197"/>
      <c r="J12" s="28"/>
      <c r="K12" s="28"/>
    </row>
    <row r="13" spans="1:11" x14ac:dyDescent="0.25">
      <c r="A13" s="2">
        <v>3</v>
      </c>
      <c r="B13" s="3" t="s">
        <v>1349</v>
      </c>
      <c r="C13" s="51">
        <v>1.7974537037037035E-2</v>
      </c>
      <c r="D13" s="29">
        <f>INDEX('Points Summary'!$F$4:$F$1143,G13)</f>
        <v>0</v>
      </c>
      <c r="E13" s="124">
        <f t="shared" si="0"/>
        <v>0.56563482389115871</v>
      </c>
      <c r="F13" s="3"/>
      <c r="G13" s="2">
        <f>MATCH(B13,'Points Summary'!$B$4:$B$1144,0)</f>
        <v>132</v>
      </c>
      <c r="H13" s="196"/>
      <c r="I13" s="197"/>
      <c r="J13" s="28"/>
      <c r="K13" s="28"/>
    </row>
    <row r="14" spans="1:11" x14ac:dyDescent="0.25">
      <c r="A14" s="2">
        <v>4</v>
      </c>
      <c r="B14" s="3" t="s">
        <v>1350</v>
      </c>
      <c r="C14" s="51">
        <v>1.9738425925925927E-2</v>
      </c>
      <c r="D14" s="29">
        <f>INDEX('Points Summary'!$F$4:$F$1143,G14)</f>
        <v>0</v>
      </c>
      <c r="E14" s="124">
        <f t="shared" si="0"/>
        <v>0.51508788642134939</v>
      </c>
      <c r="F14" s="3"/>
      <c r="G14" s="2">
        <f>MATCH(B14,'Points Summary'!$B$4:$B$1144,0)</f>
        <v>360</v>
      </c>
      <c r="H14" s="196"/>
      <c r="I14" s="197"/>
      <c r="J14" s="28"/>
      <c r="K14" s="28"/>
    </row>
    <row r="15" spans="1:11" x14ac:dyDescent="0.25">
      <c r="A15" s="2">
        <v>5</v>
      </c>
      <c r="B15" s="3" t="s">
        <v>1343</v>
      </c>
      <c r="C15" s="51">
        <v>2.0478009259259258E-2</v>
      </c>
      <c r="D15" s="29">
        <f>INDEX('Points Summary'!$F$4:$F$1143,G15)</f>
        <v>0</v>
      </c>
      <c r="E15" s="124">
        <f t="shared" si="0"/>
        <v>0.49648498361101528</v>
      </c>
      <c r="F15" s="3"/>
      <c r="G15" s="2">
        <f>MATCH(B15,'Points Summary'!$B$4:$B$1144,0)</f>
        <v>141</v>
      </c>
      <c r="H15" s="196"/>
      <c r="I15" s="197"/>
      <c r="J15" s="28"/>
      <c r="K15" s="28"/>
    </row>
    <row r="16" spans="1:11" x14ac:dyDescent="0.25">
      <c r="A16" s="2">
        <v>9</v>
      </c>
      <c r="B16" s="3" t="s">
        <v>1339</v>
      </c>
      <c r="C16" s="51">
        <v>2.6350694444444444E-2</v>
      </c>
      <c r="D16" s="29">
        <f>INDEX('Points Summary'!$F$4:$F$1143,G16)</f>
        <v>0</v>
      </c>
      <c r="E16" s="124">
        <f t="shared" si="0"/>
        <v>0.38583514802256308</v>
      </c>
      <c r="F16" s="3"/>
      <c r="G16" s="2">
        <f>MATCH(B16,'Points Summary'!$B$4:$B$1144,0)</f>
        <v>401</v>
      </c>
      <c r="H16" s="196"/>
      <c r="I16" s="197"/>
      <c r="J16" s="28"/>
      <c r="K16" s="28"/>
    </row>
    <row r="17" spans="1:11" x14ac:dyDescent="0.25">
      <c r="A17" s="2">
        <v>10</v>
      </c>
      <c r="B17" s="145" t="s">
        <v>990</v>
      </c>
      <c r="C17" s="51">
        <v>2.7824074074074074E-2</v>
      </c>
      <c r="D17" s="29">
        <f>INDEX('Points Summary'!$F$4:$F$1143,G17)</f>
        <v>0</v>
      </c>
      <c r="E17" s="124">
        <f t="shared" si="0"/>
        <v>0.36540386085814031</v>
      </c>
      <c r="F17" s="3"/>
      <c r="G17" s="2">
        <f>MATCH(B17,'Points Summary'!$B$4:$B$1144,0)</f>
        <v>345</v>
      </c>
      <c r="H17" s="196"/>
      <c r="I17" s="197"/>
      <c r="J17" s="28"/>
      <c r="K17" s="28"/>
    </row>
    <row r="18" spans="1:11" x14ac:dyDescent="0.25">
      <c r="A18" s="2"/>
      <c r="B18" s="3"/>
      <c r="C18" s="51"/>
      <c r="D18" s="29"/>
      <c r="E18" s="124"/>
      <c r="F18" s="3"/>
      <c r="G18" s="2"/>
      <c r="J18" s="28"/>
      <c r="K18" s="28"/>
    </row>
    <row r="19" spans="1:11" x14ac:dyDescent="0.25">
      <c r="A19" s="2"/>
      <c r="B19" s="3"/>
      <c r="C19" s="51"/>
      <c r="D19" s="29"/>
      <c r="E19" s="124"/>
      <c r="F19" s="3"/>
      <c r="G19" s="2"/>
      <c r="J19" s="28"/>
      <c r="K19" s="28"/>
    </row>
    <row r="20" spans="1:11" x14ac:dyDescent="0.25">
      <c r="A20" s="2"/>
      <c r="B20" s="3"/>
      <c r="C20" s="51"/>
      <c r="D20" s="29"/>
      <c r="E20" s="124"/>
      <c r="F20" s="3"/>
      <c r="G20" s="2"/>
      <c r="J20" s="28"/>
      <c r="K20" s="28"/>
    </row>
    <row r="21" spans="1:11" x14ac:dyDescent="0.25">
      <c r="A21" s="2"/>
      <c r="B21" s="3"/>
      <c r="C21" s="51"/>
      <c r="D21" s="29"/>
      <c r="E21" s="124"/>
      <c r="F21" s="3"/>
      <c r="G21" s="2"/>
      <c r="J21" s="28"/>
      <c r="K21" s="28"/>
    </row>
    <row r="22" spans="1:11" x14ac:dyDescent="0.25">
      <c r="A22" s="2"/>
      <c r="B22" s="3"/>
      <c r="C22" s="51"/>
      <c r="D22" s="29"/>
      <c r="E22" s="124"/>
      <c r="F22" s="3"/>
      <c r="G22" s="2"/>
      <c r="J22" s="28"/>
      <c r="K22" s="28"/>
    </row>
    <row r="23" spans="1:11" x14ac:dyDescent="0.25">
      <c r="A23" s="2"/>
      <c r="B23" s="3"/>
      <c r="C23" s="51"/>
      <c r="D23" s="29"/>
      <c r="E23" s="124"/>
      <c r="F23" s="3"/>
      <c r="G23" s="2"/>
      <c r="J23" s="28"/>
      <c r="K23" s="28"/>
    </row>
    <row r="24" spans="1:11" x14ac:dyDescent="0.25">
      <c r="A24" s="2"/>
      <c r="B24" s="3"/>
      <c r="C24" s="51"/>
      <c r="D24" s="29"/>
      <c r="E24" s="124"/>
      <c r="F24" s="3"/>
      <c r="G24" s="2"/>
      <c r="J24" s="28"/>
      <c r="K24" s="28"/>
    </row>
    <row r="25" spans="1:11" x14ac:dyDescent="0.25">
      <c r="A25" s="2"/>
      <c r="B25" s="3"/>
      <c r="C25" s="51"/>
      <c r="D25" s="29"/>
      <c r="E25" s="124"/>
      <c r="F25" s="3"/>
      <c r="G25" s="2"/>
      <c r="J25" s="28"/>
      <c r="K25" s="28"/>
    </row>
    <row r="26" spans="1:11" x14ac:dyDescent="0.25">
      <c r="A26" s="2"/>
      <c r="B26" s="3"/>
      <c r="C26" s="51"/>
      <c r="D26" s="29"/>
      <c r="E26" s="124"/>
      <c r="F26" s="3"/>
      <c r="G26" s="2"/>
      <c r="J26" s="28"/>
      <c r="K26" s="28"/>
    </row>
    <row r="27" spans="1:11" x14ac:dyDescent="0.25">
      <c r="A27" s="2"/>
      <c r="B27" s="3"/>
      <c r="C27" s="51"/>
      <c r="D27" s="29"/>
      <c r="E27" s="124"/>
      <c r="F27" s="3"/>
      <c r="G27" s="2"/>
    </row>
    <row r="28" spans="1:11" x14ac:dyDescent="0.25">
      <c r="A28" s="2"/>
      <c r="B28" s="3"/>
      <c r="C28" s="51"/>
      <c r="D28" s="29"/>
      <c r="E28" s="124"/>
      <c r="F28" s="3"/>
      <c r="G28" s="2"/>
    </row>
    <row r="29" spans="1:11" x14ac:dyDescent="0.25">
      <c r="A29" s="2"/>
      <c r="B29" s="3"/>
      <c r="C29" s="51"/>
      <c r="D29" s="29"/>
      <c r="E29" s="124"/>
      <c r="F29" s="3"/>
      <c r="G29" s="2"/>
    </row>
    <row r="30" spans="1:11" x14ac:dyDescent="0.25">
      <c r="A30" s="2"/>
      <c r="B30" s="3"/>
      <c r="C30" s="51"/>
      <c r="D30" s="29"/>
      <c r="E30" s="124"/>
      <c r="F30" s="3"/>
      <c r="G30" s="2"/>
    </row>
    <row r="31" spans="1:11" x14ac:dyDescent="0.25">
      <c r="A31" s="2"/>
      <c r="B31" s="3"/>
      <c r="C31" s="51"/>
      <c r="D31" s="29"/>
      <c r="E31" s="124"/>
      <c r="F31" s="3"/>
      <c r="G31" s="2"/>
    </row>
    <row r="32" spans="1:11" x14ac:dyDescent="0.25">
      <c r="A32" s="2"/>
      <c r="B32" s="3"/>
      <c r="C32" s="51"/>
      <c r="D32" s="29"/>
      <c r="E32" s="124"/>
      <c r="F32" s="3"/>
      <c r="G32" s="2"/>
    </row>
    <row r="33" spans="1:7" x14ac:dyDescent="0.25">
      <c r="A33" s="2"/>
      <c r="B33" s="3"/>
      <c r="C33" s="51"/>
      <c r="D33" s="29"/>
      <c r="E33" s="124"/>
      <c r="F33" s="3"/>
      <c r="G33" s="2"/>
    </row>
    <row r="34" spans="1:7" x14ac:dyDescent="0.25">
      <c r="A34" s="2"/>
      <c r="B34" s="3"/>
      <c r="C34" s="51"/>
      <c r="D34" s="29"/>
      <c r="E34" s="124"/>
      <c r="F34" s="3"/>
      <c r="G34" s="2"/>
    </row>
    <row r="35" spans="1:7" x14ac:dyDescent="0.25">
      <c r="A35" s="2"/>
      <c r="B35" s="3"/>
      <c r="C35" s="51"/>
      <c r="D35" s="29"/>
      <c r="E35" s="124"/>
      <c r="F35" s="3"/>
      <c r="G35" s="2"/>
    </row>
    <row r="36" spans="1:7" x14ac:dyDescent="0.25">
      <c r="A36" s="2"/>
      <c r="B36" s="3"/>
      <c r="C36" s="51"/>
      <c r="D36" s="29"/>
      <c r="E36" s="124"/>
      <c r="F36" s="3"/>
      <c r="G36" s="2"/>
    </row>
    <row r="37" spans="1:7" x14ac:dyDescent="0.25">
      <c r="A37" s="2"/>
      <c r="B37" s="3"/>
      <c r="C37" s="51"/>
      <c r="D37" s="29"/>
      <c r="E37" s="124"/>
      <c r="F37" s="3"/>
      <c r="G37" s="2"/>
    </row>
    <row r="38" spans="1:7" x14ac:dyDescent="0.25">
      <c r="A38" s="2"/>
      <c r="B38" s="3"/>
      <c r="C38" s="51"/>
      <c r="D38" s="29"/>
      <c r="E38" s="124"/>
      <c r="F38" s="3"/>
      <c r="G38" s="2"/>
    </row>
    <row r="39" spans="1:7" x14ac:dyDescent="0.25">
      <c r="A39" s="2"/>
      <c r="B39" s="3"/>
      <c r="C39" s="51"/>
      <c r="D39" s="29"/>
      <c r="E39" s="124"/>
      <c r="F39" s="3"/>
      <c r="G39" s="2"/>
    </row>
    <row r="40" spans="1:7" x14ac:dyDescent="0.25">
      <c r="A40" s="2"/>
      <c r="B40" s="3"/>
      <c r="C40" s="51"/>
      <c r="D40" s="29"/>
      <c r="E40" s="124"/>
      <c r="F40" s="3"/>
      <c r="G40" s="2"/>
    </row>
    <row r="41" spans="1:7" x14ac:dyDescent="0.25">
      <c r="A41" s="2"/>
      <c r="B41" s="3"/>
      <c r="C41" s="51"/>
      <c r="D41" s="29"/>
      <c r="E41" s="124"/>
      <c r="F41" s="3"/>
      <c r="G41" s="2"/>
    </row>
    <row r="42" spans="1:7" x14ac:dyDescent="0.25">
      <c r="A42" s="2"/>
      <c r="B42" s="3"/>
      <c r="C42" s="51"/>
      <c r="D42" s="29"/>
      <c r="E42" s="124"/>
      <c r="F42" s="3"/>
      <c r="G42" s="2"/>
    </row>
    <row r="43" spans="1:7" x14ac:dyDescent="0.25">
      <c r="A43" s="2"/>
      <c r="B43" s="3"/>
      <c r="C43" s="51"/>
      <c r="D43" s="29"/>
      <c r="E43" s="124"/>
      <c r="F43" s="3"/>
      <c r="G43" s="2"/>
    </row>
    <row r="44" spans="1:7" x14ac:dyDescent="0.25">
      <c r="A44" s="2"/>
      <c r="B44" s="3"/>
      <c r="C44" s="51"/>
      <c r="D44" s="29"/>
      <c r="E44" s="124"/>
      <c r="F44" s="3"/>
      <c r="G44" s="2"/>
    </row>
    <row r="45" spans="1:7" x14ac:dyDescent="0.25">
      <c r="A45" s="2"/>
      <c r="B45" s="3"/>
      <c r="C45" s="51"/>
      <c r="D45" s="29"/>
      <c r="E45" s="124"/>
      <c r="F45" s="3"/>
      <c r="G45" s="2"/>
    </row>
    <row r="46" spans="1:7" x14ac:dyDescent="0.25">
      <c r="A46" s="2"/>
      <c r="B46" s="3"/>
      <c r="C46" s="51"/>
      <c r="D46" s="29"/>
      <c r="E46" s="124"/>
      <c r="F46" s="3"/>
      <c r="G46" s="2"/>
    </row>
    <row r="47" spans="1:7" x14ac:dyDescent="0.25">
      <c r="A47" s="2"/>
      <c r="B47" s="3"/>
      <c r="C47" s="51"/>
      <c r="D47" s="29"/>
      <c r="E47" s="124"/>
      <c r="F47" s="3"/>
      <c r="G47" s="2"/>
    </row>
    <row r="48" spans="1:7" x14ac:dyDescent="0.25">
      <c r="A48" s="2"/>
      <c r="B48" s="3"/>
      <c r="C48" s="51"/>
      <c r="D48" s="29"/>
      <c r="E48" s="124"/>
      <c r="F48" s="3"/>
      <c r="G48" s="2"/>
    </row>
    <row r="49" spans="1:7" x14ac:dyDescent="0.25">
      <c r="A49" s="2"/>
      <c r="B49" s="3"/>
      <c r="C49" s="51"/>
      <c r="D49" s="29"/>
      <c r="E49" s="124"/>
      <c r="F49" s="3"/>
      <c r="G49" s="2"/>
    </row>
    <row r="50" spans="1:7" x14ac:dyDescent="0.25">
      <c r="A50" s="2"/>
      <c r="B50" s="3"/>
      <c r="C50" s="51"/>
      <c r="D50" s="29"/>
      <c r="E50" s="124"/>
      <c r="F50" s="3"/>
      <c r="G50" s="2"/>
    </row>
    <row r="51" spans="1:7" x14ac:dyDescent="0.25">
      <c r="A51" s="2"/>
      <c r="B51" s="3"/>
      <c r="C51" s="51"/>
      <c r="D51" s="29"/>
      <c r="E51" s="124"/>
      <c r="F51" s="3"/>
      <c r="G51" s="2"/>
    </row>
    <row r="52" spans="1:7" x14ac:dyDescent="0.25">
      <c r="A52" s="2"/>
      <c r="B52" s="3"/>
      <c r="C52" s="51"/>
      <c r="D52" s="29"/>
      <c r="E52" s="124"/>
      <c r="F52" s="3"/>
      <c r="G52" s="2"/>
    </row>
    <row r="53" spans="1:7" x14ac:dyDescent="0.25">
      <c r="A53" s="2"/>
      <c r="B53" s="3"/>
      <c r="C53" s="51"/>
      <c r="D53" s="29"/>
      <c r="E53" s="124"/>
      <c r="F53" s="3"/>
      <c r="G53" s="2"/>
    </row>
    <row r="54" spans="1:7" x14ac:dyDescent="0.25">
      <c r="A54" s="2"/>
      <c r="B54" s="3"/>
      <c r="C54" s="51"/>
      <c r="D54" s="29"/>
      <c r="E54" s="124"/>
      <c r="F54" s="3"/>
      <c r="G54" s="2"/>
    </row>
    <row r="55" spans="1:7" x14ac:dyDescent="0.25">
      <c r="A55" s="2"/>
      <c r="B55" s="3"/>
      <c r="C55" s="51"/>
      <c r="D55" s="29"/>
      <c r="E55" s="124"/>
      <c r="F55" s="3"/>
      <c r="G55" s="2"/>
    </row>
    <row r="56" spans="1:7" x14ac:dyDescent="0.25">
      <c r="A56" s="2"/>
      <c r="B56" s="3"/>
      <c r="C56" s="51"/>
      <c r="D56" s="29"/>
      <c r="E56" s="124"/>
      <c r="F56" s="3"/>
      <c r="G56" s="2"/>
    </row>
    <row r="57" spans="1:7" x14ac:dyDescent="0.25">
      <c r="A57" s="2"/>
      <c r="B57" s="3"/>
      <c r="C57" s="51"/>
      <c r="D57" s="29"/>
      <c r="E57" s="124"/>
      <c r="F57" s="3"/>
      <c r="G57" s="2"/>
    </row>
    <row r="58" spans="1:7" x14ac:dyDescent="0.25">
      <c r="A58" s="2"/>
      <c r="B58" s="3"/>
      <c r="C58" s="51"/>
      <c r="D58" s="29"/>
      <c r="E58" s="124"/>
      <c r="F58" s="3"/>
      <c r="G58" s="2"/>
    </row>
    <row r="59" spans="1:7" x14ac:dyDescent="0.25">
      <c r="A59" s="2"/>
      <c r="B59" s="3"/>
      <c r="C59" s="51"/>
      <c r="D59" s="29"/>
      <c r="E59" s="124"/>
      <c r="F59" s="3"/>
      <c r="G59" s="2"/>
    </row>
    <row r="60" spans="1:7" x14ac:dyDescent="0.25">
      <c r="A60" s="2"/>
      <c r="B60" s="3"/>
      <c r="C60" s="51"/>
      <c r="D60" s="29"/>
      <c r="E60" s="124"/>
      <c r="F60" s="3"/>
      <c r="G60" s="2"/>
    </row>
    <row r="61" spans="1:7" x14ac:dyDescent="0.25">
      <c r="A61" s="2"/>
      <c r="B61" s="3"/>
      <c r="C61" s="51"/>
      <c r="D61" s="29"/>
      <c r="E61" s="124"/>
      <c r="F61" s="3"/>
      <c r="G61" s="2"/>
    </row>
    <row r="62" spans="1:7" x14ac:dyDescent="0.25">
      <c r="A62" s="2"/>
      <c r="B62" s="3"/>
      <c r="C62" s="51"/>
      <c r="D62" s="29"/>
      <c r="E62" s="124"/>
      <c r="F62" s="3"/>
      <c r="G62" s="2"/>
    </row>
    <row r="63" spans="1:7" x14ac:dyDescent="0.25">
      <c r="A63" s="2"/>
      <c r="B63" s="3"/>
      <c r="C63" s="51"/>
      <c r="D63" s="29"/>
      <c r="E63" s="124"/>
      <c r="F63" s="3"/>
      <c r="G63" s="2"/>
    </row>
    <row r="64" spans="1:7" x14ac:dyDescent="0.25">
      <c r="A64" s="2"/>
      <c r="B64" s="3"/>
      <c r="C64" s="51"/>
      <c r="D64" s="29"/>
      <c r="E64" s="124"/>
      <c r="F64" s="3"/>
      <c r="G64" s="2"/>
    </row>
    <row r="65" spans="1:7" x14ac:dyDescent="0.25">
      <c r="A65" s="2"/>
      <c r="B65" s="3"/>
      <c r="C65" s="51"/>
      <c r="D65" s="29"/>
      <c r="E65" s="124"/>
      <c r="F65" s="3"/>
      <c r="G65" s="2"/>
    </row>
    <row r="66" spans="1:7" x14ac:dyDescent="0.25">
      <c r="A66" s="2"/>
      <c r="B66" s="3"/>
      <c r="C66" s="51"/>
      <c r="D66" s="29"/>
      <c r="E66" s="124"/>
      <c r="F66" s="3"/>
      <c r="G66" s="2"/>
    </row>
    <row r="67" spans="1:7" x14ac:dyDescent="0.25">
      <c r="A67" s="2"/>
      <c r="B67" s="3"/>
      <c r="C67" s="51"/>
      <c r="D67" s="29"/>
      <c r="E67" s="124"/>
      <c r="F67" s="3"/>
      <c r="G67" s="2"/>
    </row>
    <row r="68" spans="1:7" x14ac:dyDescent="0.25">
      <c r="A68" s="2"/>
      <c r="B68" s="3"/>
      <c r="C68" s="51"/>
      <c r="D68" s="29"/>
      <c r="E68" s="124"/>
      <c r="F68" s="3"/>
      <c r="G68" s="2"/>
    </row>
    <row r="69" spans="1:7" x14ac:dyDescent="0.25">
      <c r="A69" s="2"/>
      <c r="B69" s="3"/>
      <c r="C69" s="51"/>
      <c r="D69" s="29"/>
      <c r="E69" s="124"/>
      <c r="F69" s="3"/>
      <c r="G69" s="2"/>
    </row>
    <row r="70" spans="1:7" x14ac:dyDescent="0.25">
      <c r="A70" s="2"/>
      <c r="B70" s="3"/>
      <c r="C70" s="51"/>
      <c r="D70" s="29"/>
      <c r="E70" s="124"/>
      <c r="F70" s="3"/>
      <c r="G70" s="2"/>
    </row>
    <row r="71" spans="1:7" x14ac:dyDescent="0.25">
      <c r="A71" s="2"/>
      <c r="B71" s="3"/>
      <c r="C71" s="51"/>
      <c r="D71" s="29"/>
      <c r="E71" s="124"/>
      <c r="F71" s="3"/>
      <c r="G71" s="2"/>
    </row>
    <row r="72" spans="1:7" x14ac:dyDescent="0.25">
      <c r="A72" s="2"/>
      <c r="B72" s="3"/>
      <c r="C72" s="51"/>
      <c r="D72" s="29"/>
      <c r="E72" s="124"/>
      <c r="F72" s="3"/>
      <c r="G72" s="2"/>
    </row>
    <row r="73" spans="1:7" x14ac:dyDescent="0.25">
      <c r="A73" s="2"/>
      <c r="B73" s="3"/>
      <c r="C73" s="51"/>
      <c r="D73" s="29"/>
      <c r="E73" s="124"/>
      <c r="F73" s="3"/>
      <c r="G73" s="2"/>
    </row>
    <row r="74" spans="1:7" x14ac:dyDescent="0.25">
      <c r="A74" s="2"/>
      <c r="B74" s="3"/>
      <c r="C74" s="51"/>
      <c r="D74" s="29"/>
      <c r="E74" s="124"/>
      <c r="F74" s="3"/>
      <c r="G74" s="2"/>
    </row>
    <row r="75" spans="1:7" x14ac:dyDescent="0.25">
      <c r="A75" s="2"/>
      <c r="B75" s="3"/>
      <c r="C75" s="51"/>
      <c r="D75" s="29"/>
      <c r="E75" s="124"/>
      <c r="F75" s="3"/>
      <c r="G75" s="2"/>
    </row>
    <row r="76" spans="1:7" x14ac:dyDescent="0.25">
      <c r="A76" s="2"/>
      <c r="B76" s="3"/>
      <c r="C76" s="51"/>
      <c r="D76" s="29"/>
      <c r="E76" s="124"/>
      <c r="F76" s="3"/>
      <c r="G76" s="2"/>
    </row>
    <row r="77" spans="1:7" x14ac:dyDescent="0.25">
      <c r="A77" s="2"/>
      <c r="B77" s="3"/>
      <c r="C77" s="51"/>
      <c r="D77" s="29"/>
      <c r="E77" s="124"/>
      <c r="F77" s="3"/>
      <c r="G77" s="2"/>
    </row>
    <row r="78" spans="1:7" x14ac:dyDescent="0.25">
      <c r="A78" s="2"/>
      <c r="B78" s="3"/>
      <c r="C78" s="51"/>
      <c r="D78" s="29"/>
      <c r="E78" s="124"/>
      <c r="F78" s="3"/>
      <c r="G78" s="2"/>
    </row>
    <row r="79" spans="1:7" x14ac:dyDescent="0.25">
      <c r="A79" s="2"/>
      <c r="B79" s="3"/>
      <c r="C79" s="51"/>
      <c r="D79" s="29"/>
      <c r="E79" s="124"/>
      <c r="F79" s="3"/>
      <c r="G79" s="2"/>
    </row>
    <row r="80" spans="1:7" x14ac:dyDescent="0.25">
      <c r="A80" s="2"/>
      <c r="B80" s="3"/>
      <c r="C80" s="51"/>
      <c r="D80" s="29"/>
      <c r="E80" s="124"/>
      <c r="F80" s="3"/>
      <c r="G80" s="2"/>
    </row>
    <row r="81" spans="1:7" x14ac:dyDescent="0.25">
      <c r="A81" s="2"/>
      <c r="B81" s="3"/>
      <c r="C81" s="51"/>
      <c r="D81" s="29"/>
      <c r="E81" s="124"/>
      <c r="F81" s="3"/>
      <c r="G81" s="2"/>
    </row>
    <row r="82" spans="1:7" x14ac:dyDescent="0.25">
      <c r="A82" s="2"/>
      <c r="B82" s="3"/>
      <c r="C82" s="51"/>
      <c r="D82" s="29"/>
      <c r="E82" s="124"/>
      <c r="F82" s="3"/>
      <c r="G82" s="2"/>
    </row>
    <row r="83" spans="1:7" x14ac:dyDescent="0.25">
      <c r="A83" s="2"/>
      <c r="B83" s="3"/>
      <c r="C83" s="51"/>
      <c r="D83" s="29"/>
      <c r="E83" s="124"/>
      <c r="F83" s="3"/>
      <c r="G83" s="2"/>
    </row>
    <row r="84" spans="1:7" x14ac:dyDescent="0.25">
      <c r="A84" s="2"/>
      <c r="B84" s="3"/>
      <c r="C84" s="51"/>
      <c r="D84" s="29"/>
      <c r="E84" s="124"/>
      <c r="F84" s="3"/>
      <c r="G84" s="2"/>
    </row>
    <row r="85" spans="1:7" x14ac:dyDescent="0.25">
      <c r="A85" s="2"/>
      <c r="B85" s="3"/>
      <c r="C85" s="51"/>
      <c r="D85" s="29"/>
      <c r="E85" s="124"/>
      <c r="F85" s="3"/>
      <c r="G85" s="2"/>
    </row>
    <row r="86" spans="1:7" x14ac:dyDescent="0.25">
      <c r="B86" s="3"/>
    </row>
    <row r="87" spans="1:7" x14ac:dyDescent="0.25">
      <c r="B87" s="3"/>
    </row>
    <row r="88" spans="1:7" x14ac:dyDescent="0.25">
      <c r="B88" s="3"/>
    </row>
    <row r="89" spans="1:7" x14ac:dyDescent="0.25">
      <c r="B89" s="3"/>
    </row>
    <row r="90" spans="1:7" x14ac:dyDescent="0.25">
      <c r="B90" s="3"/>
    </row>
    <row r="91" spans="1:7" x14ac:dyDescent="0.25">
      <c r="B91" s="3"/>
    </row>
    <row r="92" spans="1:7" x14ac:dyDescent="0.25">
      <c r="B92" s="3"/>
    </row>
    <row r="93" spans="1:7" x14ac:dyDescent="0.25">
      <c r="B93" s="3"/>
    </row>
    <row r="94" spans="1:7" x14ac:dyDescent="0.25">
      <c r="B94" s="3"/>
    </row>
    <row r="95" spans="1:7" x14ac:dyDescent="0.25">
      <c r="B95" s="3"/>
    </row>
    <row r="96" spans="1:7" x14ac:dyDescent="0.25">
      <c r="B96" s="3"/>
    </row>
    <row r="97" spans="2:2" x14ac:dyDescent="0.25">
      <c r="B97" s="3"/>
    </row>
    <row r="98" spans="2:2" x14ac:dyDescent="0.25">
      <c r="B98" s="3"/>
    </row>
    <row r="99" spans="2:2" x14ac:dyDescent="0.25">
      <c r="B99" s="3"/>
    </row>
    <row r="100" spans="2:2" x14ac:dyDescent="0.25">
      <c r="B100" s="3"/>
    </row>
    <row r="101" spans="2:2" x14ac:dyDescent="0.25">
      <c r="B101" s="3"/>
    </row>
    <row r="102" spans="2:2" x14ac:dyDescent="0.25">
      <c r="B102" s="3"/>
    </row>
    <row r="103" spans="2:2" x14ac:dyDescent="0.25">
      <c r="B103" s="3"/>
    </row>
    <row r="104" spans="2:2" x14ac:dyDescent="0.25">
      <c r="B104" s="3"/>
    </row>
    <row r="105" spans="2:2" x14ac:dyDescent="0.25">
      <c r="B105" s="3"/>
    </row>
    <row r="106" spans="2:2" x14ac:dyDescent="0.25">
      <c r="B106" s="3"/>
    </row>
    <row r="107" spans="2:2" x14ac:dyDescent="0.25">
      <c r="B107" s="3"/>
    </row>
    <row r="108" spans="2:2" x14ac:dyDescent="0.25">
      <c r="B108" s="3"/>
    </row>
    <row r="109" spans="2:2" x14ac:dyDescent="0.25">
      <c r="B109" s="3"/>
    </row>
    <row r="110" spans="2:2" x14ac:dyDescent="0.25">
      <c r="B110" s="3"/>
    </row>
    <row r="111" spans="2:2" x14ac:dyDescent="0.25">
      <c r="B111" s="3"/>
    </row>
    <row r="112" spans="2:2" x14ac:dyDescent="0.25">
      <c r="B112" s="3"/>
    </row>
    <row r="113" spans="2:2" x14ac:dyDescent="0.25">
      <c r="B113" s="3"/>
    </row>
    <row r="114" spans="2:2" x14ac:dyDescent="0.25">
      <c r="B114" s="3"/>
    </row>
    <row r="115" spans="2:2" x14ac:dyDescent="0.25">
      <c r="B115" s="3"/>
    </row>
    <row r="116" spans="2:2" x14ac:dyDescent="0.25">
      <c r="B116" s="3"/>
    </row>
    <row r="117" spans="2:2" x14ac:dyDescent="0.25">
      <c r="B117" s="3"/>
    </row>
    <row r="118" spans="2:2" x14ac:dyDescent="0.25">
      <c r="B118" s="3"/>
    </row>
    <row r="119" spans="2:2" x14ac:dyDescent="0.25">
      <c r="B119" s="3"/>
    </row>
    <row r="120" spans="2:2" x14ac:dyDescent="0.25">
      <c r="B120" s="3"/>
    </row>
    <row r="121" spans="2:2" x14ac:dyDescent="0.25">
      <c r="B121" s="3"/>
    </row>
    <row r="122" spans="2:2" x14ac:dyDescent="0.25">
      <c r="B122" s="3"/>
    </row>
    <row r="123" spans="2:2" x14ac:dyDescent="0.25">
      <c r="B123" s="3"/>
    </row>
    <row r="124" spans="2:2" x14ac:dyDescent="0.25">
      <c r="B124" s="3"/>
    </row>
    <row r="125" spans="2:2" x14ac:dyDescent="0.25">
      <c r="B125" s="3"/>
    </row>
    <row r="126" spans="2:2" x14ac:dyDescent="0.25">
      <c r="B126" s="3"/>
    </row>
    <row r="127" spans="2:2" x14ac:dyDescent="0.25">
      <c r="B127" s="3"/>
    </row>
    <row r="128" spans="2:2" x14ac:dyDescent="0.25">
      <c r="B128" s="3"/>
    </row>
    <row r="129" spans="2:2" x14ac:dyDescent="0.25">
      <c r="B129" s="3"/>
    </row>
    <row r="130" spans="2:2" x14ac:dyDescent="0.25">
      <c r="B130" s="3"/>
    </row>
    <row r="131" spans="2:2" x14ac:dyDescent="0.25">
      <c r="B131" s="3"/>
    </row>
    <row r="132" spans="2:2" x14ac:dyDescent="0.25">
      <c r="B132" s="3"/>
    </row>
    <row r="133" spans="2:2" x14ac:dyDescent="0.25">
      <c r="B133" s="3"/>
    </row>
    <row r="134" spans="2:2" x14ac:dyDescent="0.25">
      <c r="B134" s="3"/>
    </row>
    <row r="135" spans="2:2" x14ac:dyDescent="0.25">
      <c r="B135" s="3"/>
    </row>
    <row r="136" spans="2:2" x14ac:dyDescent="0.25">
      <c r="B136" s="3"/>
    </row>
    <row r="137" spans="2:2" x14ac:dyDescent="0.25">
      <c r="B137" s="3"/>
    </row>
    <row r="138" spans="2:2" x14ac:dyDescent="0.25">
      <c r="B138" s="3"/>
    </row>
    <row r="139" spans="2:2" x14ac:dyDescent="0.25">
      <c r="B139" s="3"/>
    </row>
    <row r="140" spans="2:2" x14ac:dyDescent="0.25">
      <c r="B140" s="3"/>
    </row>
    <row r="141" spans="2:2" x14ac:dyDescent="0.25">
      <c r="B141" s="3"/>
    </row>
  </sheetData>
  <sortState ref="A8:G17">
    <sortCondition descending="1" ref="D8:D17"/>
  </sortState>
  <phoneticPr fontId="9" type="noConversion"/>
  <printOptions horizontalCentered="1"/>
  <pageMargins left="0.75" right="0.75" top="1" bottom="1" header="0.5" footer="0.5"/>
  <pageSetup orientation="portrait" horizontalDpi="200" verticalDpi="200" r:id="rId1"/>
  <headerFooter alignWithMargins="0">
    <oddHeader>&amp;L&amp;"Tahoma,Bold"&amp;11U.S. Biathlon Association&amp;R&amp;"Tahoma,Bold"&amp;11 2018 Race Points</oddHeader>
    <oddFooter>&amp;R&amp;"Tahoma,Regular"Page &amp;P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1"/>
  <sheetViews>
    <sheetView workbookViewId="0">
      <selection activeCell="I10" sqref="I10"/>
    </sheetView>
  </sheetViews>
  <sheetFormatPr defaultRowHeight="13.2" x14ac:dyDescent="0.25"/>
  <cols>
    <col min="1" max="1" width="8.88671875" style="42"/>
    <col min="2" max="2" width="24.6640625" customWidth="1"/>
    <col min="3" max="7" width="9.6640625" customWidth="1"/>
  </cols>
  <sheetData>
    <row r="1" spans="1:12" x14ac:dyDescent="0.25">
      <c r="A1" s="210" t="s">
        <v>22</v>
      </c>
      <c r="B1" s="17" t="s">
        <v>1351</v>
      </c>
      <c r="C1" s="18"/>
      <c r="D1" s="18"/>
      <c r="E1" s="18"/>
      <c r="F1" s="18"/>
      <c r="G1" s="19"/>
    </row>
    <row r="2" spans="1:12" x14ac:dyDescent="0.25">
      <c r="A2" s="211" t="s">
        <v>23</v>
      </c>
      <c r="B2" s="21">
        <v>43170</v>
      </c>
      <c r="C2" s="22"/>
      <c r="D2" s="22"/>
      <c r="E2" s="22"/>
      <c r="F2" s="22"/>
      <c r="G2" s="23"/>
    </row>
    <row r="3" spans="1:12" x14ac:dyDescent="0.25">
      <c r="A3" s="211" t="s">
        <v>24</v>
      </c>
      <c r="B3" s="24" t="s">
        <v>421</v>
      </c>
      <c r="C3" s="22"/>
      <c r="D3" s="22"/>
      <c r="E3" s="22"/>
      <c r="F3" s="22"/>
      <c r="G3" s="23"/>
    </row>
    <row r="4" spans="1:12" x14ac:dyDescent="0.25">
      <c r="A4" s="211" t="s">
        <v>1</v>
      </c>
      <c r="B4" s="24" t="s">
        <v>26</v>
      </c>
      <c r="C4" s="22"/>
      <c r="D4" s="22"/>
      <c r="E4" s="22"/>
      <c r="F4" s="22"/>
      <c r="G4" s="23"/>
    </row>
    <row r="5" spans="1:12" x14ac:dyDescent="0.25">
      <c r="A5" s="211" t="s">
        <v>27</v>
      </c>
      <c r="B5" s="24" t="s">
        <v>967</v>
      </c>
      <c r="C5" s="22"/>
      <c r="D5" s="22"/>
      <c r="E5" s="22" t="s">
        <v>55</v>
      </c>
      <c r="F5" s="38">
        <f>AVERAGE(C8:C12)*(AVERAGE(D8:D12)/100)</f>
        <v>1.769324461912811E-2</v>
      </c>
      <c r="G5" s="23"/>
    </row>
    <row r="6" spans="1:12" x14ac:dyDescent="0.25">
      <c r="A6" s="212" t="s">
        <v>29</v>
      </c>
      <c r="B6" s="26"/>
      <c r="C6" s="26"/>
      <c r="D6" s="26"/>
      <c r="E6" s="26"/>
      <c r="F6" s="26"/>
      <c r="G6" s="27"/>
    </row>
    <row r="7" spans="1:12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  <c r="K7" s="28"/>
    </row>
    <row r="8" spans="1:12" x14ac:dyDescent="0.25">
      <c r="A8" s="2">
        <v>3</v>
      </c>
      <c r="B8" s="3" t="s">
        <v>785</v>
      </c>
      <c r="C8" s="51">
        <v>3.3212962962962965E-2</v>
      </c>
      <c r="D8" s="29">
        <f>INDEX('Points Summary'!$F$4:$F$1143,G8)</f>
        <v>61.405976272712444</v>
      </c>
      <c r="E8" s="124">
        <f t="shared" ref="E8:E15" si="0">(AVERAGE($D$8:$D$12)/100*AVERAGE($C$8:$C$12))/C8</f>
        <v>0.53272105348922105</v>
      </c>
      <c r="F8" s="3"/>
      <c r="G8" s="2">
        <f>MATCH(B8,'Points Summary'!$B$4:$B$1144,0)</f>
        <v>430</v>
      </c>
      <c r="H8" s="197"/>
      <c r="I8" s="196"/>
      <c r="J8" s="28"/>
      <c r="K8" s="28"/>
      <c r="L8" s="197"/>
    </row>
    <row r="9" spans="1:12" x14ac:dyDescent="0.25">
      <c r="A9" s="2">
        <v>7</v>
      </c>
      <c r="B9" s="3" t="s">
        <v>784</v>
      </c>
      <c r="C9" s="51">
        <v>3.9579861111111107E-2</v>
      </c>
      <c r="D9" s="29">
        <f>INDEX('Points Summary'!$F$4:$F$1143,G9)</f>
        <v>48.676270052437225</v>
      </c>
      <c r="E9" s="124">
        <f t="shared" si="0"/>
        <v>0.44702644532931801</v>
      </c>
      <c r="F9" s="3"/>
      <c r="G9" s="2">
        <f>MATCH(B9,'Points Summary'!$B$4:$B$1144,0)</f>
        <v>338</v>
      </c>
      <c r="H9" s="197"/>
      <c r="I9" s="196"/>
      <c r="J9" s="28"/>
      <c r="K9" s="28"/>
      <c r="L9" s="197"/>
    </row>
    <row r="10" spans="1:12" x14ac:dyDescent="0.25">
      <c r="A10" s="2">
        <v>6</v>
      </c>
      <c r="B10" s="3" t="s">
        <v>1345</v>
      </c>
      <c r="C10" s="51">
        <v>3.932638888888889E-2</v>
      </c>
      <c r="D10" s="29">
        <f>INDEX('Points Summary'!$F$4:$F$1143,G10)</f>
        <v>48.414196577914218</v>
      </c>
      <c r="E10" s="124">
        <f t="shared" si="0"/>
        <v>0.44990768588282676</v>
      </c>
      <c r="F10" s="3"/>
      <c r="G10" s="2">
        <f>MATCH(B10,'Points Summary'!$B$4:$B$1144,0)</f>
        <v>406</v>
      </c>
      <c r="H10" s="197"/>
      <c r="I10" s="196"/>
      <c r="J10" s="28"/>
      <c r="K10" s="28"/>
      <c r="L10" s="197"/>
    </row>
    <row r="11" spans="1:12" x14ac:dyDescent="0.25">
      <c r="A11" s="2">
        <v>1</v>
      </c>
      <c r="B11" s="3" t="s">
        <v>971</v>
      </c>
      <c r="C11" s="51">
        <v>2.6920138888888889E-2</v>
      </c>
      <c r="D11" s="29">
        <f>INDEX('Points Summary'!$F$4:$F$1143,G11)</f>
        <v>46.260700403476264</v>
      </c>
      <c r="E11" s="124">
        <f t="shared" si="0"/>
        <v>0.6572493809246609</v>
      </c>
      <c r="F11" s="3"/>
      <c r="G11" s="2">
        <f>MATCH(B11,'Points Summary'!$B$4:$B$1144,0)</f>
        <v>101</v>
      </c>
      <c r="H11" s="197"/>
      <c r="I11" s="196"/>
      <c r="J11" s="28"/>
      <c r="K11" s="28"/>
      <c r="L11" s="197"/>
    </row>
    <row r="12" spans="1:12" x14ac:dyDescent="0.25">
      <c r="A12" s="2">
        <v>5</v>
      </c>
      <c r="B12" s="3" t="s">
        <v>758</v>
      </c>
      <c r="C12" s="51">
        <v>3.7423611111111109E-2</v>
      </c>
      <c r="D12" s="29">
        <f>INDEX('Points Summary'!$F$4:$F$1143,G12)</f>
        <v>45.907986673761499</v>
      </c>
      <c r="E12" s="124">
        <f t="shared" si="0"/>
        <v>0.47278293285478717</v>
      </c>
      <c r="F12" s="3"/>
      <c r="G12" s="2">
        <f>MATCH(B12,'Points Summary'!$B$4:$B$1144,0)</f>
        <v>370</v>
      </c>
      <c r="H12" s="197"/>
      <c r="I12" s="196"/>
      <c r="K12" s="28"/>
      <c r="L12" s="197"/>
    </row>
    <row r="13" spans="1:12" x14ac:dyDescent="0.25">
      <c r="A13" s="2">
        <v>2</v>
      </c>
      <c r="B13" s="3" t="s">
        <v>1349</v>
      </c>
      <c r="C13" s="51">
        <v>3.1524305555555555E-2</v>
      </c>
      <c r="D13" s="29">
        <f>INDEX('Points Summary'!$F$4:$F$1143,G13)</f>
        <v>0</v>
      </c>
      <c r="E13" s="124">
        <f t="shared" si="0"/>
        <v>0.56125723651381165</v>
      </c>
      <c r="F13" s="3"/>
      <c r="G13" s="2">
        <f>MATCH(B13,'Points Summary'!$B$4:$B$1144,0)</f>
        <v>132</v>
      </c>
      <c r="H13" s="197"/>
      <c r="I13" s="196"/>
      <c r="K13" s="28"/>
      <c r="L13" s="197"/>
    </row>
    <row r="14" spans="1:12" x14ac:dyDescent="0.25">
      <c r="A14" s="2">
        <v>4</v>
      </c>
      <c r="B14" s="3" t="s">
        <v>1343</v>
      </c>
      <c r="C14" s="51">
        <v>3.3912037037037039E-2</v>
      </c>
      <c r="D14" s="29">
        <f>INDEX('Points Summary'!$F$4:$F$1143,G14)</f>
        <v>0</v>
      </c>
      <c r="E14" s="124">
        <f t="shared" si="0"/>
        <v>0.52173936351285621</v>
      </c>
      <c r="F14" s="3"/>
      <c r="G14" s="2">
        <f>MATCH(B14,'Points Summary'!$B$4:$B$1144,0)</f>
        <v>141</v>
      </c>
      <c r="H14" s="197"/>
      <c r="I14" s="196"/>
      <c r="K14" s="28"/>
      <c r="L14" s="197"/>
    </row>
    <row r="15" spans="1:12" x14ac:dyDescent="0.25">
      <c r="A15" s="2">
        <v>8</v>
      </c>
      <c r="B15" s="3" t="s">
        <v>990</v>
      </c>
      <c r="C15" s="51">
        <f>TIME(1,4,53.8)</f>
        <v>4.5057870370370373E-2</v>
      </c>
      <c r="D15" s="29">
        <f>INDEX('Points Summary'!$F$4:$F$1143,G15)</f>
        <v>0</v>
      </c>
      <c r="E15" s="124">
        <f t="shared" si="0"/>
        <v>0.39267822632742577</v>
      </c>
      <c r="F15" s="3"/>
      <c r="G15" s="2">
        <f>MATCH(B15,'Points Summary'!$B$4:$B$1144,0)</f>
        <v>345</v>
      </c>
      <c r="H15" s="197"/>
      <c r="I15" s="196"/>
      <c r="K15" s="28"/>
      <c r="L15" s="197"/>
    </row>
    <row r="16" spans="1:12" x14ac:dyDescent="0.25">
      <c r="A16" s="2"/>
      <c r="B16" s="3"/>
      <c r="C16" s="51"/>
      <c r="D16" s="29"/>
      <c r="E16" s="124"/>
      <c r="F16" s="3"/>
      <c r="G16" s="2"/>
      <c r="I16" s="196"/>
      <c r="K16" s="28"/>
      <c r="L16" s="197"/>
    </row>
    <row r="17" spans="1:12" x14ac:dyDescent="0.25">
      <c r="A17" s="2"/>
      <c r="B17" s="3"/>
      <c r="C17" s="51"/>
      <c r="D17" s="29"/>
      <c r="E17" s="124"/>
      <c r="F17" s="3"/>
      <c r="G17" s="2"/>
      <c r="I17" s="196"/>
      <c r="K17" s="28"/>
      <c r="L17" s="197"/>
    </row>
    <row r="18" spans="1:12" x14ac:dyDescent="0.25">
      <c r="A18" s="2"/>
      <c r="B18" s="3"/>
      <c r="C18" s="51"/>
      <c r="D18" s="29"/>
      <c r="E18" s="124"/>
      <c r="F18" s="3"/>
      <c r="G18" s="2"/>
      <c r="I18" s="196"/>
      <c r="K18" s="28"/>
      <c r="L18" s="197"/>
    </row>
    <row r="19" spans="1:12" x14ac:dyDescent="0.25">
      <c r="A19" s="2"/>
      <c r="B19" s="3"/>
      <c r="C19" s="51"/>
      <c r="D19" s="29"/>
      <c r="E19" s="124"/>
      <c r="F19" s="3"/>
      <c r="G19" s="2"/>
      <c r="I19" s="196"/>
      <c r="K19" s="28"/>
      <c r="L19" s="197"/>
    </row>
    <row r="20" spans="1:12" x14ac:dyDescent="0.25">
      <c r="A20" s="2"/>
      <c r="B20" s="3"/>
      <c r="C20" s="51"/>
      <c r="D20" s="29"/>
      <c r="E20" s="124"/>
      <c r="F20" s="3"/>
      <c r="G20" s="2"/>
      <c r="I20" s="196"/>
      <c r="K20" s="28"/>
      <c r="L20" s="197"/>
    </row>
    <row r="21" spans="1:12" x14ac:dyDescent="0.25">
      <c r="B21" s="3"/>
      <c r="C21" s="28"/>
      <c r="D21" s="29"/>
      <c r="E21" s="124"/>
      <c r="F21" s="3"/>
      <c r="G21" s="2"/>
      <c r="I21" s="196"/>
      <c r="K21" s="28"/>
      <c r="L21" s="197"/>
    </row>
    <row r="22" spans="1:12" x14ac:dyDescent="0.25">
      <c r="B22" s="3"/>
      <c r="C22" s="28"/>
      <c r="D22" s="29"/>
      <c r="E22" s="124"/>
      <c r="F22" s="3"/>
      <c r="G22" s="2"/>
      <c r="I22" s="196"/>
      <c r="K22" s="28"/>
      <c r="L22" s="197"/>
    </row>
    <row r="23" spans="1:12" x14ac:dyDescent="0.25">
      <c r="A23" s="2"/>
      <c r="B23" s="3"/>
      <c r="C23" s="51"/>
      <c r="D23" s="29"/>
      <c r="E23" s="124"/>
      <c r="F23" s="3"/>
      <c r="G23" s="2"/>
      <c r="I23" s="196"/>
      <c r="K23" s="28"/>
      <c r="L23" s="197"/>
    </row>
    <row r="24" spans="1:12" x14ac:dyDescent="0.25">
      <c r="C24" s="28"/>
      <c r="D24" s="29"/>
      <c r="E24" s="124"/>
      <c r="F24" s="3"/>
      <c r="G24" s="2"/>
      <c r="I24" s="196"/>
      <c r="K24" s="28"/>
      <c r="L24" s="197"/>
    </row>
    <row r="25" spans="1:12" x14ac:dyDescent="0.25">
      <c r="B25" s="3"/>
      <c r="C25" s="28"/>
      <c r="D25" s="29"/>
      <c r="E25" s="124"/>
      <c r="F25" s="3"/>
      <c r="G25" s="2"/>
      <c r="I25" s="196"/>
      <c r="K25" s="28"/>
      <c r="L25" s="197"/>
    </row>
    <row r="26" spans="1:12" x14ac:dyDescent="0.25">
      <c r="B26" s="3"/>
      <c r="C26" s="28"/>
      <c r="D26" s="29"/>
      <c r="E26" s="124"/>
      <c r="F26" s="3"/>
      <c r="G26" s="2"/>
      <c r="I26" s="196"/>
      <c r="K26" s="28"/>
      <c r="L26" s="197"/>
    </row>
    <row r="27" spans="1:12" x14ac:dyDescent="0.25">
      <c r="C27" s="28"/>
      <c r="D27" s="29"/>
      <c r="E27" s="124"/>
      <c r="F27" s="3"/>
      <c r="G27" s="2"/>
      <c r="K27" s="28"/>
    </row>
    <row r="28" spans="1:12" x14ac:dyDescent="0.25">
      <c r="B28" s="3"/>
      <c r="C28" s="28"/>
      <c r="D28" s="29"/>
      <c r="E28" s="124"/>
      <c r="F28" s="3"/>
      <c r="G28" s="2"/>
      <c r="K28" s="28"/>
    </row>
    <row r="29" spans="1:12" x14ac:dyDescent="0.25">
      <c r="C29" s="28"/>
      <c r="D29" s="29"/>
      <c r="E29" s="124"/>
      <c r="F29" s="3"/>
      <c r="G29" s="2"/>
      <c r="K29" s="28"/>
    </row>
    <row r="30" spans="1:12" x14ac:dyDescent="0.25">
      <c r="C30" s="28"/>
      <c r="D30" s="29"/>
      <c r="E30" s="124"/>
      <c r="F30" s="3"/>
      <c r="G30" s="2"/>
      <c r="K30" s="28"/>
    </row>
    <row r="31" spans="1:12" x14ac:dyDescent="0.25">
      <c r="B31" s="3"/>
      <c r="C31" s="28"/>
      <c r="D31" s="29"/>
      <c r="E31" s="124"/>
      <c r="F31" s="3"/>
      <c r="G31" s="2"/>
      <c r="K31" s="28"/>
    </row>
    <row r="32" spans="1:12" x14ac:dyDescent="0.25">
      <c r="C32" s="28"/>
      <c r="D32" s="29"/>
      <c r="E32" s="124"/>
      <c r="F32" s="3"/>
      <c r="G32" s="2"/>
      <c r="K32" s="28"/>
    </row>
    <row r="33" spans="2:11" x14ac:dyDescent="0.25">
      <c r="C33" s="28"/>
      <c r="D33" s="29"/>
      <c r="E33" s="124"/>
      <c r="F33" s="3"/>
      <c r="G33" s="2"/>
      <c r="K33" s="28"/>
    </row>
    <row r="34" spans="2:11" x14ac:dyDescent="0.25">
      <c r="B34" s="3"/>
      <c r="C34" s="28"/>
      <c r="D34" s="29"/>
      <c r="E34" s="124"/>
      <c r="F34" s="3"/>
      <c r="G34" s="2"/>
    </row>
    <row r="35" spans="2:11" x14ac:dyDescent="0.25">
      <c r="C35" s="28"/>
      <c r="D35" s="29"/>
      <c r="E35" s="124"/>
      <c r="F35" s="3"/>
      <c r="G35" s="2"/>
    </row>
    <row r="36" spans="2:11" x14ac:dyDescent="0.25">
      <c r="C36" s="28"/>
      <c r="D36" s="29"/>
      <c r="E36" s="124"/>
      <c r="F36" s="3"/>
      <c r="G36" s="2"/>
    </row>
    <row r="37" spans="2:11" x14ac:dyDescent="0.25">
      <c r="C37" s="28"/>
      <c r="D37" s="29"/>
      <c r="E37" s="124"/>
      <c r="F37" s="3"/>
      <c r="G37" s="2"/>
    </row>
    <row r="38" spans="2:11" x14ac:dyDescent="0.25">
      <c r="C38" s="28"/>
      <c r="D38" s="29"/>
      <c r="E38" s="124"/>
      <c r="F38" s="3"/>
      <c r="G38" s="2"/>
    </row>
    <row r="39" spans="2:11" x14ac:dyDescent="0.25">
      <c r="C39" s="28"/>
      <c r="D39" s="29"/>
      <c r="E39" s="124"/>
      <c r="F39" s="3"/>
      <c r="G39" s="2"/>
    </row>
    <row r="40" spans="2:11" x14ac:dyDescent="0.25">
      <c r="C40" s="28"/>
      <c r="D40" s="29"/>
      <c r="E40" s="124"/>
      <c r="F40" s="3"/>
      <c r="G40" s="2"/>
    </row>
    <row r="41" spans="2:11" x14ac:dyDescent="0.25">
      <c r="C41" s="28"/>
      <c r="D41" s="29"/>
      <c r="E41" s="124"/>
      <c r="F41" s="3"/>
      <c r="G41" s="2"/>
    </row>
    <row r="42" spans="2:11" x14ac:dyDescent="0.25">
      <c r="C42" s="28"/>
      <c r="D42" s="29"/>
      <c r="E42" s="124"/>
      <c r="F42" s="3"/>
      <c r="G42" s="2"/>
    </row>
    <row r="43" spans="2:11" x14ac:dyDescent="0.25">
      <c r="C43" s="28"/>
      <c r="D43" s="29"/>
      <c r="E43" s="124"/>
      <c r="F43" s="3"/>
      <c r="G43" s="2"/>
    </row>
    <row r="44" spans="2:11" x14ac:dyDescent="0.25">
      <c r="C44" s="28"/>
      <c r="D44" s="29"/>
      <c r="E44" s="124"/>
      <c r="F44" s="3"/>
      <c r="G44" s="2"/>
    </row>
    <row r="45" spans="2:11" x14ac:dyDescent="0.25">
      <c r="C45" s="28"/>
      <c r="D45" s="29"/>
      <c r="E45" s="124"/>
      <c r="F45" s="3"/>
      <c r="G45" s="2"/>
    </row>
    <row r="46" spans="2:11" x14ac:dyDescent="0.25">
      <c r="C46" s="28"/>
      <c r="D46" s="29"/>
      <c r="E46" s="124"/>
      <c r="F46" s="3"/>
      <c r="G46" s="2"/>
    </row>
    <row r="47" spans="2:11" x14ac:dyDescent="0.25">
      <c r="C47" s="28"/>
      <c r="D47" s="29"/>
      <c r="E47" s="124"/>
      <c r="F47" s="3"/>
      <c r="G47" s="2"/>
    </row>
    <row r="48" spans="2:11" x14ac:dyDescent="0.25">
      <c r="C48" s="28"/>
      <c r="D48" s="29"/>
      <c r="E48" s="124"/>
      <c r="F48" s="3"/>
      <c r="G48" s="2"/>
    </row>
    <row r="49" spans="1:7" x14ac:dyDescent="0.25">
      <c r="C49" s="28"/>
      <c r="D49" s="29"/>
      <c r="E49" s="124"/>
      <c r="F49" s="3"/>
      <c r="G49" s="2"/>
    </row>
    <row r="50" spans="1:7" x14ac:dyDescent="0.25">
      <c r="C50" s="28"/>
      <c r="D50" s="29"/>
      <c r="E50" s="124"/>
      <c r="F50" s="3"/>
      <c r="G50" s="2"/>
    </row>
    <row r="51" spans="1:7" x14ac:dyDescent="0.25">
      <c r="C51" s="28"/>
      <c r="D51" s="29"/>
      <c r="E51" s="124"/>
      <c r="F51" s="3"/>
      <c r="G51" s="2"/>
    </row>
    <row r="52" spans="1:7" x14ac:dyDescent="0.25">
      <c r="C52" s="28"/>
      <c r="D52" s="29"/>
      <c r="E52" s="124"/>
      <c r="F52" s="3"/>
      <c r="G52" s="2"/>
    </row>
    <row r="53" spans="1:7" x14ac:dyDescent="0.25">
      <c r="C53" s="28"/>
      <c r="D53" s="29"/>
      <c r="E53" s="124"/>
      <c r="F53" s="3"/>
      <c r="G53" s="2"/>
    </row>
    <row r="54" spans="1:7" x14ac:dyDescent="0.25">
      <c r="C54" s="28"/>
      <c r="D54" s="29"/>
      <c r="E54" s="124"/>
      <c r="F54" s="3"/>
      <c r="G54" s="2"/>
    </row>
    <row r="55" spans="1:7" x14ac:dyDescent="0.25">
      <c r="C55" s="28"/>
      <c r="D55" s="29"/>
      <c r="E55" s="124"/>
      <c r="F55" s="3"/>
      <c r="G55" s="2"/>
    </row>
    <row r="56" spans="1:7" x14ac:dyDescent="0.25">
      <c r="C56" s="28"/>
      <c r="D56" s="29"/>
      <c r="E56" s="124"/>
      <c r="F56" s="3"/>
      <c r="G56" s="2"/>
    </row>
    <row r="57" spans="1:7" x14ac:dyDescent="0.25">
      <c r="C57" s="28"/>
      <c r="D57" s="29"/>
      <c r="E57" s="124"/>
      <c r="F57" s="3"/>
      <c r="G57" s="2"/>
    </row>
    <row r="58" spans="1:7" x14ac:dyDescent="0.25">
      <c r="A58" s="2"/>
      <c r="B58" s="3"/>
      <c r="C58" s="51"/>
      <c r="D58" s="29"/>
      <c r="E58" s="124"/>
      <c r="F58" s="3"/>
      <c r="G58" s="2"/>
    </row>
    <row r="59" spans="1:7" x14ac:dyDescent="0.25">
      <c r="A59" s="2"/>
      <c r="B59" s="3"/>
      <c r="C59" s="51"/>
      <c r="D59" s="29"/>
      <c r="E59" s="124"/>
      <c r="F59" s="3"/>
      <c r="G59" s="2"/>
    </row>
    <row r="60" spans="1:7" x14ac:dyDescent="0.25">
      <c r="A60" s="2"/>
      <c r="B60" s="3"/>
      <c r="C60" s="51"/>
      <c r="D60" s="29"/>
      <c r="E60" s="124"/>
      <c r="F60" s="3"/>
      <c r="G60" s="2"/>
    </row>
    <row r="61" spans="1:7" x14ac:dyDescent="0.25">
      <c r="A61" s="2"/>
      <c r="B61" s="3"/>
      <c r="C61" s="51"/>
      <c r="D61" s="29"/>
      <c r="E61" s="124"/>
      <c r="F61" s="3"/>
      <c r="G61" s="2"/>
    </row>
    <row r="62" spans="1:7" x14ac:dyDescent="0.25">
      <c r="B62" s="3"/>
      <c r="C62" s="28"/>
      <c r="D62" s="29"/>
      <c r="E62" s="124"/>
      <c r="F62" s="3"/>
      <c r="G62" s="2"/>
    </row>
    <row r="63" spans="1:7" x14ac:dyDescent="0.25">
      <c r="B63" s="3"/>
      <c r="C63" s="28"/>
      <c r="D63" s="29"/>
      <c r="E63" s="124"/>
      <c r="F63" s="3"/>
      <c r="G63" s="2"/>
    </row>
    <row r="64" spans="1:7" x14ac:dyDescent="0.25">
      <c r="B64" s="3"/>
      <c r="C64" s="28"/>
      <c r="D64" s="29"/>
      <c r="E64" s="124"/>
      <c r="F64" s="3"/>
      <c r="G64" s="2"/>
    </row>
    <row r="65" spans="2:7" x14ac:dyDescent="0.25">
      <c r="B65" s="3"/>
      <c r="C65" s="28"/>
      <c r="D65" s="29"/>
      <c r="E65" s="124"/>
      <c r="F65" s="3"/>
      <c r="G65" s="2"/>
    </row>
    <row r="66" spans="2:7" x14ac:dyDescent="0.25">
      <c r="C66" s="28"/>
      <c r="D66" s="29"/>
      <c r="E66" s="124"/>
      <c r="F66" s="3"/>
      <c r="G66" s="2"/>
    </row>
    <row r="67" spans="2:7" x14ac:dyDescent="0.25">
      <c r="C67" s="28"/>
      <c r="D67" s="29"/>
      <c r="E67" s="124"/>
      <c r="F67" s="3"/>
      <c r="G67" s="2"/>
    </row>
    <row r="68" spans="2:7" x14ac:dyDescent="0.25">
      <c r="C68" s="28"/>
      <c r="D68" s="29"/>
      <c r="E68" s="124"/>
      <c r="F68" s="3"/>
      <c r="G68" s="2"/>
    </row>
    <row r="69" spans="2:7" x14ac:dyDescent="0.25">
      <c r="C69" s="28"/>
      <c r="D69" s="29"/>
      <c r="E69" s="124"/>
      <c r="F69" s="3"/>
      <c r="G69" s="2"/>
    </row>
    <row r="70" spans="2:7" x14ac:dyDescent="0.25">
      <c r="C70" s="28"/>
      <c r="D70" s="29"/>
      <c r="E70" s="124"/>
      <c r="F70" s="3"/>
      <c r="G70" s="2"/>
    </row>
    <row r="71" spans="2:7" x14ac:dyDescent="0.25">
      <c r="C71" s="28"/>
      <c r="D71" s="29"/>
      <c r="E71" s="124"/>
      <c r="F71" s="3"/>
      <c r="G71" s="2"/>
    </row>
    <row r="72" spans="2:7" x14ac:dyDescent="0.25">
      <c r="C72" s="28"/>
      <c r="D72" s="29"/>
      <c r="E72" s="124"/>
      <c r="F72" s="3"/>
      <c r="G72" s="2"/>
    </row>
    <row r="73" spans="2:7" x14ac:dyDescent="0.25">
      <c r="C73" s="28"/>
      <c r="D73" s="29"/>
      <c r="E73" s="124"/>
      <c r="F73" s="3"/>
      <c r="G73" s="2"/>
    </row>
    <row r="74" spans="2:7" x14ac:dyDescent="0.25">
      <c r="C74" s="28"/>
      <c r="D74" s="29"/>
      <c r="E74" s="124"/>
      <c r="F74" s="3"/>
      <c r="G74" s="2"/>
    </row>
    <row r="75" spans="2:7" x14ac:dyDescent="0.25">
      <c r="C75" s="28"/>
      <c r="D75" s="29"/>
      <c r="E75" s="124"/>
      <c r="F75" s="3"/>
      <c r="G75" s="2"/>
    </row>
    <row r="76" spans="2:7" x14ac:dyDescent="0.25">
      <c r="C76" s="28"/>
      <c r="D76" s="29"/>
      <c r="E76" s="124"/>
      <c r="F76" s="3"/>
      <c r="G76" s="2"/>
    </row>
    <row r="77" spans="2:7" x14ac:dyDescent="0.25">
      <c r="C77" s="28"/>
      <c r="D77" s="29"/>
      <c r="E77" s="124"/>
      <c r="F77" s="3"/>
      <c r="G77" s="2"/>
    </row>
    <row r="78" spans="2:7" x14ac:dyDescent="0.25">
      <c r="C78" s="28"/>
      <c r="D78" s="29"/>
      <c r="E78" s="124"/>
      <c r="F78" s="3"/>
      <c r="G78" s="2"/>
    </row>
    <row r="79" spans="2:7" x14ac:dyDescent="0.25">
      <c r="C79" s="28"/>
      <c r="D79" s="29"/>
      <c r="E79" s="124"/>
      <c r="F79" s="3"/>
      <c r="G79" s="2"/>
    </row>
    <row r="80" spans="2:7" x14ac:dyDescent="0.25">
      <c r="C80" s="28"/>
      <c r="D80" s="29"/>
      <c r="E80" s="124"/>
      <c r="F80" s="3"/>
      <c r="G80" s="2"/>
    </row>
    <row r="81" spans="3:7" x14ac:dyDescent="0.25">
      <c r="C81" s="28"/>
      <c r="D81" s="29"/>
      <c r="E81" s="124"/>
      <c r="F81" s="3"/>
      <c r="G81" s="2"/>
    </row>
    <row r="82" spans="3:7" x14ac:dyDescent="0.25">
      <c r="C82" s="28"/>
      <c r="D82" s="29"/>
      <c r="E82" s="124"/>
      <c r="F82" s="3"/>
      <c r="G82" s="2"/>
    </row>
    <row r="83" spans="3:7" x14ac:dyDescent="0.25">
      <c r="C83" s="28"/>
      <c r="D83" s="29"/>
      <c r="E83" s="124"/>
      <c r="F83" s="3"/>
      <c r="G83" s="2"/>
    </row>
    <row r="84" spans="3:7" x14ac:dyDescent="0.25">
      <c r="C84" s="28"/>
      <c r="D84" s="29"/>
      <c r="E84" s="124"/>
      <c r="F84" s="3"/>
      <c r="G84" s="2"/>
    </row>
    <row r="85" spans="3:7" x14ac:dyDescent="0.25">
      <c r="C85" s="28"/>
      <c r="D85" s="29"/>
      <c r="E85" s="124"/>
      <c r="F85" s="3"/>
      <c r="G85" s="2"/>
    </row>
    <row r="86" spans="3:7" x14ac:dyDescent="0.25">
      <c r="C86" s="28"/>
      <c r="D86" s="29"/>
      <c r="E86" s="124"/>
      <c r="F86" s="3"/>
      <c r="G86" s="2"/>
    </row>
    <row r="87" spans="3:7" x14ac:dyDescent="0.25">
      <c r="C87" s="28"/>
      <c r="D87" s="29"/>
      <c r="E87" s="124"/>
      <c r="F87" s="3"/>
      <c r="G87" s="2"/>
    </row>
    <row r="88" spans="3:7" x14ac:dyDescent="0.25">
      <c r="C88" s="28"/>
      <c r="D88" s="29"/>
      <c r="E88" s="124"/>
      <c r="F88" s="3"/>
      <c r="G88" s="2"/>
    </row>
    <row r="89" spans="3:7" x14ac:dyDescent="0.25">
      <c r="C89" s="28"/>
      <c r="D89" s="29"/>
      <c r="E89" s="124"/>
      <c r="F89" s="3"/>
      <c r="G89" s="2"/>
    </row>
    <row r="90" spans="3:7" x14ac:dyDescent="0.25">
      <c r="C90" s="28"/>
      <c r="D90" s="29"/>
      <c r="E90" s="124"/>
      <c r="F90" s="3"/>
      <c r="G90" s="2"/>
    </row>
    <row r="91" spans="3:7" x14ac:dyDescent="0.25">
      <c r="C91" s="28"/>
      <c r="D91" s="29"/>
      <c r="E91" s="124"/>
      <c r="F91" s="3"/>
      <c r="G91" s="2"/>
    </row>
  </sheetData>
  <sortState ref="A8:G15">
    <sortCondition descending="1" ref="D8:D15"/>
  </sortState>
  <phoneticPr fontId="9" type="noConversion"/>
  <pageMargins left="0.75" right="0.75" top="1" bottom="1" header="0.5" footer="0.5"/>
  <pageSetup orientation="portrait" horizontalDpi="200" verticalDpi="200" r:id="rId1"/>
  <headerFooter alignWithMargins="0">
    <oddHeader>&amp;L&amp;"Tahoma,Bold"&amp;11U.S Biathlon Association&amp;R&amp;"Tahoma,Bold"&amp;11 2018 Race Points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"/>
  <sheetViews>
    <sheetView topLeftCell="A14" workbookViewId="0">
      <selection activeCell="B32" sqref="B32"/>
    </sheetView>
  </sheetViews>
  <sheetFormatPr defaultRowHeight="13.2" x14ac:dyDescent="0.25"/>
  <cols>
    <col min="2" max="2" width="24.6640625" customWidth="1"/>
    <col min="3" max="3" width="9.6640625" style="42" customWidth="1"/>
    <col min="4" max="7" width="9.6640625" customWidth="1"/>
  </cols>
  <sheetData>
    <row r="1" spans="1:11" x14ac:dyDescent="0.25">
      <c r="A1" s="16" t="s">
        <v>22</v>
      </c>
      <c r="B1" s="17" t="s">
        <v>1336</v>
      </c>
      <c r="C1" s="133"/>
      <c r="D1" s="18"/>
      <c r="E1" s="18"/>
      <c r="F1" s="18"/>
      <c r="G1" s="19"/>
    </row>
    <row r="2" spans="1:11" x14ac:dyDescent="0.25">
      <c r="A2" s="20" t="s">
        <v>23</v>
      </c>
      <c r="B2" s="21">
        <v>43190</v>
      </c>
      <c r="C2" s="56"/>
      <c r="D2" s="22"/>
      <c r="E2" s="22"/>
      <c r="F2" s="22"/>
      <c r="G2" s="23"/>
    </row>
    <row r="3" spans="1:11" x14ac:dyDescent="0.25">
      <c r="A3" s="20" t="s">
        <v>24</v>
      </c>
      <c r="B3" s="24" t="s">
        <v>25</v>
      </c>
      <c r="C3" s="56"/>
      <c r="D3" s="22"/>
      <c r="E3" s="22"/>
      <c r="F3" s="22"/>
      <c r="G3" s="23"/>
    </row>
    <row r="4" spans="1:11" x14ac:dyDescent="0.25">
      <c r="A4" s="20" t="s">
        <v>1</v>
      </c>
      <c r="B4" s="24" t="s">
        <v>26</v>
      </c>
      <c r="C4" s="56"/>
      <c r="D4" s="22"/>
      <c r="E4" s="22"/>
      <c r="F4" s="22"/>
      <c r="G4" s="23"/>
    </row>
    <row r="5" spans="1:11" x14ac:dyDescent="0.25">
      <c r="A5" s="20" t="s">
        <v>27</v>
      </c>
      <c r="B5" s="24" t="s">
        <v>1224</v>
      </c>
      <c r="C5" s="56"/>
      <c r="D5" s="22"/>
      <c r="E5" s="22" t="s">
        <v>55</v>
      </c>
      <c r="F5" s="38">
        <f>AVERAGE(C8:C12)*(AVERAGE(D8:D12)/100)</f>
        <v>2.5152220004956326E-2</v>
      </c>
      <c r="G5" s="23"/>
    </row>
    <row r="6" spans="1:11" x14ac:dyDescent="0.25">
      <c r="A6" s="25" t="s">
        <v>29</v>
      </c>
      <c r="B6" s="26"/>
      <c r="C6" s="134"/>
      <c r="D6" s="26"/>
      <c r="E6" s="26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11" x14ac:dyDescent="0.25">
      <c r="A8" s="2">
        <v>2</v>
      </c>
      <c r="B8" s="3" t="s">
        <v>7</v>
      </c>
      <c r="C8" s="51">
        <v>2.5269675925925928E-2</v>
      </c>
      <c r="D8" s="29">
        <f>INDEX('Points Summary'!$F$4:$F$1143,G8)</f>
        <v>99.815882011789284</v>
      </c>
      <c r="E8" s="124">
        <f t="shared" ref="E8:E36" si="0">(AVERAGE($D$8:$D$12)/100*AVERAGE($C$8:$C$12))/C8</f>
        <v>0.99535190236258253</v>
      </c>
      <c r="F8" s="3"/>
      <c r="G8" s="2">
        <f>MATCH(B8,'Points Summary'!$B$4:$B$1144,0)</f>
        <v>63</v>
      </c>
      <c r="K8" s="28"/>
    </row>
    <row r="9" spans="1:11" x14ac:dyDescent="0.25">
      <c r="A9" s="2">
        <v>1</v>
      </c>
      <c r="B9" s="3" t="s">
        <v>84</v>
      </c>
      <c r="C9" s="51">
        <v>2.5269675925925928E-2</v>
      </c>
      <c r="D9" s="29">
        <f>INDEX('Points Summary'!$F$4:$F$1143,G9)</f>
        <v>99.460903353359868</v>
      </c>
      <c r="E9" s="124">
        <f t="shared" si="0"/>
        <v>0.99535190236258253</v>
      </c>
      <c r="F9" s="3"/>
      <c r="G9" s="2">
        <f>MATCH(B9,'Points Summary'!$B$4:$B$1144,0)</f>
        <v>13</v>
      </c>
      <c r="K9" s="28"/>
    </row>
    <row r="10" spans="1:11" x14ac:dyDescent="0.25">
      <c r="A10" s="42">
        <v>3</v>
      </c>
      <c r="B10" s="3" t="s">
        <v>189</v>
      </c>
      <c r="C10" s="51">
        <v>2.5687500000000002E-2</v>
      </c>
      <c r="D10" s="29">
        <f>INDEX('Points Summary'!$F$4:$F$1143,G10)</f>
        <v>98.820210613063381</v>
      </c>
      <c r="E10" s="124">
        <f t="shared" si="0"/>
        <v>0.97916184934136541</v>
      </c>
      <c r="F10" s="3"/>
      <c r="G10" s="2">
        <f>MATCH(B10,'Points Summary'!$B$4:$B$1144,0)</f>
        <v>120</v>
      </c>
      <c r="K10" s="28"/>
    </row>
    <row r="11" spans="1:11" x14ac:dyDescent="0.25">
      <c r="A11" s="2">
        <v>4</v>
      </c>
      <c r="B11" s="3" t="s">
        <v>70</v>
      </c>
      <c r="C11" s="51">
        <v>2.5967592592592594E-2</v>
      </c>
      <c r="D11" s="29">
        <f>INDEX('Points Summary'!$F$4:$F$1143,G11)</f>
        <v>95.945007171519649</v>
      </c>
      <c r="E11" s="124">
        <f t="shared" si="0"/>
        <v>0.96860037815485223</v>
      </c>
      <c r="F11" s="3"/>
      <c r="G11" s="2">
        <f>MATCH(B11,'Points Summary'!$B$4:$B$1144,0)</f>
        <v>309</v>
      </c>
      <c r="K11" s="28"/>
    </row>
    <row r="12" spans="1:11" x14ac:dyDescent="0.25">
      <c r="A12" s="2">
        <v>5</v>
      </c>
      <c r="B12" s="3" t="s">
        <v>50</v>
      </c>
      <c r="C12" s="51">
        <v>2.6361111111111113E-2</v>
      </c>
      <c r="D12" s="29">
        <f>INDEX('Points Summary'!$F$4:$F$1143,G12)</f>
        <v>95.089327975174797</v>
      </c>
      <c r="E12" s="124">
        <f t="shared" si="0"/>
        <v>0.95414111715324312</v>
      </c>
      <c r="F12" s="3"/>
      <c r="G12" s="2">
        <f>MATCH(B12,'Points Summary'!$B$4:$B$1144,0)</f>
        <v>104</v>
      </c>
      <c r="K12" s="28"/>
    </row>
    <row r="13" spans="1:11" x14ac:dyDescent="0.25">
      <c r="A13" s="42">
        <v>7</v>
      </c>
      <c r="B13" s="3" t="s">
        <v>762</v>
      </c>
      <c r="C13" s="51">
        <v>2.6775462962962963E-2</v>
      </c>
      <c r="D13" s="29">
        <f>INDEX('Points Summary'!$F$4:$F$1143,G13)</f>
        <v>93.60112568228071</v>
      </c>
      <c r="E13" s="124">
        <f t="shared" si="0"/>
        <v>0.93937572768575539</v>
      </c>
      <c r="F13" s="3"/>
      <c r="G13" s="2">
        <f>MATCH(B13,'Points Summary'!$B$4:$B$1144,0)</f>
        <v>366</v>
      </c>
      <c r="K13" s="28"/>
    </row>
    <row r="14" spans="1:11" x14ac:dyDescent="0.25">
      <c r="A14" s="2">
        <v>6</v>
      </c>
      <c r="B14" s="3" t="s">
        <v>795</v>
      </c>
      <c r="C14" s="51">
        <v>2.664583333333333E-2</v>
      </c>
      <c r="D14" s="29">
        <f>INDEX('Points Summary'!$F$4:$F$1143,G14)</f>
        <v>92.674366002181756</v>
      </c>
      <c r="E14" s="124">
        <f t="shared" si="0"/>
        <v>0.94394570777005771</v>
      </c>
      <c r="F14" s="3"/>
      <c r="G14" s="2">
        <f>MATCH(B14,'Points Summary'!$B$4:$B$1144,0)</f>
        <v>201</v>
      </c>
      <c r="K14" s="28"/>
    </row>
    <row r="15" spans="1:11" x14ac:dyDescent="0.25">
      <c r="A15" s="42">
        <v>8</v>
      </c>
      <c r="B15" s="3" t="s">
        <v>838</v>
      </c>
      <c r="C15" s="51">
        <v>2.7717592592592596E-2</v>
      </c>
      <c r="D15" s="29">
        <f>INDEX('Points Summary'!$F$4:$F$1143,G15)</f>
        <v>90.493939450526881</v>
      </c>
      <c r="E15" s="124">
        <f t="shared" si="0"/>
        <v>0.90744605329389771</v>
      </c>
      <c r="F15" s="3"/>
      <c r="G15" s="2">
        <f>MATCH(B15,'Points Summary'!$B$4:$B$1144,0)</f>
        <v>57</v>
      </c>
      <c r="K15" s="28"/>
    </row>
    <row r="16" spans="1:11" x14ac:dyDescent="0.25">
      <c r="A16" s="42">
        <v>10</v>
      </c>
      <c r="B16" s="3" t="s">
        <v>765</v>
      </c>
      <c r="C16" s="51">
        <v>2.9684027777777774E-2</v>
      </c>
      <c r="D16" s="29">
        <f>INDEX('Points Summary'!$F$4:$F$1143,G16)</f>
        <v>89.06928922635062</v>
      </c>
      <c r="E16" s="124">
        <f t="shared" si="0"/>
        <v>0.84733177698297146</v>
      </c>
      <c r="F16" s="3"/>
      <c r="G16" s="2">
        <f>MATCH(B16,'Points Summary'!$B$4:$B$1144,0)</f>
        <v>97</v>
      </c>
      <c r="K16" s="28"/>
    </row>
    <row r="17" spans="1:11" x14ac:dyDescent="0.25">
      <c r="A17" s="2">
        <v>9</v>
      </c>
      <c r="B17" s="3" t="s">
        <v>714</v>
      </c>
      <c r="C17" s="51">
        <v>2.877199074074074E-2</v>
      </c>
      <c r="D17" s="29">
        <f>INDEX('Points Summary'!$F$4:$F$1143,G17)</f>
        <v>83.939036057542722</v>
      </c>
      <c r="E17" s="124">
        <f t="shared" si="0"/>
        <v>0.87419116152227627</v>
      </c>
      <c r="F17" s="3"/>
      <c r="G17" s="2">
        <f>MATCH(B17,'Points Summary'!$B$4:$B$1144,0)</f>
        <v>220</v>
      </c>
      <c r="K17" s="28"/>
    </row>
    <row r="18" spans="1:11" x14ac:dyDescent="0.25">
      <c r="A18" s="42">
        <v>11</v>
      </c>
      <c r="B18" s="3" t="s">
        <v>718</v>
      </c>
      <c r="C18" s="51">
        <v>3.1973379629629629E-2</v>
      </c>
      <c r="D18" s="29">
        <f>INDEX('Points Summary'!$F$4:$F$1143,G18)</f>
        <v>81.013290109009503</v>
      </c>
      <c r="E18" s="124">
        <f t="shared" si="0"/>
        <v>0.78666128811881508</v>
      </c>
      <c r="F18" s="3"/>
      <c r="G18" s="2">
        <f>MATCH(B18,'Points Summary'!$B$4:$B$1144,0)</f>
        <v>305</v>
      </c>
      <c r="K18" s="28"/>
    </row>
    <row r="19" spans="1:11" x14ac:dyDescent="0.25">
      <c r="A19" s="42">
        <v>12</v>
      </c>
      <c r="B19" s="3" t="s">
        <v>730</v>
      </c>
      <c r="C19" s="51">
        <v>3.2187500000000001E-2</v>
      </c>
      <c r="D19" s="29">
        <f>INDEX('Points Summary'!$F$4:$F$1143,G19)</f>
        <v>76.49851546192447</v>
      </c>
      <c r="E19" s="124">
        <f t="shared" si="0"/>
        <v>0.78142819432874022</v>
      </c>
      <c r="F19" s="3"/>
      <c r="G19" s="2">
        <f>MATCH(B19,'Points Summary'!$B$4:$B$1144,0)</f>
        <v>355</v>
      </c>
      <c r="K19" s="28"/>
    </row>
    <row r="20" spans="1:11" x14ac:dyDescent="0.25">
      <c r="A20" s="42">
        <v>5</v>
      </c>
      <c r="B20" s="3" t="s">
        <v>269</v>
      </c>
      <c r="C20" s="51">
        <v>4.1212962962962958E-2</v>
      </c>
      <c r="D20" s="29">
        <f>INDEX('Points Summary'!$F$4:$F$1143,G20)</f>
        <v>75.795752491003284</v>
      </c>
      <c r="E20" s="124">
        <f t="shared" si="0"/>
        <v>0.61029875545614098</v>
      </c>
      <c r="F20" s="3"/>
      <c r="G20" s="2">
        <f>MATCH(B20,'Points Summary'!$B$4:$B$1144,0)</f>
        <v>425</v>
      </c>
      <c r="K20" s="28"/>
    </row>
    <row r="21" spans="1:11" x14ac:dyDescent="0.25">
      <c r="A21" s="42">
        <v>13</v>
      </c>
      <c r="B21" s="3" t="s">
        <v>729</v>
      </c>
      <c r="C21" s="51">
        <v>3.5796296296296298E-2</v>
      </c>
      <c r="D21" s="29">
        <f>INDEX('Points Summary'!$F$4:$F$1143,G21)</f>
        <v>74.818918747524734</v>
      </c>
      <c r="E21" s="124">
        <f t="shared" si="0"/>
        <v>0.70264867059888336</v>
      </c>
      <c r="F21" s="3"/>
      <c r="G21" s="2">
        <f>MATCH(B21,'Points Summary'!$B$4:$B$1144,0)</f>
        <v>252</v>
      </c>
      <c r="K21" s="28"/>
    </row>
    <row r="22" spans="1:11" x14ac:dyDescent="0.25">
      <c r="A22" s="42">
        <v>9</v>
      </c>
      <c r="B22" s="3" t="s">
        <v>90</v>
      </c>
      <c r="C22" s="51">
        <f>TIME(1,4,17.5)</f>
        <v>4.4641203703703704E-2</v>
      </c>
      <c r="D22" s="29">
        <f>INDEX('Points Summary'!$F$4:$F$1143,G22)</f>
        <v>64.679230598182357</v>
      </c>
      <c r="E22" s="124">
        <f t="shared" si="0"/>
        <v>0.5634305959108703</v>
      </c>
      <c r="F22" s="3"/>
      <c r="G22" s="2">
        <f>MATCH(B22,'Points Summary'!$B$4:$B$1144,0)</f>
        <v>334</v>
      </c>
      <c r="K22" s="28"/>
    </row>
    <row r="23" spans="1:11" x14ac:dyDescent="0.25">
      <c r="A23" s="42">
        <v>3</v>
      </c>
      <c r="B23" s="3" t="s">
        <v>106</v>
      </c>
      <c r="C23" s="51">
        <v>3.9289351851851853E-2</v>
      </c>
      <c r="D23" s="29">
        <f>INDEX('Points Summary'!$F$4:$F$1143,G23)</f>
        <v>68.483457061753498</v>
      </c>
      <c r="E23" s="124">
        <f t="shared" si="0"/>
        <v>0.64017905156078081</v>
      </c>
      <c r="F23" s="3"/>
      <c r="G23" s="2">
        <f>MATCH(B23,'Points Summary'!$B$4:$B$1144,0)</f>
        <v>45</v>
      </c>
      <c r="K23" s="28"/>
    </row>
    <row r="24" spans="1:11" x14ac:dyDescent="0.25">
      <c r="A24" s="42">
        <v>1</v>
      </c>
      <c r="B24" s="3" t="s">
        <v>8</v>
      </c>
      <c r="C24" s="51">
        <v>3.6994212962962965E-2</v>
      </c>
      <c r="D24" s="29">
        <f>INDEX('Points Summary'!$F$4:$F$1143,G24)</f>
        <v>67.132561141984624</v>
      </c>
      <c r="E24" s="124">
        <f t="shared" si="0"/>
        <v>0.67989606996471752</v>
      </c>
      <c r="F24" s="3"/>
      <c r="G24" s="2">
        <f>MATCH(B24,'Points Summary'!$B$4:$B$1144,0)</f>
        <v>89</v>
      </c>
      <c r="K24" s="28"/>
    </row>
    <row r="25" spans="1:11" x14ac:dyDescent="0.25">
      <c r="A25" s="42">
        <v>7</v>
      </c>
      <c r="B25" s="3" t="s">
        <v>733</v>
      </c>
      <c r="C25" s="51">
        <f>TIME(1,2,10.3)</f>
        <v>4.3171296296296298E-2</v>
      </c>
      <c r="D25" s="29">
        <f>INDEX('Points Summary'!$F$4:$F$1143,G25)</f>
        <v>66.595123596656933</v>
      </c>
      <c r="E25" s="124">
        <f t="shared" si="0"/>
        <v>0.58261442585207146</v>
      </c>
      <c r="F25" s="3"/>
      <c r="G25" s="2">
        <f>MATCH(B25,'Points Summary'!$B$4:$B$1144,0)</f>
        <v>33</v>
      </c>
      <c r="K25" s="28"/>
    </row>
    <row r="26" spans="1:11" x14ac:dyDescent="0.25">
      <c r="A26" s="42">
        <v>10</v>
      </c>
      <c r="B26" s="3" t="s">
        <v>1056</v>
      </c>
      <c r="C26" s="51">
        <f>TIME(1,5,35.6)</f>
        <v>4.5543981481481477E-2</v>
      </c>
      <c r="D26" s="29">
        <f>INDEX('Points Summary'!$F$4:$F$1143,G26)</f>
        <v>66.562919993215374</v>
      </c>
      <c r="E26" s="124">
        <f t="shared" si="0"/>
        <v>0.55226221306943502</v>
      </c>
      <c r="F26" s="3"/>
      <c r="G26" s="2">
        <f>MATCH(B26,'Points Summary'!$B$4:$B$1144,0)</f>
        <v>361</v>
      </c>
      <c r="K26" s="28"/>
    </row>
    <row r="27" spans="1:11" x14ac:dyDescent="0.25">
      <c r="A27" s="42">
        <v>4</v>
      </c>
      <c r="B27" s="3" t="s">
        <v>785</v>
      </c>
      <c r="C27" s="51">
        <v>3.9961805555555556E-2</v>
      </c>
      <c r="D27" s="29">
        <f>INDEX('Points Summary'!$F$4:$F$1143,G27)</f>
        <v>61.405976272712444</v>
      </c>
      <c r="E27" s="124">
        <f t="shared" si="0"/>
        <v>0.62940649590993325</v>
      </c>
      <c r="F27" s="3"/>
      <c r="G27" s="2">
        <f>MATCH(B27,'Points Summary'!$B$4:$B$1144,0)</f>
        <v>430</v>
      </c>
      <c r="K27" s="28"/>
    </row>
    <row r="28" spans="1:11" x14ac:dyDescent="0.25">
      <c r="A28" s="42">
        <v>8</v>
      </c>
      <c r="B28" s="3" t="s">
        <v>491</v>
      </c>
      <c r="C28" s="51">
        <f>TIME(1,3,28)</f>
        <v>4.4074074074074071E-2</v>
      </c>
      <c r="D28" s="29">
        <f>INDEX('Points Summary'!$F$4:$F$1143,G28)</f>
        <v>60.524290845204135</v>
      </c>
      <c r="E28" s="124">
        <f t="shared" si="0"/>
        <v>0.57068062196119396</v>
      </c>
      <c r="F28" s="3"/>
      <c r="G28" s="2">
        <f>MATCH(B28,'Points Summary'!$B$4:$B$1144,0)</f>
        <v>54</v>
      </c>
      <c r="K28" s="28"/>
    </row>
    <row r="29" spans="1:11" x14ac:dyDescent="0.25">
      <c r="A29" s="42">
        <v>12</v>
      </c>
      <c r="B29" s="3" t="s">
        <v>1084</v>
      </c>
      <c r="C29" s="51">
        <f>TIME(1,7,54.2)</f>
        <v>4.7152777777777773E-2</v>
      </c>
      <c r="D29" s="29">
        <f>INDEX('Points Summary'!$F$4:$F$1143,G29)</f>
        <v>59.914210747568333</v>
      </c>
      <c r="E29" s="124">
        <f t="shared" si="0"/>
        <v>0.53341968788125349</v>
      </c>
      <c r="F29" s="3"/>
      <c r="G29" s="2">
        <f>MATCH(B29,'Points Summary'!$B$4:$B$1144,0)</f>
        <v>392</v>
      </c>
      <c r="K29" s="28"/>
    </row>
    <row r="30" spans="1:11" x14ac:dyDescent="0.25">
      <c r="A30" s="42">
        <v>14</v>
      </c>
      <c r="B30" s="3" t="s">
        <v>710</v>
      </c>
      <c r="C30" s="51">
        <f>TIME(1,14,28.7)</f>
        <v>5.1712962962962961E-2</v>
      </c>
      <c r="D30" s="29">
        <f>INDEX('Points Summary'!$F$4:$F$1143,G30)</f>
        <v>55.86857146731198</v>
      </c>
      <c r="E30" s="124">
        <f t="shared" si="0"/>
        <v>0.48638133581652343</v>
      </c>
      <c r="F30" s="3"/>
      <c r="G30" s="2">
        <f>MATCH(B30,'Points Summary'!$B$4:$B$1144,0)</f>
        <v>351</v>
      </c>
    </row>
    <row r="31" spans="1:11" x14ac:dyDescent="0.25">
      <c r="A31" s="42">
        <v>13</v>
      </c>
      <c r="B31" s="3" t="s">
        <v>783</v>
      </c>
      <c r="C31" s="51">
        <f>TIME(1,14,25.7)</f>
        <v>5.167824074074074E-2</v>
      </c>
      <c r="D31" s="29">
        <f>INDEX('Points Summary'!$F$4:$F$1143,G31)</f>
        <v>52.397236396258847</v>
      </c>
      <c r="E31" s="124">
        <f t="shared" si="0"/>
        <v>0.48670813178683686</v>
      </c>
      <c r="F31" s="3"/>
      <c r="G31" s="2">
        <f>MATCH(B31,'Points Summary'!$B$4:$B$1144,0)</f>
        <v>328</v>
      </c>
    </row>
    <row r="32" spans="1:11" x14ac:dyDescent="0.25">
      <c r="A32" s="42">
        <v>14</v>
      </c>
      <c r="B32" s="3" t="s">
        <v>1067</v>
      </c>
      <c r="C32" s="51">
        <f>TIME(1,5,12.1)</f>
        <v>4.5277777777777778E-2</v>
      </c>
      <c r="D32" s="29">
        <f>INDEX('Points Summary'!$F$4:$F$1143,G32)</f>
        <v>49.403054375011301</v>
      </c>
      <c r="E32" s="124">
        <f t="shared" si="0"/>
        <v>0.555509153483698</v>
      </c>
      <c r="F32" s="3"/>
      <c r="G32" s="2">
        <f>MATCH(B32,'Points Summary'!$B$4:$B$1144,0)</f>
        <v>419</v>
      </c>
      <c r="K32" s="28"/>
    </row>
    <row r="33" spans="1:11" x14ac:dyDescent="0.25">
      <c r="A33" s="42">
        <v>15</v>
      </c>
      <c r="B33" s="3" t="s">
        <v>1195</v>
      </c>
      <c r="C33" s="51">
        <f>TIME(1,8,45.2)</f>
        <v>4.7743055555555552E-2</v>
      </c>
      <c r="D33" s="29">
        <f>INDEX('Points Summary'!$F$4:$F$1143,G33)</f>
        <v>0</v>
      </c>
      <c r="E33" s="124">
        <f t="shared" si="0"/>
        <v>0.52682468083108525</v>
      </c>
      <c r="F33" s="3"/>
      <c r="G33" s="2">
        <f>MATCH(B33,'Points Summary'!$B$4:$B$1144,0)</f>
        <v>458</v>
      </c>
      <c r="K33" s="28"/>
    </row>
    <row r="34" spans="1:11" x14ac:dyDescent="0.25">
      <c r="A34" s="42">
        <v>2</v>
      </c>
      <c r="B34" s="3" t="s">
        <v>1333</v>
      </c>
      <c r="C34" s="51">
        <v>3.8309027777777775E-2</v>
      </c>
      <c r="D34" s="29">
        <f>INDEX('Points Summary'!$F$4:$F$1143,G34)</f>
        <v>0</v>
      </c>
      <c r="E34" s="124">
        <f t="shared" si="0"/>
        <v>0.65656116753624783</v>
      </c>
      <c r="F34" s="3"/>
      <c r="G34" s="2">
        <f>MATCH(B34,'Points Summary'!$B$4:$B$1144,0)</f>
        <v>437</v>
      </c>
    </row>
    <row r="35" spans="1:11" x14ac:dyDescent="0.25">
      <c r="A35" s="42">
        <v>6</v>
      </c>
      <c r="B35" s="3" t="s">
        <v>1332</v>
      </c>
      <c r="C35" s="51">
        <f>TIME(1,0,22.3)</f>
        <v>4.1921296296296297E-2</v>
      </c>
      <c r="D35" s="29">
        <f>INDEX('Points Summary'!$F$4:$F$1143,G35)</f>
        <v>0</v>
      </c>
      <c r="E35" s="124">
        <f t="shared" si="0"/>
        <v>0.59998669476207245</v>
      </c>
      <c r="F35" s="3"/>
      <c r="G35" s="2">
        <f>MATCH(B35,'Points Summary'!$B$4:$B$1144,0)</f>
        <v>233</v>
      </c>
    </row>
    <row r="36" spans="1:11" x14ac:dyDescent="0.25">
      <c r="A36" s="42">
        <v>11</v>
      </c>
      <c r="B36" s="3" t="s">
        <v>1334</v>
      </c>
      <c r="C36" s="51">
        <f>TIME(1,6,5.9)</f>
        <v>4.5891203703703705E-2</v>
      </c>
      <c r="D36" s="29">
        <f>INDEX('Points Summary'!$F$4:$F$1143,G36)</f>
        <v>0</v>
      </c>
      <c r="E36" s="124">
        <f t="shared" si="0"/>
        <v>0.54808368434507604</v>
      </c>
      <c r="F36" s="3"/>
      <c r="G36" s="2">
        <f>MATCH(B36,'Points Summary'!$B$4:$B$1144,0)</f>
        <v>218</v>
      </c>
    </row>
    <row r="37" spans="1:11" x14ac:dyDescent="0.25">
      <c r="A37" s="42"/>
      <c r="B37" s="75"/>
      <c r="C37" s="51"/>
      <c r="D37" s="29"/>
      <c r="E37" s="30"/>
      <c r="F37" s="3"/>
      <c r="G37" s="2"/>
    </row>
    <row r="38" spans="1:11" x14ac:dyDescent="0.25">
      <c r="A38" s="42"/>
      <c r="B38" s="75"/>
      <c r="C38" s="51"/>
      <c r="D38" s="29"/>
      <c r="E38" s="30"/>
      <c r="F38" s="3"/>
      <c r="G38" s="2"/>
    </row>
    <row r="39" spans="1:11" x14ac:dyDescent="0.25">
      <c r="A39" s="42"/>
      <c r="B39" s="75"/>
      <c r="C39" s="51"/>
      <c r="D39" s="29"/>
      <c r="E39" s="30"/>
      <c r="F39" s="3"/>
      <c r="G39" s="2"/>
    </row>
    <row r="40" spans="1:11" x14ac:dyDescent="0.25">
      <c r="A40" s="42"/>
      <c r="B40" s="75"/>
      <c r="C40" s="51"/>
      <c r="D40" s="29"/>
      <c r="E40" s="30"/>
      <c r="F40" s="3"/>
      <c r="G40" s="2"/>
    </row>
    <row r="41" spans="1:11" x14ac:dyDescent="0.25">
      <c r="A41" s="42"/>
      <c r="B41" s="75"/>
      <c r="C41" s="51"/>
      <c r="D41" s="29"/>
      <c r="E41" s="30"/>
      <c r="F41" s="3"/>
      <c r="G41" s="2"/>
    </row>
    <row r="42" spans="1:11" x14ac:dyDescent="0.25">
      <c r="A42" s="42"/>
      <c r="B42" s="75"/>
      <c r="C42" s="51"/>
      <c r="D42" s="29"/>
      <c r="E42" s="30"/>
      <c r="F42" s="3"/>
      <c r="G42" s="2"/>
    </row>
    <row r="43" spans="1:11" x14ac:dyDescent="0.25">
      <c r="A43" s="42"/>
      <c r="B43" s="75"/>
      <c r="C43" s="51"/>
      <c r="D43" s="29"/>
      <c r="E43" s="30"/>
      <c r="F43" s="3"/>
      <c r="G43" s="2"/>
    </row>
    <row r="44" spans="1:11" x14ac:dyDescent="0.25">
      <c r="A44" s="42"/>
      <c r="B44" s="75"/>
      <c r="C44" s="51"/>
      <c r="D44" s="29"/>
      <c r="E44" s="30"/>
      <c r="F44" s="3"/>
      <c r="G44" s="2"/>
    </row>
    <row r="45" spans="1:11" x14ac:dyDescent="0.25">
      <c r="A45" s="42"/>
      <c r="B45" s="75"/>
      <c r="C45" s="51"/>
      <c r="D45" s="29"/>
      <c r="E45" s="30"/>
      <c r="F45" s="3"/>
      <c r="G45" s="2"/>
    </row>
    <row r="46" spans="1:11" x14ac:dyDescent="0.25">
      <c r="A46" s="42"/>
      <c r="B46" s="75"/>
      <c r="C46" s="51"/>
      <c r="D46" s="29"/>
      <c r="E46" s="30"/>
      <c r="F46" s="3"/>
      <c r="G46" s="2"/>
    </row>
    <row r="47" spans="1:11" x14ac:dyDescent="0.25">
      <c r="A47" s="42"/>
      <c r="B47" s="75"/>
      <c r="C47" s="51"/>
      <c r="D47" s="29"/>
      <c r="E47" s="30"/>
      <c r="F47" s="3"/>
      <c r="G47" s="2"/>
    </row>
    <row r="48" spans="1:11" x14ac:dyDescent="0.25">
      <c r="A48" s="42"/>
      <c r="B48" s="75"/>
      <c r="C48" s="51"/>
      <c r="D48" s="29"/>
      <c r="E48" s="30"/>
      <c r="F48" s="3"/>
      <c r="G48" s="2"/>
    </row>
    <row r="49" spans="1:7" x14ac:dyDescent="0.25">
      <c r="A49" s="42"/>
      <c r="B49" s="75"/>
      <c r="C49" s="51"/>
      <c r="D49" s="29"/>
      <c r="E49" s="30"/>
      <c r="F49" s="3"/>
      <c r="G49" s="2"/>
    </row>
    <row r="50" spans="1:7" x14ac:dyDescent="0.25">
      <c r="A50" s="42"/>
      <c r="B50" s="75"/>
      <c r="C50" s="51"/>
      <c r="D50" s="29"/>
      <c r="E50" s="30"/>
      <c r="F50" s="3"/>
      <c r="G50" s="2"/>
    </row>
  </sheetData>
  <sortState ref="A8:G36">
    <sortCondition descending="1" ref="D8:D36"/>
  </sortState>
  <phoneticPr fontId="9" type="noConversion"/>
  <printOptions horizontalCentered="1"/>
  <pageMargins left="0.75" right="0.75" top="1" bottom="1" header="0.5" footer="0.5"/>
  <pageSetup orientation="portrait" horizontalDpi="200" verticalDpi="200" r:id="rId1"/>
  <headerFooter alignWithMargins="0">
    <oddHeader>&amp;L&amp;"Tahoma,Bold"&amp;11U.S. Biathlon Association&amp;R&amp;"Tahoma,Bold"&amp;11 2018 Race Points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>
      <selection activeCell="B16" sqref="B16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11" x14ac:dyDescent="0.25">
      <c r="A1" s="16" t="s">
        <v>22</v>
      </c>
      <c r="B1" s="17" t="s">
        <v>1336</v>
      </c>
      <c r="C1" s="18"/>
      <c r="D1" s="18"/>
      <c r="E1" s="18"/>
      <c r="F1" s="18"/>
      <c r="G1" s="19"/>
    </row>
    <row r="2" spans="1:11" x14ac:dyDescent="0.25">
      <c r="A2" s="20" t="s">
        <v>23</v>
      </c>
      <c r="B2" s="21">
        <v>43190</v>
      </c>
      <c r="C2" s="22"/>
      <c r="D2" s="22"/>
      <c r="E2" s="22"/>
      <c r="F2" s="22"/>
      <c r="G2" s="23"/>
    </row>
    <row r="3" spans="1:11" x14ac:dyDescent="0.25">
      <c r="A3" s="20" t="s">
        <v>24</v>
      </c>
      <c r="B3" s="24" t="s">
        <v>25</v>
      </c>
      <c r="C3" s="22"/>
      <c r="D3" s="22"/>
      <c r="E3" s="22"/>
      <c r="F3" s="22"/>
      <c r="G3" s="23"/>
    </row>
    <row r="4" spans="1:11" x14ac:dyDescent="0.25">
      <c r="A4" s="20" t="s">
        <v>1</v>
      </c>
      <c r="B4" s="24" t="s">
        <v>833</v>
      </c>
      <c r="C4" s="22"/>
      <c r="D4" s="22"/>
      <c r="E4" s="22"/>
      <c r="F4" s="22"/>
      <c r="G4" s="23"/>
    </row>
    <row r="5" spans="1:11" x14ac:dyDescent="0.25">
      <c r="A5" s="20" t="s">
        <v>27</v>
      </c>
      <c r="B5" s="24" t="s">
        <v>1224</v>
      </c>
      <c r="C5" s="22"/>
      <c r="D5" s="22"/>
      <c r="E5" s="22" t="s">
        <v>55</v>
      </c>
      <c r="F5" s="38">
        <f>AVERAGE(C8:C10)*(AVERAGE(D8:D10)/100)</f>
        <v>2.1371676114809737E-2</v>
      </c>
      <c r="G5" s="23"/>
    </row>
    <row r="6" spans="1:11" x14ac:dyDescent="0.25">
      <c r="A6" s="25" t="s">
        <v>29</v>
      </c>
      <c r="B6" s="26"/>
      <c r="C6" s="26"/>
      <c r="D6" s="26"/>
      <c r="E6" s="26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  <c r="I7" s="2"/>
      <c r="J7" s="2"/>
      <c r="K7" s="2"/>
    </row>
    <row r="8" spans="1:11" x14ac:dyDescent="0.25">
      <c r="A8" s="2">
        <v>6</v>
      </c>
      <c r="B8" s="3" t="s">
        <v>772</v>
      </c>
      <c r="C8" s="28">
        <v>2.7116898148148147E-2</v>
      </c>
      <c r="D8" s="29">
        <f>INDEX('Points Summary'!$F$4:$F$1143,G8)</f>
        <v>81.785334346671192</v>
      </c>
      <c r="E8" s="124">
        <f t="shared" ref="E8:E17" si="0">(AVERAGE($D$8:$D$10)/100*AVERAGE($C$8:$C$10))/C8</f>
        <v>0.78813129724681441</v>
      </c>
      <c r="F8" s="3"/>
      <c r="G8" s="2">
        <f>MATCH(B8,'Points Summary'!$B$4:$B$1144,0)</f>
        <v>90</v>
      </c>
      <c r="I8" s="28"/>
      <c r="J8" s="28"/>
      <c r="K8" s="28"/>
    </row>
    <row r="9" spans="1:11" x14ac:dyDescent="0.25">
      <c r="A9" s="2">
        <v>5</v>
      </c>
      <c r="B9" s="3" t="s">
        <v>808</v>
      </c>
      <c r="C9" s="28">
        <v>2.6190972222222223E-2</v>
      </c>
      <c r="D9" s="29">
        <f>INDEX('Points Summary'!$F$4:$F$1143,G9)</f>
        <v>80.557714578078887</v>
      </c>
      <c r="E9" s="124">
        <f t="shared" si="0"/>
        <v>0.81599399722460619</v>
      </c>
      <c r="F9" s="3"/>
      <c r="G9" s="2">
        <f>MATCH(B9,'Points Summary'!$B$4:$B$1144,0)</f>
        <v>441</v>
      </c>
      <c r="I9" s="28"/>
      <c r="J9" s="28"/>
      <c r="K9" s="28"/>
    </row>
    <row r="10" spans="1:11" x14ac:dyDescent="0.25">
      <c r="A10" s="53">
        <v>4</v>
      </c>
      <c r="B10" s="3" t="s">
        <v>846</v>
      </c>
      <c r="C10" s="28">
        <v>2.6047453703703705E-2</v>
      </c>
      <c r="D10" s="29">
        <f>INDEX('Points Summary'!$F$4:$F$1143,G10)</f>
        <v>80.041551324306269</v>
      </c>
      <c r="E10" s="124">
        <f t="shared" si="0"/>
        <v>0.82049003169054047</v>
      </c>
      <c r="F10" s="3"/>
      <c r="G10" s="2">
        <f>MATCH(B10,'Points Summary'!$B$4:$B$1144,0)</f>
        <v>168</v>
      </c>
      <c r="I10" s="28"/>
      <c r="J10" s="28"/>
      <c r="K10" s="28"/>
    </row>
    <row r="11" spans="1:11" x14ac:dyDescent="0.25">
      <c r="A11" s="2">
        <v>2</v>
      </c>
      <c r="B11" s="3" t="s">
        <v>847</v>
      </c>
      <c r="C11" s="28">
        <v>2.5356481481481483E-2</v>
      </c>
      <c r="D11" s="29">
        <f>INDEX('Points Summary'!$F$4:$F$1143,G11)</f>
        <v>77.868356934222959</v>
      </c>
      <c r="E11" s="124">
        <f t="shared" si="0"/>
        <v>0.84284864721542874</v>
      </c>
      <c r="F11" s="3"/>
      <c r="G11" s="2">
        <f>MATCH(B11,'Points Summary'!$B$4:$B$1144,0)</f>
        <v>446</v>
      </c>
      <c r="I11" s="28"/>
      <c r="J11" s="28"/>
      <c r="K11" s="28"/>
    </row>
    <row r="12" spans="1:11" x14ac:dyDescent="0.25">
      <c r="A12" s="2">
        <v>9</v>
      </c>
      <c r="B12" s="3" t="s">
        <v>1040</v>
      </c>
      <c r="C12" s="28">
        <v>3.0672453703703705E-2</v>
      </c>
      <c r="D12" s="29">
        <f>INDEX('Points Summary'!$F$4:$F$1143,G12)</f>
        <v>73.497966256493498</v>
      </c>
      <c r="E12" s="124">
        <f t="shared" si="0"/>
        <v>0.69677099593206338</v>
      </c>
      <c r="F12" s="3"/>
      <c r="G12" s="2">
        <f>MATCH(B12,'Points Summary'!$B$4:$B$1144,0)</f>
        <v>198</v>
      </c>
      <c r="I12" s="28"/>
      <c r="J12" s="28"/>
      <c r="K12" s="28"/>
    </row>
    <row r="13" spans="1:11" x14ac:dyDescent="0.25">
      <c r="A13" s="2">
        <v>3</v>
      </c>
      <c r="B13" s="3" t="s">
        <v>1037</v>
      </c>
      <c r="C13" s="28">
        <v>2.5583333333333336E-2</v>
      </c>
      <c r="D13" s="29">
        <f>INDEX('Points Summary'!$F$4:$F$1143,G13)</f>
        <v>72.650782880097523</v>
      </c>
      <c r="E13" s="124">
        <f t="shared" si="0"/>
        <v>0.83537496214240003</v>
      </c>
      <c r="F13" s="3"/>
      <c r="G13" s="2">
        <f>MATCH(B13,'Points Summary'!$B$4:$B$1144,0)</f>
        <v>42</v>
      </c>
      <c r="I13" s="28"/>
      <c r="J13" s="28"/>
      <c r="K13" s="28"/>
    </row>
    <row r="14" spans="1:11" x14ac:dyDescent="0.25">
      <c r="A14" s="2">
        <v>8</v>
      </c>
      <c r="B14" s="3" t="s">
        <v>774</v>
      </c>
      <c r="C14" s="28">
        <v>2.7771990740740743E-2</v>
      </c>
      <c r="D14" s="29">
        <f>INDEX('Points Summary'!$F$4:$F$1143,G14)</f>
        <v>71.319535937863435</v>
      </c>
      <c r="E14" s="124">
        <f t="shared" si="0"/>
        <v>0.76954066110421382</v>
      </c>
      <c r="F14" s="3"/>
      <c r="G14" s="2">
        <f>MATCH(B14,'Points Summary'!$B$4:$B$1144,0)</f>
        <v>258</v>
      </c>
      <c r="I14" s="28"/>
      <c r="J14" s="28"/>
      <c r="K14" s="28"/>
    </row>
    <row r="15" spans="1:11" x14ac:dyDescent="0.25">
      <c r="A15" s="2">
        <v>10</v>
      </c>
      <c r="B15" s="3" t="s">
        <v>807</v>
      </c>
      <c r="C15" s="28">
        <v>3.3157407407407406E-2</v>
      </c>
      <c r="D15" s="29">
        <f>INDEX('Points Summary'!$F$4:$F$1143,G15)</f>
        <v>63.342271196195597</v>
      </c>
      <c r="E15" s="124">
        <f t="shared" si="0"/>
        <v>0.64455208612104209</v>
      </c>
      <c r="F15" s="3"/>
      <c r="G15" s="2">
        <f>MATCH(B15,'Points Summary'!$B$4:$B$1144,0)</f>
        <v>433</v>
      </c>
      <c r="I15" s="28"/>
      <c r="J15" s="28"/>
      <c r="K15" s="28"/>
    </row>
    <row r="16" spans="1:11" x14ac:dyDescent="0.25">
      <c r="A16" s="2">
        <v>1</v>
      </c>
      <c r="B16" s="3" t="s">
        <v>839</v>
      </c>
      <c r="C16" s="28">
        <v>2.4581018518518519E-2</v>
      </c>
      <c r="D16" s="29">
        <f>INDEX('Points Summary'!$F$4:$F$1143,G16)</f>
        <v>66.795927850866093</v>
      </c>
      <c r="E16" s="124">
        <f t="shared" si="0"/>
        <v>0.86943818453694377</v>
      </c>
      <c r="F16" s="3"/>
      <c r="G16" s="2">
        <f>MATCH(B16,'Points Summary'!$B$4:$B$1144,0)</f>
        <v>64</v>
      </c>
      <c r="I16" s="28"/>
      <c r="J16" s="28"/>
      <c r="K16" s="28"/>
    </row>
    <row r="17" spans="1:11" x14ac:dyDescent="0.25">
      <c r="A17" s="2">
        <v>7</v>
      </c>
      <c r="B17" s="3" t="s">
        <v>1335</v>
      </c>
      <c r="C17" s="28">
        <v>2.7319444444444448E-2</v>
      </c>
      <c r="D17" s="29">
        <f>INDEX('Points Summary'!$F$4:$F$1143,G17)</f>
        <v>0</v>
      </c>
      <c r="E17" s="124">
        <f t="shared" si="0"/>
        <v>0.78228809367885144</v>
      </c>
      <c r="F17" s="3"/>
      <c r="G17" s="2">
        <f>MATCH(B17,'Points Summary'!$B$4:$B$1144,0)</f>
        <v>95</v>
      </c>
      <c r="I17" s="28"/>
      <c r="J17" s="28"/>
      <c r="K17" s="28"/>
    </row>
    <row r="18" spans="1:11" x14ac:dyDescent="0.25">
      <c r="A18" s="2"/>
      <c r="B18" s="3"/>
      <c r="C18" s="28"/>
      <c r="D18" s="29"/>
      <c r="E18" s="30"/>
      <c r="F18" s="3"/>
      <c r="G18" s="2"/>
      <c r="I18" s="28"/>
      <c r="J18" s="28"/>
      <c r="K18" s="28"/>
    </row>
    <row r="19" spans="1:11" x14ac:dyDescent="0.25">
      <c r="A19" s="2"/>
      <c r="B19" s="3"/>
      <c r="C19" s="28"/>
      <c r="D19" s="29"/>
      <c r="E19" s="30"/>
      <c r="F19" s="3"/>
      <c r="G19" s="2"/>
      <c r="I19" s="28"/>
      <c r="J19" s="28"/>
      <c r="K19" s="28"/>
    </row>
    <row r="20" spans="1:11" x14ac:dyDescent="0.25">
      <c r="A20" s="2"/>
      <c r="B20" s="3"/>
      <c r="C20" s="28"/>
      <c r="D20" s="29"/>
      <c r="E20" s="30"/>
      <c r="F20" s="3"/>
      <c r="G20" s="2"/>
      <c r="I20" s="28"/>
      <c r="J20" s="28"/>
      <c r="K20" s="28"/>
    </row>
    <row r="21" spans="1:11" x14ac:dyDescent="0.25">
      <c r="A21" s="42"/>
      <c r="B21" s="3"/>
      <c r="C21" s="28"/>
      <c r="D21" s="29"/>
      <c r="E21" s="30"/>
      <c r="F21" s="3"/>
      <c r="G21" s="2"/>
      <c r="I21" s="28"/>
      <c r="J21" s="28"/>
      <c r="K21" s="28"/>
    </row>
    <row r="22" spans="1:11" x14ac:dyDescent="0.25">
      <c r="A22" s="53"/>
      <c r="B22" s="3"/>
      <c r="C22" s="28"/>
      <c r="D22" s="29"/>
      <c r="E22" s="30"/>
      <c r="F22" s="3"/>
      <c r="G22" s="2"/>
      <c r="I22" s="28"/>
      <c r="J22" s="28"/>
      <c r="K22" s="28"/>
    </row>
    <row r="23" spans="1:11" x14ac:dyDescent="0.25">
      <c r="A23" s="53"/>
      <c r="B23" s="3"/>
      <c r="C23" s="28"/>
      <c r="D23" s="29"/>
      <c r="E23" s="30"/>
      <c r="F23" s="3"/>
      <c r="G23" s="2"/>
      <c r="I23" s="28"/>
      <c r="J23" s="28"/>
      <c r="K23" s="28"/>
    </row>
    <row r="24" spans="1:11" x14ac:dyDescent="0.25">
      <c r="A24" s="53"/>
      <c r="B24" s="3"/>
      <c r="C24" s="28"/>
      <c r="D24" s="29"/>
      <c r="E24" s="30"/>
      <c r="F24" s="3"/>
      <c r="G24" s="2"/>
    </row>
    <row r="25" spans="1:11" x14ac:dyDescent="0.25">
      <c r="A25" s="53"/>
      <c r="B25" s="3"/>
      <c r="C25" s="28"/>
      <c r="D25" s="29"/>
      <c r="E25" s="30"/>
      <c r="F25" s="3"/>
      <c r="G25" s="2"/>
    </row>
    <row r="26" spans="1:11" x14ac:dyDescent="0.25">
      <c r="A26" s="53"/>
      <c r="B26" s="3"/>
      <c r="C26" s="28"/>
      <c r="D26" s="29"/>
      <c r="E26" s="30"/>
      <c r="F26" s="3"/>
      <c r="G26" s="2"/>
    </row>
    <row r="27" spans="1:11" x14ac:dyDescent="0.25">
      <c r="A27" s="53"/>
      <c r="B27" s="3"/>
      <c r="C27" s="28"/>
      <c r="D27" s="29"/>
      <c r="E27" s="30"/>
      <c r="F27" s="3"/>
      <c r="G27" s="2"/>
    </row>
    <row r="28" spans="1:11" x14ac:dyDescent="0.25">
      <c r="A28" s="53"/>
      <c r="B28" s="3"/>
      <c r="C28" s="28"/>
      <c r="D28" s="29"/>
      <c r="E28" s="30"/>
      <c r="F28" s="3"/>
      <c r="G28" s="2"/>
    </row>
    <row r="29" spans="1:11" x14ac:dyDescent="0.25">
      <c r="A29" s="53"/>
      <c r="B29" s="3"/>
      <c r="C29" s="28"/>
      <c r="D29" s="29"/>
      <c r="E29" s="30"/>
      <c r="F29" s="3"/>
      <c r="G29" s="2"/>
    </row>
  </sheetData>
  <sortState ref="A8:G17">
    <sortCondition descending="1" ref="D8:D17"/>
  </sortState>
  <phoneticPr fontId="9" type="noConversion"/>
  <printOptions horizontalCentered="1"/>
  <pageMargins left="0.75" right="0.75" top="1" bottom="1" header="0.5" footer="0.5"/>
  <pageSetup orientation="portrait" horizontalDpi="1200" verticalDpi="1200" r:id="rId1"/>
  <headerFooter alignWithMargins="0">
    <oddHeader>&amp;L&amp;"Tahoma,Bold"&amp;11U.S. Biathlon Association&amp;R&amp;"Tahoma,Bold"&amp;11 2018 Race Points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workbookViewId="0">
      <selection activeCell="A12" sqref="A12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11" x14ac:dyDescent="0.25">
      <c r="A1" s="16" t="s">
        <v>22</v>
      </c>
      <c r="B1" s="17" t="s">
        <v>1192</v>
      </c>
      <c r="C1" s="18"/>
      <c r="D1" s="18"/>
      <c r="E1" s="18"/>
      <c r="F1" s="18"/>
      <c r="G1" s="19"/>
    </row>
    <row r="2" spans="1:11" x14ac:dyDescent="0.25">
      <c r="A2" s="20" t="s">
        <v>23</v>
      </c>
      <c r="B2" s="21">
        <v>43148</v>
      </c>
      <c r="C2" s="22"/>
      <c r="D2" s="22"/>
      <c r="E2" s="22"/>
      <c r="F2" s="22"/>
      <c r="G2" s="23"/>
    </row>
    <row r="3" spans="1:11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11" x14ac:dyDescent="0.25">
      <c r="A4" s="20" t="s">
        <v>1</v>
      </c>
      <c r="B4" s="24" t="s">
        <v>466</v>
      </c>
      <c r="C4" s="22"/>
      <c r="D4" s="22"/>
      <c r="E4" s="22"/>
      <c r="F4" s="22"/>
      <c r="G4" s="23"/>
    </row>
    <row r="5" spans="1:11" x14ac:dyDescent="0.25">
      <c r="A5" s="20" t="s">
        <v>27</v>
      </c>
      <c r="B5" s="24" t="s">
        <v>1352</v>
      </c>
      <c r="C5" s="22"/>
      <c r="D5" s="22"/>
      <c r="E5" s="22" t="s">
        <v>55</v>
      </c>
      <c r="F5" s="38">
        <f>AVERAGE(C8:C11)*(AVERAGE(D8:D11)/100)</f>
        <v>1.66614474388211E-2</v>
      </c>
      <c r="G5" s="23"/>
    </row>
    <row r="6" spans="1:11" x14ac:dyDescent="0.25">
      <c r="A6" s="25" t="s">
        <v>29</v>
      </c>
      <c r="B6" s="26"/>
      <c r="C6" s="26"/>
      <c r="D6" s="26"/>
      <c r="E6" s="26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  <c r="I7" s="2"/>
      <c r="J7" s="2"/>
      <c r="K7" s="2"/>
    </row>
    <row r="8" spans="1:11" x14ac:dyDescent="0.25">
      <c r="A8" s="2">
        <v>1</v>
      </c>
      <c r="B8" s="3" t="s">
        <v>491</v>
      </c>
      <c r="C8" s="51">
        <v>2.4363425925925927E-2</v>
      </c>
      <c r="D8" s="29">
        <f>INDEX('Points Summary'!$F$4:$F$1143,G8)</f>
        <v>60.524290845204135</v>
      </c>
      <c r="E8" s="124">
        <f>(AVERAGE($D$8:$D$11)/100*AVERAGE($C$8:$C$11))/C8</f>
        <v>0.68387128680006792</v>
      </c>
      <c r="F8" s="3"/>
      <c r="G8" s="2">
        <f>MATCH(B8,'Points Summary'!$B$4:$B$1144,0)</f>
        <v>54</v>
      </c>
      <c r="J8" s="28"/>
      <c r="K8" s="28"/>
    </row>
    <row r="9" spans="1:11" x14ac:dyDescent="0.25">
      <c r="A9" s="2">
        <v>2</v>
      </c>
      <c r="B9" s="3" t="s">
        <v>90</v>
      </c>
      <c r="C9" s="51">
        <v>2.4537037037037038E-2</v>
      </c>
      <c r="D9" s="29">
        <f>INDEX('Points Summary'!$F$4:$F$1143,G9)</f>
        <v>64.679230598182357</v>
      </c>
      <c r="E9" s="124">
        <f>(AVERAGE($D$8:$D$11)/100*AVERAGE($C$8:$C$11))/C9</f>
        <v>0.67903257486516178</v>
      </c>
      <c r="F9" s="3"/>
      <c r="G9" s="2">
        <f>MATCH(B9,'Points Summary'!$B$4:$B$1144,0)</f>
        <v>334</v>
      </c>
      <c r="J9" s="28"/>
      <c r="K9" s="28"/>
    </row>
    <row r="10" spans="1:11" x14ac:dyDescent="0.25">
      <c r="A10" s="2">
        <v>3</v>
      </c>
      <c r="B10" s="3" t="s">
        <v>767</v>
      </c>
      <c r="C10" s="51">
        <v>2.8298611111111111E-2</v>
      </c>
      <c r="D10" s="29">
        <f>INDEX('Points Summary'!$F$4:$F$1143,G10)</f>
        <v>60.533894385989399</v>
      </c>
      <c r="E10" s="124">
        <f>(AVERAGE($D$8:$D$11)/100*AVERAGE($C$8:$C$11))/C10</f>
        <v>0.58877262115097873</v>
      </c>
      <c r="F10" s="3"/>
      <c r="G10" s="2">
        <f>MATCH(B10,'Points Summary'!$B$4:$B$1144,0)</f>
        <v>456</v>
      </c>
      <c r="J10" s="28"/>
      <c r="K10" s="28"/>
    </row>
    <row r="11" spans="1:11" x14ac:dyDescent="0.25">
      <c r="A11" s="2">
        <v>4</v>
      </c>
      <c r="B11" s="3" t="s">
        <v>186</v>
      </c>
      <c r="C11" s="51">
        <v>2.8726851851851851E-2</v>
      </c>
      <c r="D11" s="29">
        <f>INDEX('Points Summary'!$F$4:$F$1143,G11)</f>
        <v>65.932000029740067</v>
      </c>
      <c r="E11" s="124">
        <f>(AVERAGE($D$8:$D$11)/100*AVERAGE($C$8:$C$11))/C11</f>
        <v>0.57999559174623005</v>
      </c>
      <c r="F11" s="3"/>
      <c r="G11" s="2">
        <f>MATCH(B11,'Points Summary'!$B$4:$B$1144,0)</f>
        <v>71</v>
      </c>
      <c r="J11" s="28"/>
      <c r="K11" s="28"/>
    </row>
    <row r="12" spans="1:11" x14ac:dyDescent="0.25">
      <c r="A12" s="2"/>
      <c r="B12" s="3"/>
      <c r="C12" s="51"/>
      <c r="D12" s="29"/>
      <c r="E12" s="30"/>
      <c r="F12" s="3"/>
      <c r="G12" s="2"/>
    </row>
    <row r="13" spans="1:11" x14ac:dyDescent="0.25">
      <c r="A13" s="2"/>
      <c r="B13" s="3"/>
      <c r="C13" s="51"/>
      <c r="D13" s="51"/>
      <c r="E13" s="51"/>
      <c r="F13" s="51"/>
      <c r="G13" s="2"/>
    </row>
    <row r="14" spans="1:11" x14ac:dyDescent="0.25">
      <c r="A14" s="2"/>
      <c r="B14" s="3"/>
      <c r="C14" s="51"/>
      <c r="D14" s="51"/>
      <c r="E14" s="51"/>
      <c r="F14" s="51"/>
      <c r="G14" s="2"/>
    </row>
    <row r="15" spans="1:11" x14ac:dyDescent="0.25">
      <c r="A15" s="2"/>
      <c r="B15" s="3"/>
      <c r="C15" s="51"/>
      <c r="D15" s="51"/>
      <c r="E15" s="51"/>
      <c r="F15" s="51"/>
      <c r="G15" s="2"/>
    </row>
    <row r="16" spans="1:11" x14ac:dyDescent="0.25">
      <c r="A16" s="2"/>
      <c r="B16" s="3"/>
      <c r="C16" s="51"/>
      <c r="D16" s="29"/>
      <c r="E16" s="30"/>
      <c r="F16" s="3"/>
      <c r="G16" s="2"/>
    </row>
    <row r="17" spans="1:7" x14ac:dyDescent="0.25">
      <c r="A17" s="2"/>
      <c r="B17" s="3"/>
      <c r="C17" s="51"/>
      <c r="D17" s="29"/>
      <c r="E17" s="30"/>
      <c r="F17" s="3"/>
      <c r="G17" s="2"/>
    </row>
    <row r="18" spans="1:7" x14ac:dyDescent="0.25">
      <c r="A18" s="2"/>
      <c r="B18" s="3"/>
      <c r="C18" s="51"/>
      <c r="D18" s="29"/>
      <c r="E18" s="30"/>
      <c r="F18" s="3"/>
      <c r="G18" s="2"/>
    </row>
    <row r="19" spans="1:7" x14ac:dyDescent="0.25">
      <c r="A19" s="2"/>
      <c r="B19" s="3"/>
      <c r="C19" s="51"/>
      <c r="D19" s="29"/>
      <c r="E19" s="30"/>
      <c r="F19" s="3"/>
      <c r="G19" s="2"/>
    </row>
    <row r="20" spans="1:7" x14ac:dyDescent="0.25">
      <c r="A20" s="2"/>
      <c r="B20" s="3"/>
      <c r="C20" s="51"/>
      <c r="D20" s="29"/>
      <c r="E20" s="30"/>
      <c r="F20" s="3"/>
      <c r="G20" s="2"/>
    </row>
    <row r="21" spans="1:7" x14ac:dyDescent="0.25">
      <c r="A21" s="2"/>
      <c r="B21" s="3"/>
      <c r="C21" s="51"/>
      <c r="D21" s="29"/>
      <c r="E21" s="30"/>
      <c r="F21" s="3"/>
      <c r="G21" s="2"/>
    </row>
    <row r="22" spans="1:7" x14ac:dyDescent="0.25">
      <c r="A22" s="2"/>
      <c r="B22" s="3"/>
      <c r="C22" s="51"/>
      <c r="D22" s="29"/>
      <c r="E22" s="30"/>
      <c r="F22" s="3"/>
      <c r="G22" s="2"/>
    </row>
    <row r="23" spans="1:7" x14ac:dyDescent="0.25">
      <c r="A23" s="2"/>
      <c r="B23" s="3"/>
      <c r="C23" s="51"/>
      <c r="D23" s="29"/>
      <c r="E23" s="30"/>
      <c r="F23" s="3"/>
      <c r="G23" s="2"/>
    </row>
    <row r="24" spans="1:7" x14ac:dyDescent="0.25">
      <c r="A24" s="2"/>
      <c r="B24" s="3"/>
      <c r="C24" s="51"/>
      <c r="D24" s="29"/>
      <c r="E24" s="30"/>
      <c r="F24" s="3"/>
      <c r="G24" s="2"/>
    </row>
    <row r="25" spans="1:7" x14ac:dyDescent="0.25">
      <c r="A25" s="2"/>
      <c r="B25" s="3"/>
      <c r="C25" s="51"/>
      <c r="D25" s="29"/>
      <c r="E25" s="30"/>
      <c r="F25" s="3"/>
      <c r="G25" s="2"/>
    </row>
    <row r="26" spans="1:7" x14ac:dyDescent="0.25">
      <c r="A26" s="2"/>
      <c r="B26" s="3"/>
      <c r="C26" s="51"/>
      <c r="D26" s="29"/>
      <c r="E26" s="30"/>
      <c r="F26" s="3"/>
      <c r="G26" s="2"/>
    </row>
    <row r="27" spans="1:7" x14ac:dyDescent="0.25">
      <c r="A27" s="2"/>
      <c r="B27" s="3"/>
      <c r="C27" s="51"/>
      <c r="D27" s="29"/>
      <c r="E27" s="30"/>
      <c r="F27" s="3"/>
      <c r="G27" s="2"/>
    </row>
    <row r="28" spans="1:7" x14ac:dyDescent="0.25">
      <c r="A28" s="2"/>
      <c r="B28" s="3"/>
      <c r="C28" s="51"/>
      <c r="D28" s="29"/>
      <c r="E28" s="30"/>
      <c r="F28" s="3"/>
      <c r="G28" s="2"/>
    </row>
    <row r="29" spans="1:7" x14ac:dyDescent="0.25">
      <c r="A29" s="2"/>
      <c r="B29" s="3"/>
      <c r="C29" s="51"/>
      <c r="D29" s="29"/>
      <c r="E29" s="30"/>
      <c r="F29" s="3"/>
      <c r="G29" s="2"/>
    </row>
    <row r="30" spans="1:7" x14ac:dyDescent="0.25">
      <c r="A30" s="2"/>
      <c r="B30" s="3"/>
      <c r="C30" s="51"/>
      <c r="D30" s="29"/>
      <c r="E30" s="30"/>
      <c r="F30" s="3"/>
      <c r="G30" s="2"/>
    </row>
    <row r="31" spans="1:7" x14ac:dyDescent="0.25">
      <c r="A31" s="2"/>
      <c r="B31" s="3"/>
      <c r="C31" s="51"/>
      <c r="D31" s="29"/>
      <c r="E31" s="30"/>
      <c r="F31" s="3"/>
      <c r="G31" s="2"/>
    </row>
  </sheetData>
  <sortState ref="A8:G11">
    <sortCondition descending="1" ref="D8:D11"/>
  </sortState>
  <phoneticPr fontId="9" type="noConversion"/>
  <printOptions horizontalCentered="1"/>
  <pageMargins left="0.75" right="0.75" top="1" bottom="1" header="0.5" footer="0.5"/>
  <pageSetup orientation="portrait" horizontalDpi="1200" verticalDpi="1200" r:id="rId1"/>
  <headerFooter alignWithMargins="0">
    <oddHeader>&amp;L&amp;"Tahoma,Bold"&amp;11U.S. Biathlon Association&amp;R&amp;"Tahoma,Bold"&amp;11 2018 Race Points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workbookViewId="0">
      <selection activeCell="F11" sqref="F11"/>
    </sheetView>
  </sheetViews>
  <sheetFormatPr defaultRowHeight="13.2" x14ac:dyDescent="0.25"/>
  <cols>
    <col min="2" max="2" width="24.6640625" customWidth="1"/>
    <col min="3" max="8" width="9.6640625" customWidth="1"/>
  </cols>
  <sheetData>
    <row r="1" spans="1:11" x14ac:dyDescent="0.25">
      <c r="A1" s="16" t="s">
        <v>22</v>
      </c>
      <c r="B1" s="17" t="s">
        <v>1192</v>
      </c>
      <c r="C1" s="18"/>
      <c r="D1" s="18"/>
      <c r="E1" s="18"/>
      <c r="F1" s="18"/>
      <c r="G1" s="19"/>
    </row>
    <row r="2" spans="1:11" x14ac:dyDescent="0.25">
      <c r="A2" s="20" t="s">
        <v>23</v>
      </c>
      <c r="B2" s="21">
        <v>43149</v>
      </c>
      <c r="C2" s="22"/>
      <c r="D2" s="22"/>
      <c r="E2" s="22"/>
      <c r="F2" s="22"/>
      <c r="G2" s="23"/>
    </row>
    <row r="3" spans="1:11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11" x14ac:dyDescent="0.25">
      <c r="A4" s="20" t="s">
        <v>1</v>
      </c>
      <c r="B4" s="24" t="s">
        <v>466</v>
      </c>
      <c r="C4" s="22"/>
      <c r="D4" s="22"/>
      <c r="E4" s="22"/>
      <c r="F4" s="22"/>
      <c r="G4" s="23"/>
    </row>
    <row r="5" spans="1:11" x14ac:dyDescent="0.25">
      <c r="A5" s="20" t="s">
        <v>27</v>
      </c>
      <c r="B5" s="24" t="s">
        <v>1352</v>
      </c>
      <c r="C5" s="22"/>
      <c r="D5" s="22"/>
      <c r="E5" s="22" t="s">
        <v>55</v>
      </c>
      <c r="F5" s="38">
        <f>AVERAGE(C8:C11)*(AVERAGE(D8:D11)/100)</f>
        <v>2.3807821048128005E-2</v>
      </c>
      <c r="G5" s="23"/>
    </row>
    <row r="6" spans="1:11" x14ac:dyDescent="0.25">
      <c r="A6" s="25" t="s">
        <v>29</v>
      </c>
      <c r="B6" s="26"/>
      <c r="C6" s="26"/>
      <c r="D6" s="26"/>
      <c r="E6" s="26"/>
      <c r="F6" s="26"/>
      <c r="G6" s="27"/>
    </row>
    <row r="7" spans="1:11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11" x14ac:dyDescent="0.25">
      <c r="A8" s="2">
        <v>1</v>
      </c>
      <c r="B8" s="3" t="s">
        <v>491</v>
      </c>
      <c r="C8" s="51">
        <f>TIME(0,51,34)</f>
        <v>3.5810185185185188E-2</v>
      </c>
      <c r="D8" s="29">
        <f>INDEX('Points Summary'!$F$4:$F$1143,G8)</f>
        <v>60.524290845204135</v>
      </c>
      <c r="E8" s="124">
        <f>(AVERAGE($D$8:$D$11)/100*AVERAGE($C$8:$C$11))/C8</f>
        <v>0.66483378751074962</v>
      </c>
      <c r="F8" s="3"/>
      <c r="G8" s="2">
        <f>MATCH(B8,'Points Summary'!$B$4:$B$1144,0)</f>
        <v>54</v>
      </c>
      <c r="I8" s="28"/>
      <c r="J8" s="28"/>
      <c r="K8" s="28"/>
    </row>
    <row r="9" spans="1:11" x14ac:dyDescent="0.25">
      <c r="A9" s="2">
        <v>2</v>
      </c>
      <c r="B9" s="3" t="s">
        <v>90</v>
      </c>
      <c r="C9" s="51">
        <f>TIME(0,52,5)</f>
        <v>3.6168981481481483E-2</v>
      </c>
      <c r="D9" s="29">
        <f>INDEX('Points Summary'!$F$4:$F$1143,G9)</f>
        <v>64.679230598182357</v>
      </c>
      <c r="E9" s="124">
        <f>(AVERAGE($D$8:$D$11)/100*AVERAGE($C$8:$C$11))/C9</f>
        <v>0.6582386363386431</v>
      </c>
      <c r="F9" s="3"/>
      <c r="G9" s="2">
        <f>MATCH(B9,'Points Summary'!$B$4:$B$1144,0)</f>
        <v>334</v>
      </c>
      <c r="I9" s="28"/>
      <c r="J9" s="28"/>
      <c r="K9" s="28"/>
    </row>
    <row r="10" spans="1:11" x14ac:dyDescent="0.25">
      <c r="A10" s="2">
        <v>3</v>
      </c>
      <c r="B10" s="3" t="s">
        <v>186</v>
      </c>
      <c r="C10" s="51">
        <f>TIME(1,0,48)</f>
        <v>4.2222222222222223E-2</v>
      </c>
      <c r="D10" s="29">
        <f>INDEX('Points Summary'!$F$4:$F$1143,G10)</f>
        <v>65.932000029740067</v>
      </c>
      <c r="E10" s="124">
        <f>(AVERAGE($D$8:$D$11)/100*AVERAGE($C$8:$C$11))/C10</f>
        <v>0.56386944587671584</v>
      </c>
      <c r="F10" s="3"/>
      <c r="G10" s="2">
        <f>MATCH(B10,'Points Summary'!$B$4:$B$1144,0)</f>
        <v>71</v>
      </c>
    </row>
    <row r="11" spans="1:11" x14ac:dyDescent="0.25">
      <c r="A11" s="2">
        <v>4</v>
      </c>
      <c r="B11" s="3" t="s">
        <v>281</v>
      </c>
      <c r="C11" s="51">
        <f>TIME(1,8,45)</f>
        <v>4.7743055555555552E-2</v>
      </c>
      <c r="D11" s="29">
        <f>INDEX('Points Summary'!$F$4:$F$1143,G11)</f>
        <v>44.084117012666376</v>
      </c>
      <c r="E11" s="124">
        <f>(AVERAGE($D$8:$D$11)/100*AVERAGE($C$8:$C$11))/C11</f>
        <v>0.49866563358988114</v>
      </c>
      <c r="F11" s="3"/>
      <c r="G11" s="2">
        <f>MATCH(B11,'Points Summary'!$B$4:$B$1144,0)</f>
        <v>443</v>
      </c>
    </row>
    <row r="12" spans="1:11" x14ac:dyDescent="0.25">
      <c r="A12" s="2"/>
      <c r="B12" s="3"/>
      <c r="C12" s="51"/>
      <c r="D12" s="29"/>
      <c r="E12" s="30"/>
      <c r="F12" s="3"/>
      <c r="G12" s="2"/>
    </row>
    <row r="13" spans="1:11" x14ac:dyDescent="0.25">
      <c r="A13" s="2"/>
      <c r="B13" s="3"/>
      <c r="C13" s="51"/>
      <c r="D13" s="51"/>
      <c r="E13" s="51"/>
      <c r="F13" s="51"/>
      <c r="G13" s="2"/>
    </row>
    <row r="14" spans="1:11" x14ac:dyDescent="0.25">
      <c r="A14" s="2"/>
      <c r="B14" s="3"/>
      <c r="C14" s="51"/>
      <c r="D14" s="51"/>
      <c r="E14" s="51"/>
      <c r="F14" s="51"/>
      <c r="G14" s="2"/>
      <c r="H14" s="2"/>
    </row>
    <row r="15" spans="1:11" x14ac:dyDescent="0.25">
      <c r="A15" s="2"/>
      <c r="B15" s="3"/>
      <c r="C15" s="51"/>
      <c r="D15" s="51"/>
      <c r="E15" s="51"/>
      <c r="F15" s="51"/>
      <c r="G15" s="2"/>
      <c r="H15" s="2"/>
    </row>
    <row r="16" spans="1:11" x14ac:dyDescent="0.25">
      <c r="A16" s="2"/>
      <c r="B16" s="3"/>
      <c r="C16" s="51"/>
      <c r="D16" s="29"/>
      <c r="E16" s="124"/>
      <c r="F16" s="3"/>
      <c r="G16" s="2"/>
    </row>
    <row r="17" spans="1:7" x14ac:dyDescent="0.25">
      <c r="A17" s="2"/>
      <c r="B17" s="3"/>
      <c r="C17" s="51"/>
      <c r="D17" s="29"/>
      <c r="E17" s="124"/>
      <c r="F17" s="3"/>
      <c r="G17" s="2"/>
    </row>
    <row r="18" spans="1:7" x14ac:dyDescent="0.25">
      <c r="A18" s="2"/>
      <c r="B18" s="3"/>
      <c r="C18" s="51"/>
      <c r="D18" s="29"/>
      <c r="E18" s="124"/>
      <c r="F18" s="3"/>
      <c r="G18" s="2"/>
    </row>
    <row r="19" spans="1:7" x14ac:dyDescent="0.25">
      <c r="A19" s="2"/>
      <c r="B19" s="3"/>
      <c r="C19" s="51"/>
      <c r="D19" s="29"/>
      <c r="E19" s="124"/>
      <c r="F19" s="3"/>
      <c r="G19" s="2"/>
    </row>
    <row r="20" spans="1:7" x14ac:dyDescent="0.25">
      <c r="A20" s="2"/>
      <c r="B20" s="3"/>
      <c r="C20" s="51"/>
      <c r="D20" s="29"/>
      <c r="E20" s="124"/>
      <c r="F20" s="3"/>
      <c r="G20" s="2"/>
    </row>
    <row r="21" spans="1:7" x14ac:dyDescent="0.25">
      <c r="A21" s="2"/>
      <c r="B21" s="3"/>
      <c r="C21" s="51"/>
      <c r="D21" s="29"/>
      <c r="E21" s="124"/>
      <c r="F21" s="3"/>
      <c r="G21" s="2"/>
    </row>
    <row r="22" spans="1:7" x14ac:dyDescent="0.25">
      <c r="A22" s="2"/>
      <c r="B22" s="3"/>
      <c r="C22" s="51"/>
      <c r="D22" s="29"/>
      <c r="E22" s="124"/>
      <c r="F22" s="3"/>
      <c r="G22" s="2"/>
    </row>
    <row r="23" spans="1:7" x14ac:dyDescent="0.25">
      <c r="A23" s="2"/>
      <c r="B23" s="3"/>
      <c r="C23" s="51"/>
      <c r="D23" s="29"/>
      <c r="E23" s="124"/>
      <c r="F23" s="3"/>
      <c r="G23" s="2"/>
    </row>
    <row r="24" spans="1:7" x14ac:dyDescent="0.25">
      <c r="A24" s="2"/>
      <c r="B24" s="3"/>
      <c r="C24" s="51"/>
      <c r="D24" s="29"/>
      <c r="E24" s="124"/>
      <c r="F24" s="3"/>
      <c r="G24" s="2"/>
    </row>
    <row r="25" spans="1:7" x14ac:dyDescent="0.25">
      <c r="A25" s="2"/>
      <c r="B25" s="3"/>
      <c r="C25" s="51"/>
      <c r="D25" s="29"/>
      <c r="E25" s="124"/>
      <c r="F25" s="3"/>
      <c r="G25" s="2"/>
    </row>
    <row r="26" spans="1:7" x14ac:dyDescent="0.25">
      <c r="A26" s="2"/>
      <c r="B26" s="3"/>
      <c r="C26" s="51"/>
      <c r="D26" s="29"/>
      <c r="E26" s="124"/>
      <c r="F26" s="3"/>
      <c r="G26" s="2"/>
    </row>
    <row r="27" spans="1:7" x14ac:dyDescent="0.25">
      <c r="A27" s="2"/>
      <c r="B27" s="3"/>
      <c r="C27" s="51"/>
      <c r="D27" s="29"/>
      <c r="E27" s="124"/>
      <c r="F27" s="3"/>
      <c r="G27" s="2"/>
    </row>
    <row r="28" spans="1:7" x14ac:dyDescent="0.25">
      <c r="A28" s="2"/>
      <c r="B28" s="3"/>
      <c r="C28" s="51"/>
      <c r="D28" s="29"/>
      <c r="E28" s="124"/>
      <c r="F28" s="3"/>
      <c r="G28" s="2"/>
    </row>
    <row r="29" spans="1:7" x14ac:dyDescent="0.25">
      <c r="A29" s="2"/>
      <c r="B29" s="3"/>
      <c r="C29" s="51"/>
      <c r="D29" s="29"/>
      <c r="E29" s="124"/>
      <c r="F29" s="3"/>
      <c r="G29" s="2"/>
    </row>
    <row r="30" spans="1:7" x14ac:dyDescent="0.25">
      <c r="A30" s="2"/>
      <c r="B30" s="3"/>
      <c r="C30" s="51"/>
      <c r="D30" s="29"/>
      <c r="E30" s="124"/>
      <c r="F30" s="3"/>
      <c r="G30" s="2"/>
    </row>
    <row r="31" spans="1:7" x14ac:dyDescent="0.25">
      <c r="A31" s="2"/>
      <c r="B31" s="3"/>
      <c r="C31" s="51"/>
      <c r="D31" s="29"/>
      <c r="E31" s="124"/>
      <c r="F31" s="3"/>
      <c r="G31" s="2"/>
    </row>
  </sheetData>
  <sortState ref="A8:G13">
    <sortCondition descending="1" ref="D8:D25"/>
  </sortState>
  <phoneticPr fontId="9" type="noConversion"/>
  <printOptions horizontalCentered="1"/>
  <pageMargins left="0.75" right="0.75" top="1" bottom="1" header="0.5" footer="0.5"/>
  <pageSetup orientation="portrait" horizontalDpi="1200" verticalDpi="1200" r:id="rId1"/>
  <headerFooter alignWithMargins="0">
    <oddHeader>&amp;L&amp;"Tahoma,Bold"&amp;11U.S. Biathlon Association&amp;R&amp;"Tahoma,Bold"&amp;11 2018 Race Points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4"/>
  <sheetViews>
    <sheetView workbookViewId="0">
      <selection activeCell="H7" sqref="H7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 t="s">
        <v>1354</v>
      </c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43195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884</v>
      </c>
      <c r="C5" s="22"/>
      <c r="D5" s="22"/>
      <c r="E5" s="22" t="s">
        <v>55</v>
      </c>
      <c r="F5" s="38">
        <f>AVERAGE(C8:C12)*(AVERAGE(D8:D12)/100)</f>
        <v>1.6958661998251572E-2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15</v>
      </c>
      <c r="B8" s="3" t="s">
        <v>765</v>
      </c>
      <c r="C8" s="28">
        <v>1.7800925925925925E-2</v>
      </c>
      <c r="D8" s="29">
        <f>INDEX('Points Summary'!$F$4:$F$1143,G8)</f>
        <v>89.06928922635062</v>
      </c>
      <c r="E8" s="124">
        <f>(AVERAGE($D$8:$D$12)/100*AVERAGE($C$8:$C$12))/C8</f>
        <v>0.9526842631007385</v>
      </c>
      <c r="F8" s="3"/>
      <c r="G8" s="2">
        <f>MATCH(B8,'Points Summary'!$B$4:$B$1144,0)</f>
        <v>97</v>
      </c>
    </row>
    <row r="9" spans="1:7" x14ac:dyDescent="0.25">
      <c r="A9" s="2">
        <v>46</v>
      </c>
      <c r="B9" s="3" t="s">
        <v>714</v>
      </c>
      <c r="C9" s="28">
        <v>1.9103009259259261E-2</v>
      </c>
      <c r="D9" s="29">
        <f>INDEX('Points Summary'!$F$4:$F$1143,G9)</f>
        <v>83.939036057542722</v>
      </c>
      <c r="E9" s="124">
        <f t="shared" ref="E9:E17" si="0">(AVERAGE($D$8:$D$12)/100*AVERAGE($C$8:$C$12))/C9</f>
        <v>0.88774819548557149</v>
      </c>
      <c r="F9" s="3"/>
      <c r="G9" s="2">
        <f>MATCH(B9,'Points Summary'!$B$4:$B$1144,0)</f>
        <v>220</v>
      </c>
    </row>
    <row r="10" spans="1:7" x14ac:dyDescent="0.25">
      <c r="A10" s="2">
        <v>48</v>
      </c>
      <c r="B10" s="3" t="s">
        <v>1119</v>
      </c>
      <c r="C10" s="28">
        <v>1.9245370370370371E-2</v>
      </c>
      <c r="D10" s="29">
        <f>INDEX('Points Summary'!$F$4:$F$1143,G10)</f>
        <v>86.746926051346932</v>
      </c>
      <c r="E10" s="124">
        <f t="shared" si="0"/>
        <v>0.88118137878814995</v>
      </c>
      <c r="F10" s="3"/>
      <c r="G10" s="2">
        <f>MATCH(B10,'Points Summary'!$B$4:$B$1144,0)</f>
        <v>349</v>
      </c>
    </row>
    <row r="11" spans="1:7" x14ac:dyDescent="0.25">
      <c r="A11" s="2">
        <v>60</v>
      </c>
      <c r="B11" s="3" t="s">
        <v>718</v>
      </c>
      <c r="C11" s="28">
        <v>2.1611111111111112E-2</v>
      </c>
      <c r="D11" s="29">
        <f>INDEX('Points Summary'!$F$4:$F$1143,G11)</f>
        <v>81.013290109009503</v>
      </c>
      <c r="E11" s="124">
        <f t="shared" si="0"/>
        <v>0.78471957832526551</v>
      </c>
      <c r="F11" s="3"/>
      <c r="G11" s="2">
        <f>MATCH(B11,'Points Summary'!$B$4:$B$1144,0)</f>
        <v>305</v>
      </c>
    </row>
    <row r="12" spans="1:7" x14ac:dyDescent="0.25">
      <c r="A12" s="2">
        <v>64</v>
      </c>
      <c r="B12" s="3" t="s">
        <v>729</v>
      </c>
      <c r="C12" s="28">
        <v>2.4255787037037038E-2</v>
      </c>
      <c r="D12" s="29">
        <f>INDEX('Points Summary'!$F$4:$F$1143,G12)</f>
        <v>74.818918747524734</v>
      </c>
      <c r="E12" s="124">
        <f t="shared" si="0"/>
        <v>0.69915942007393028</v>
      </c>
      <c r="F12" s="3"/>
      <c r="G12" s="2">
        <f>MATCH(B12,'Points Summary'!$B$4:$B$1144,0)</f>
        <v>252</v>
      </c>
    </row>
    <row r="13" spans="1:7" x14ac:dyDescent="0.25">
      <c r="A13" s="2"/>
      <c r="B13" s="3"/>
      <c r="C13" s="28"/>
      <c r="D13" s="29"/>
      <c r="E13" s="124"/>
      <c r="F13" s="3"/>
      <c r="G13" s="2"/>
    </row>
    <row r="14" spans="1:7" x14ac:dyDescent="0.25">
      <c r="A14" s="2"/>
      <c r="B14" s="3"/>
      <c r="C14" s="28"/>
      <c r="D14" s="29"/>
      <c r="E14" s="124"/>
      <c r="F14" s="3"/>
      <c r="G14" s="2"/>
    </row>
    <row r="15" spans="1:7" x14ac:dyDescent="0.25">
      <c r="A15" s="2"/>
      <c r="B15" s="3"/>
      <c r="C15" s="28"/>
      <c r="D15" s="29"/>
      <c r="E15" s="124"/>
      <c r="F15" s="3"/>
      <c r="G15" s="2"/>
    </row>
    <row r="16" spans="1:7" x14ac:dyDescent="0.25">
      <c r="A16" s="2"/>
      <c r="B16" s="3"/>
      <c r="C16" s="28"/>
      <c r="D16" s="29"/>
      <c r="E16" s="124"/>
      <c r="F16" s="3"/>
      <c r="G16" s="2"/>
    </row>
    <row r="17" spans="1:7" x14ac:dyDescent="0.25">
      <c r="A17" s="2"/>
      <c r="B17" s="3"/>
      <c r="C17" s="28"/>
      <c r="D17" s="29"/>
      <c r="E17" s="124"/>
      <c r="F17" s="3"/>
      <c r="G17" s="2"/>
    </row>
    <row r="18" spans="1:7" x14ac:dyDescent="0.25">
      <c r="A18" s="2"/>
      <c r="B18" s="3"/>
      <c r="C18" s="28"/>
      <c r="D18" s="29"/>
      <c r="E18" s="30"/>
      <c r="F18" s="3"/>
      <c r="G18" s="2"/>
    </row>
    <row r="19" spans="1:7" x14ac:dyDescent="0.25">
      <c r="A19" s="2"/>
      <c r="B19" s="3"/>
      <c r="C19" s="28"/>
      <c r="D19" s="29"/>
      <c r="E19" s="30"/>
      <c r="F19" s="3"/>
      <c r="G19" s="2"/>
    </row>
    <row r="20" spans="1:7" x14ac:dyDescent="0.25">
      <c r="A20" s="2"/>
      <c r="B20" s="3"/>
      <c r="C20" s="28"/>
      <c r="D20" s="29"/>
      <c r="E20" s="30"/>
      <c r="F20" s="3"/>
      <c r="G20" s="2"/>
    </row>
    <row r="21" spans="1:7" x14ac:dyDescent="0.25">
      <c r="A21" s="2"/>
      <c r="B21" s="3"/>
      <c r="C21" s="28"/>
      <c r="D21" s="29"/>
      <c r="E21" s="30"/>
      <c r="F21" s="3"/>
      <c r="G21" s="2"/>
    </row>
    <row r="22" spans="1:7" x14ac:dyDescent="0.25">
      <c r="A22" s="2"/>
      <c r="B22" s="3"/>
      <c r="C22" s="28"/>
      <c r="D22" s="29"/>
      <c r="E22" s="30"/>
      <c r="F22" s="3"/>
      <c r="G22" s="2"/>
    </row>
    <row r="23" spans="1:7" x14ac:dyDescent="0.25">
      <c r="A23" s="2"/>
      <c r="B23" s="3"/>
      <c r="C23" s="28"/>
      <c r="D23" s="29"/>
      <c r="E23" s="30"/>
      <c r="F23" s="3"/>
      <c r="G23" s="2"/>
    </row>
    <row r="24" spans="1:7" x14ac:dyDescent="0.25">
      <c r="A24" s="2"/>
      <c r="B24" s="3"/>
      <c r="C24" s="28"/>
      <c r="D24" s="29"/>
      <c r="E24" s="30"/>
      <c r="F24" s="3"/>
      <c r="G24" s="2"/>
    </row>
    <row r="25" spans="1:7" x14ac:dyDescent="0.25">
      <c r="A25" s="2"/>
      <c r="B25" s="3"/>
      <c r="C25" s="28"/>
      <c r="D25" s="29"/>
      <c r="E25" s="30"/>
      <c r="F25" s="3"/>
      <c r="G25" s="2"/>
    </row>
    <row r="26" spans="1:7" x14ac:dyDescent="0.25">
      <c r="A26" s="2"/>
      <c r="C26" s="28"/>
      <c r="D26" s="29"/>
      <c r="E26" s="30"/>
      <c r="F26" s="3"/>
      <c r="G26" s="2"/>
    </row>
    <row r="27" spans="1:7" x14ac:dyDescent="0.25">
      <c r="A27" s="2"/>
      <c r="C27" s="28"/>
      <c r="D27" s="29"/>
      <c r="E27" s="30"/>
      <c r="F27" s="3"/>
      <c r="G27" s="2"/>
    </row>
    <row r="28" spans="1:7" x14ac:dyDescent="0.25">
      <c r="A28" s="2"/>
      <c r="C28" s="28"/>
      <c r="D28" s="29"/>
      <c r="E28" s="30"/>
      <c r="F28" s="3"/>
      <c r="G28" s="2"/>
    </row>
    <row r="29" spans="1:7" x14ac:dyDescent="0.25">
      <c r="A29" s="2"/>
      <c r="C29" s="28"/>
      <c r="D29" s="29"/>
      <c r="E29" s="30"/>
      <c r="F29" s="3"/>
      <c r="G29" s="2"/>
    </row>
    <row r="30" spans="1:7" x14ac:dyDescent="0.25">
      <c r="A30" s="2"/>
      <c r="C30" s="28"/>
      <c r="D30" s="29"/>
      <c r="E30" s="30"/>
      <c r="F30" s="3"/>
      <c r="G30" s="2"/>
    </row>
    <row r="31" spans="1:7" x14ac:dyDescent="0.25">
      <c r="A31" s="2"/>
      <c r="C31" s="28"/>
      <c r="D31" s="29"/>
      <c r="E31" s="30"/>
      <c r="F31" s="3"/>
      <c r="G31" s="2"/>
    </row>
    <row r="32" spans="1:7" x14ac:dyDescent="0.25">
      <c r="A32" s="2"/>
      <c r="C32" s="28"/>
      <c r="D32" s="29"/>
      <c r="E32" s="30"/>
      <c r="F32" s="3"/>
      <c r="G32" s="2"/>
    </row>
    <row r="33" spans="1:7" x14ac:dyDescent="0.25">
      <c r="A33" s="2"/>
      <c r="C33" s="28"/>
      <c r="D33" s="29"/>
      <c r="E33" s="30"/>
      <c r="F33" s="3"/>
      <c r="G33" s="2"/>
    </row>
    <row r="34" spans="1:7" x14ac:dyDescent="0.25">
      <c r="A34" s="2"/>
      <c r="C34" s="28"/>
      <c r="D34" s="29"/>
      <c r="E34" s="30"/>
      <c r="F34" s="3"/>
      <c r="G34" s="2"/>
    </row>
    <row r="35" spans="1:7" x14ac:dyDescent="0.25">
      <c r="A35" s="2"/>
      <c r="C35" s="28"/>
      <c r="D35" s="29"/>
      <c r="E35" s="30"/>
      <c r="F35" s="3"/>
      <c r="G35" s="2"/>
    </row>
    <row r="36" spans="1:7" x14ac:dyDescent="0.25">
      <c r="A36" s="2"/>
      <c r="B36" s="3"/>
      <c r="C36" s="28"/>
      <c r="D36" s="29"/>
      <c r="E36" s="30"/>
      <c r="F36" s="3"/>
      <c r="G36" s="2"/>
    </row>
    <row r="37" spans="1:7" x14ac:dyDescent="0.25">
      <c r="A37" s="2"/>
      <c r="B37" s="3"/>
      <c r="C37" s="28"/>
      <c r="D37" s="29"/>
      <c r="E37" s="30"/>
      <c r="F37" s="3"/>
      <c r="G37" s="2"/>
    </row>
    <row r="38" spans="1:7" x14ac:dyDescent="0.25">
      <c r="A38" s="2"/>
      <c r="B38" s="3"/>
      <c r="C38" s="28"/>
      <c r="D38" s="29"/>
      <c r="E38" s="30"/>
      <c r="F38" s="3"/>
      <c r="G38" s="2"/>
    </row>
    <row r="39" spans="1:7" x14ac:dyDescent="0.25">
      <c r="A39" s="2"/>
      <c r="B39" s="3"/>
      <c r="C39" s="28"/>
      <c r="D39" s="29"/>
      <c r="E39" s="30"/>
      <c r="F39" s="3"/>
      <c r="G39" s="2"/>
    </row>
    <row r="40" spans="1:7" x14ac:dyDescent="0.25">
      <c r="A40" s="2"/>
      <c r="B40" s="3"/>
      <c r="C40" s="28"/>
      <c r="D40" s="29"/>
      <c r="E40" s="30"/>
      <c r="F40" s="3"/>
      <c r="G40" s="2"/>
    </row>
    <row r="41" spans="1:7" x14ac:dyDescent="0.25">
      <c r="A41" s="2"/>
      <c r="B41" s="3"/>
      <c r="C41" s="28"/>
      <c r="D41" s="29"/>
      <c r="E41" s="30"/>
      <c r="F41" s="3"/>
      <c r="G41" s="2"/>
    </row>
    <row r="42" spans="1:7" x14ac:dyDescent="0.25">
      <c r="A42" s="2"/>
      <c r="B42" s="3"/>
      <c r="C42" s="28"/>
      <c r="D42" s="29"/>
      <c r="E42" s="30"/>
      <c r="F42" s="3"/>
      <c r="G42" s="2"/>
    </row>
    <row r="43" spans="1:7" x14ac:dyDescent="0.25">
      <c r="A43" s="2"/>
      <c r="B43" s="3"/>
      <c r="C43" s="28"/>
      <c r="D43" s="29"/>
      <c r="E43" s="30"/>
      <c r="F43" s="3"/>
      <c r="G43" s="2"/>
    </row>
    <row r="44" spans="1:7" x14ac:dyDescent="0.25">
      <c r="A44" s="2"/>
      <c r="B44" s="3"/>
      <c r="C44" s="28"/>
      <c r="D44" s="29"/>
      <c r="E44" s="30"/>
      <c r="F44" s="3"/>
      <c r="G44" s="2"/>
    </row>
    <row r="45" spans="1:7" x14ac:dyDescent="0.25">
      <c r="A45" s="2"/>
      <c r="B45" s="3"/>
      <c r="C45" s="28"/>
      <c r="D45" s="29"/>
      <c r="E45" s="30"/>
      <c r="F45" s="3"/>
      <c r="G45" s="2"/>
    </row>
    <row r="46" spans="1:7" x14ac:dyDescent="0.25">
      <c r="A46" s="2"/>
      <c r="B46" s="3"/>
      <c r="C46" s="28"/>
      <c r="D46" s="29"/>
      <c r="E46" s="30"/>
      <c r="F46" s="3"/>
      <c r="G46" s="2"/>
    </row>
    <row r="47" spans="1:7" x14ac:dyDescent="0.25">
      <c r="A47" s="2"/>
      <c r="B47" s="3"/>
      <c r="C47" s="28"/>
      <c r="D47" s="29"/>
      <c r="E47" s="30"/>
      <c r="F47" s="3"/>
      <c r="G47" s="2"/>
    </row>
    <row r="48" spans="1:7" x14ac:dyDescent="0.25">
      <c r="A48" s="2"/>
      <c r="B48" s="3"/>
      <c r="C48" s="28"/>
      <c r="D48" s="29"/>
      <c r="E48" s="30"/>
      <c r="F48" s="3"/>
      <c r="G48" s="2"/>
    </row>
    <row r="49" spans="1:7" x14ac:dyDescent="0.25">
      <c r="A49" s="2"/>
      <c r="B49" s="3"/>
      <c r="C49" s="28"/>
      <c r="D49" s="29"/>
      <c r="E49" s="30"/>
      <c r="F49" s="3"/>
      <c r="G49" s="2"/>
    </row>
    <row r="50" spans="1:7" x14ac:dyDescent="0.25">
      <c r="A50" s="2"/>
      <c r="B50" s="3"/>
      <c r="C50" s="28"/>
      <c r="D50" s="29"/>
      <c r="E50" s="30"/>
      <c r="F50" s="3"/>
      <c r="G50" s="2"/>
    </row>
    <row r="51" spans="1:7" x14ac:dyDescent="0.25">
      <c r="A51" s="2"/>
      <c r="B51" s="3"/>
      <c r="C51" s="28"/>
      <c r="D51" s="29"/>
      <c r="E51" s="30"/>
      <c r="F51" s="3"/>
      <c r="G51" s="2"/>
    </row>
    <row r="52" spans="1:7" x14ac:dyDescent="0.25">
      <c r="A52" s="2"/>
      <c r="B52" s="3"/>
      <c r="C52" s="28"/>
      <c r="D52" s="29"/>
      <c r="E52" s="30"/>
      <c r="F52" s="3"/>
      <c r="G52" s="2"/>
    </row>
    <row r="53" spans="1:7" x14ac:dyDescent="0.25">
      <c r="A53" s="2"/>
      <c r="B53" s="3"/>
      <c r="C53" s="28"/>
      <c r="D53" s="29"/>
      <c r="E53" s="30"/>
      <c r="F53" s="3"/>
      <c r="G53" s="2"/>
    </row>
    <row r="54" spans="1:7" x14ac:dyDescent="0.25">
      <c r="A54" s="2"/>
      <c r="B54" s="3"/>
      <c r="C54" s="28"/>
      <c r="D54" s="29"/>
      <c r="E54" s="30"/>
      <c r="F54" s="3"/>
      <c r="G54" s="2"/>
    </row>
    <row r="55" spans="1:7" x14ac:dyDescent="0.25">
      <c r="A55" s="2"/>
      <c r="B55" s="3"/>
      <c r="C55" s="28"/>
      <c r="D55" s="29"/>
      <c r="E55" s="30"/>
      <c r="F55" s="3"/>
      <c r="G55" s="2"/>
    </row>
    <row r="56" spans="1:7" x14ac:dyDescent="0.25">
      <c r="A56" s="2"/>
      <c r="B56" s="3"/>
      <c r="C56" s="28"/>
      <c r="D56" s="29"/>
      <c r="E56" s="30"/>
      <c r="F56" s="3"/>
      <c r="G56" s="2"/>
    </row>
    <row r="57" spans="1:7" x14ac:dyDescent="0.25">
      <c r="A57" s="2"/>
      <c r="B57" s="3"/>
      <c r="C57" s="28"/>
      <c r="D57" s="29"/>
      <c r="E57" s="30"/>
      <c r="F57" s="3"/>
      <c r="G57" s="2"/>
    </row>
    <row r="58" spans="1:7" x14ac:dyDescent="0.25">
      <c r="A58" s="2"/>
      <c r="B58" s="3"/>
      <c r="C58" s="28"/>
      <c r="D58" s="29"/>
      <c r="E58" s="30"/>
      <c r="F58" s="3"/>
      <c r="G58" s="2"/>
    </row>
    <row r="59" spans="1:7" x14ac:dyDescent="0.25">
      <c r="A59" s="2"/>
      <c r="B59" s="3"/>
      <c r="C59" s="28"/>
      <c r="D59" s="29"/>
      <c r="E59" s="30"/>
      <c r="F59" s="3"/>
      <c r="G59" s="2"/>
    </row>
    <row r="60" spans="1:7" x14ac:dyDescent="0.25">
      <c r="A60" s="2"/>
      <c r="B60" s="3"/>
      <c r="C60" s="28"/>
      <c r="D60" s="29"/>
      <c r="E60" s="30"/>
      <c r="F60" s="3"/>
      <c r="G60" s="2"/>
    </row>
    <row r="61" spans="1:7" x14ac:dyDescent="0.25">
      <c r="A61" s="2"/>
      <c r="B61" s="3"/>
      <c r="C61" s="28"/>
      <c r="D61" s="29"/>
      <c r="E61" s="30"/>
      <c r="F61" s="3"/>
      <c r="G61" s="2"/>
    </row>
    <row r="62" spans="1:7" x14ac:dyDescent="0.25">
      <c r="A62" s="2"/>
      <c r="B62" s="3"/>
      <c r="C62" s="28"/>
      <c r="D62" s="29"/>
      <c r="E62" s="30"/>
      <c r="F62" s="3"/>
      <c r="G62" s="2"/>
    </row>
    <row r="63" spans="1:7" x14ac:dyDescent="0.25">
      <c r="A63" s="2"/>
      <c r="B63" s="3"/>
      <c r="C63" s="28"/>
      <c r="D63" s="29"/>
      <c r="E63" s="30"/>
      <c r="F63" s="3"/>
      <c r="G63" s="2"/>
    </row>
    <row r="64" spans="1:7" x14ac:dyDescent="0.25">
      <c r="A64" s="2"/>
      <c r="B64" s="3"/>
      <c r="C64" s="28"/>
      <c r="D64" s="29"/>
      <c r="E64" s="30"/>
      <c r="F64" s="3"/>
      <c r="G64" s="2"/>
    </row>
    <row r="65" spans="1:7" x14ac:dyDescent="0.25">
      <c r="A65" s="2"/>
      <c r="B65" s="3"/>
      <c r="C65" s="28"/>
      <c r="D65" s="29"/>
      <c r="E65" s="30"/>
      <c r="F65" s="3"/>
      <c r="G65" s="2"/>
    </row>
    <row r="66" spans="1:7" x14ac:dyDescent="0.25">
      <c r="A66" s="2"/>
      <c r="B66" s="3"/>
      <c r="C66" s="28"/>
      <c r="D66" s="29"/>
      <c r="E66" s="30"/>
      <c r="F66" s="3"/>
      <c r="G66" s="2"/>
    </row>
    <row r="67" spans="1:7" x14ac:dyDescent="0.25">
      <c r="A67" s="2"/>
      <c r="B67" s="3"/>
      <c r="C67" s="28"/>
      <c r="D67" s="29"/>
      <c r="E67" s="30"/>
      <c r="F67" s="3"/>
      <c r="G67" s="2"/>
    </row>
    <row r="68" spans="1:7" x14ac:dyDescent="0.25">
      <c r="A68" s="2"/>
      <c r="B68" s="3"/>
      <c r="C68" s="28"/>
      <c r="D68" s="29"/>
      <c r="E68" s="30"/>
      <c r="F68" s="3"/>
      <c r="G68" s="2"/>
    </row>
    <row r="69" spans="1:7" x14ac:dyDescent="0.25">
      <c r="A69" s="2"/>
      <c r="B69" s="3"/>
      <c r="C69" s="28"/>
      <c r="D69" s="29"/>
      <c r="E69" s="30"/>
      <c r="F69" s="3"/>
      <c r="G69" s="2"/>
    </row>
    <row r="70" spans="1:7" x14ac:dyDescent="0.25">
      <c r="A70" s="2"/>
      <c r="B70" s="3"/>
      <c r="C70" s="28"/>
      <c r="D70" s="29"/>
      <c r="E70" s="30"/>
      <c r="F70" s="3"/>
      <c r="G70" s="2"/>
    </row>
    <row r="71" spans="1:7" x14ac:dyDescent="0.25">
      <c r="A71" s="2"/>
      <c r="B71" s="3"/>
      <c r="C71" s="28"/>
      <c r="D71" s="29"/>
      <c r="E71" s="30"/>
      <c r="F71" s="3"/>
      <c r="G71" s="2"/>
    </row>
    <row r="72" spans="1:7" x14ac:dyDescent="0.25">
      <c r="A72" s="2"/>
      <c r="B72" s="3"/>
      <c r="C72" s="28"/>
      <c r="D72" s="29"/>
      <c r="E72" s="30"/>
      <c r="F72" s="3"/>
      <c r="G72" s="2"/>
    </row>
    <row r="73" spans="1:7" x14ac:dyDescent="0.25">
      <c r="A73" s="2"/>
      <c r="B73" s="3"/>
      <c r="C73" s="28"/>
      <c r="D73" s="29"/>
      <c r="E73" s="30"/>
      <c r="F73" s="3"/>
      <c r="G73" s="2"/>
    </row>
    <row r="74" spans="1:7" x14ac:dyDescent="0.25">
      <c r="A74" s="2"/>
      <c r="B74" s="3"/>
      <c r="C74" s="28"/>
      <c r="D74" s="29"/>
      <c r="E74" s="30"/>
      <c r="F74" s="3"/>
      <c r="G74" s="2"/>
    </row>
    <row r="75" spans="1:7" x14ac:dyDescent="0.25">
      <c r="A75" s="2"/>
      <c r="B75" s="3"/>
      <c r="C75" s="28"/>
      <c r="D75" s="29"/>
      <c r="E75" s="30"/>
      <c r="F75" s="3"/>
      <c r="G75" s="2"/>
    </row>
    <row r="76" spans="1:7" x14ac:dyDescent="0.25">
      <c r="A76" s="2"/>
      <c r="B76" s="3"/>
      <c r="C76" s="28"/>
      <c r="D76" s="29"/>
      <c r="E76" s="30"/>
      <c r="F76" s="3"/>
      <c r="G76" s="2"/>
    </row>
    <row r="77" spans="1:7" x14ac:dyDescent="0.25">
      <c r="A77" s="2"/>
      <c r="B77" s="3"/>
      <c r="C77" s="28"/>
      <c r="D77" s="29"/>
      <c r="E77" s="30"/>
      <c r="F77" s="3"/>
      <c r="G77" s="2"/>
    </row>
    <row r="78" spans="1:7" x14ac:dyDescent="0.25">
      <c r="A78" s="2"/>
      <c r="B78" s="3"/>
      <c r="C78" s="28"/>
      <c r="D78" s="29"/>
      <c r="E78" s="30"/>
      <c r="F78" s="3"/>
      <c r="G78" s="2"/>
    </row>
    <row r="79" spans="1:7" x14ac:dyDescent="0.25">
      <c r="A79" s="2"/>
      <c r="B79" s="3"/>
      <c r="C79" s="28"/>
      <c r="D79" s="29"/>
      <c r="E79" s="30"/>
      <c r="F79" s="3"/>
      <c r="G79" s="2"/>
    </row>
    <row r="80" spans="1:7" x14ac:dyDescent="0.25">
      <c r="A80" s="2"/>
      <c r="B80" s="3"/>
      <c r="C80" s="28"/>
      <c r="D80" s="29"/>
      <c r="E80" s="30"/>
      <c r="F80" s="3"/>
      <c r="G80" s="2"/>
    </row>
    <row r="81" spans="1:7" x14ac:dyDescent="0.25">
      <c r="A81" s="2"/>
      <c r="B81" s="3"/>
      <c r="C81" s="28"/>
      <c r="D81" s="29"/>
      <c r="E81" s="30"/>
      <c r="F81" s="3"/>
      <c r="G81" s="2"/>
    </row>
    <row r="82" spans="1:7" x14ac:dyDescent="0.25">
      <c r="A82" s="2"/>
      <c r="B82" s="3"/>
      <c r="C82" s="28"/>
      <c r="D82" s="29"/>
      <c r="E82" s="30"/>
      <c r="F82" s="3"/>
      <c r="G82" s="2"/>
    </row>
    <row r="83" spans="1:7" x14ac:dyDescent="0.25">
      <c r="A83" s="2"/>
      <c r="B83" s="3"/>
      <c r="C83" s="28"/>
      <c r="D83" s="29"/>
      <c r="E83" s="30"/>
      <c r="F83" s="3"/>
      <c r="G83" s="2"/>
    </row>
    <row r="84" spans="1:7" x14ac:dyDescent="0.25">
      <c r="A84" s="2"/>
      <c r="B84" s="3"/>
      <c r="C84" s="28"/>
      <c r="D84" s="29"/>
      <c r="E84" s="30"/>
      <c r="F84" s="3"/>
      <c r="G84" s="2"/>
    </row>
  </sheetData>
  <sortState ref="A8:E17">
    <sortCondition descending="1" ref="D8:D17"/>
  </sortState>
  <phoneticPr fontId="9" type="noConversion"/>
  <printOptions horizontalCentered="1"/>
  <pageMargins left="0.75" right="0.75" top="1" bottom="1" header="0.5" footer="0.5"/>
  <pageSetup orientation="portrait" horizontalDpi="1200" verticalDpi="1200" r:id="rId1"/>
  <headerFooter alignWithMargins="0">
    <oddHeader>&amp;L&amp;"Tahoma,Bold"&amp;11U.S. Biathlon Association&amp;R&amp;"Tahoma,Bold"&amp;11 2018 Race Points</oddHeader>
    <oddFooter>&amp;R&amp;"Tahoma,Regular"Page &amp;P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"/>
  <sheetViews>
    <sheetView workbookViewId="0">
      <selection activeCell="B1" sqref="B1"/>
    </sheetView>
  </sheetViews>
  <sheetFormatPr defaultRowHeight="13.2" x14ac:dyDescent="0.25"/>
  <cols>
    <col min="2" max="2" width="24.6640625" customWidth="1"/>
    <col min="3" max="7" width="9.6640625" customWidth="1"/>
  </cols>
  <sheetData>
    <row r="1" spans="1:7" x14ac:dyDescent="0.25">
      <c r="A1" s="16" t="s">
        <v>22</v>
      </c>
      <c r="B1" s="17"/>
      <c r="C1" s="18"/>
      <c r="D1" s="18"/>
      <c r="E1" s="18"/>
      <c r="F1" s="18"/>
      <c r="G1" s="19"/>
    </row>
    <row r="2" spans="1:7" x14ac:dyDescent="0.25">
      <c r="A2" s="20" t="s">
        <v>23</v>
      </c>
      <c r="B2" s="21">
        <v>42810</v>
      </c>
      <c r="C2" s="22"/>
      <c r="D2" s="22"/>
      <c r="E2" s="22"/>
      <c r="F2" s="22"/>
      <c r="G2" s="23"/>
    </row>
    <row r="3" spans="1:7" x14ac:dyDescent="0.25">
      <c r="A3" s="20" t="s">
        <v>24</v>
      </c>
      <c r="B3" s="24" t="s">
        <v>42</v>
      </c>
      <c r="C3" s="22"/>
      <c r="D3" s="22"/>
      <c r="E3" s="22"/>
      <c r="F3" s="22"/>
      <c r="G3" s="23"/>
    </row>
    <row r="4" spans="1:7" x14ac:dyDescent="0.25">
      <c r="A4" s="20" t="s">
        <v>1</v>
      </c>
      <c r="B4" s="24" t="s">
        <v>26</v>
      </c>
      <c r="C4" s="22"/>
      <c r="D4" s="22"/>
      <c r="E4" s="22"/>
      <c r="F4" s="22"/>
      <c r="G4" s="23"/>
    </row>
    <row r="5" spans="1:7" x14ac:dyDescent="0.25">
      <c r="A5" s="20" t="s">
        <v>27</v>
      </c>
      <c r="B5" s="24" t="s">
        <v>934</v>
      </c>
      <c r="C5" s="22"/>
      <c r="D5" s="22"/>
      <c r="E5" s="22" t="s">
        <v>55</v>
      </c>
      <c r="F5" s="38" t="e">
        <f>AVERAGE(C8:C9)*(AVERAGE(D8:D9)/100)</f>
        <v>#N/A</v>
      </c>
      <c r="G5" s="23"/>
    </row>
    <row r="6" spans="1:7" x14ac:dyDescent="0.25">
      <c r="A6" s="25" t="s">
        <v>29</v>
      </c>
      <c r="B6" s="26"/>
      <c r="C6" s="26"/>
      <c r="D6" s="26"/>
      <c r="E6" s="26"/>
      <c r="F6" s="26"/>
      <c r="G6" s="27"/>
    </row>
    <row r="7" spans="1:7" x14ac:dyDescent="0.25">
      <c r="A7" s="2" t="s">
        <v>2</v>
      </c>
      <c r="B7" s="3" t="s">
        <v>3</v>
      </c>
      <c r="C7" s="2" t="s">
        <v>30</v>
      </c>
      <c r="D7" s="2" t="s">
        <v>31</v>
      </c>
      <c r="E7" s="2" t="s">
        <v>32</v>
      </c>
      <c r="F7" s="3"/>
      <c r="G7" s="2" t="s">
        <v>27</v>
      </c>
    </row>
    <row r="8" spans="1:7" x14ac:dyDescent="0.25">
      <c r="A8" s="2">
        <v>13</v>
      </c>
      <c r="B8" s="3" t="s">
        <v>109</v>
      </c>
      <c r="C8" s="28">
        <v>1.6236111111111111E-2</v>
      </c>
      <c r="D8" s="29">
        <f>INDEX('Points Summary'!$F$4:$F$1143,G8)</f>
        <v>63.735816432134548</v>
      </c>
      <c r="E8" s="30" t="e">
        <f>(AVERAGE($D$8:$D$9)/100*AVERAGE($C$8:$C$9))/C8</f>
        <v>#N/A</v>
      </c>
      <c r="F8" s="3"/>
      <c r="G8" s="2">
        <f>MATCH(B8,'Points Summary'!$B$4:$B$1144,0)</f>
        <v>376</v>
      </c>
    </row>
    <row r="9" spans="1:7" x14ac:dyDescent="0.25">
      <c r="A9" s="2">
        <v>12</v>
      </c>
      <c r="B9" s="3" t="s">
        <v>905</v>
      </c>
      <c r="C9" s="28">
        <v>1.9387731481481481E-2</v>
      </c>
      <c r="D9" s="29" t="e">
        <f>INDEX('Points Summary'!$F$4:$F$1143,G9)</f>
        <v>#N/A</v>
      </c>
      <c r="E9" s="30" t="e">
        <f>(AVERAGE($D$8:$D$9)/100*AVERAGE($C$8:$C$9))/C9</f>
        <v>#N/A</v>
      </c>
      <c r="F9" s="3"/>
      <c r="G9" s="2" t="e">
        <f>MATCH(B9,'Points Summary'!$B$4:$B$1144,0)</f>
        <v>#N/A</v>
      </c>
    </row>
    <row r="10" spans="1:7" x14ac:dyDescent="0.25">
      <c r="A10" s="2"/>
      <c r="B10" s="3"/>
      <c r="C10" s="28"/>
      <c r="D10" s="29"/>
      <c r="E10" s="30"/>
      <c r="F10" s="3"/>
      <c r="G10" s="2"/>
    </row>
    <row r="11" spans="1:7" x14ac:dyDescent="0.25">
      <c r="A11" s="2"/>
      <c r="B11" s="3"/>
      <c r="C11" s="28"/>
      <c r="D11" s="29"/>
      <c r="E11" s="30"/>
      <c r="F11" s="3"/>
      <c r="G11" s="2"/>
    </row>
    <row r="12" spans="1:7" x14ac:dyDescent="0.25">
      <c r="A12" s="2"/>
      <c r="B12" s="3"/>
      <c r="C12" s="28"/>
      <c r="D12" s="29"/>
      <c r="E12" s="30"/>
      <c r="F12" s="3"/>
      <c r="G12" s="2"/>
    </row>
    <row r="13" spans="1:7" x14ac:dyDescent="0.25">
      <c r="A13" s="2"/>
      <c r="B13" s="3"/>
      <c r="C13" s="28"/>
      <c r="D13" s="29"/>
      <c r="E13" s="30"/>
      <c r="F13" s="3"/>
      <c r="G13" s="2"/>
    </row>
    <row r="14" spans="1:7" x14ac:dyDescent="0.25">
      <c r="A14" s="2"/>
      <c r="B14" s="3"/>
      <c r="C14" s="28"/>
      <c r="D14" s="29"/>
      <c r="E14" s="30"/>
      <c r="F14" s="3"/>
      <c r="G14" s="2"/>
    </row>
    <row r="15" spans="1:7" x14ac:dyDescent="0.25">
      <c r="A15" s="2"/>
      <c r="B15" s="3"/>
      <c r="C15" s="28"/>
      <c r="D15" s="29"/>
      <c r="E15" s="30"/>
      <c r="F15" s="3"/>
      <c r="G15" s="2"/>
    </row>
    <row r="16" spans="1:7" x14ac:dyDescent="0.25">
      <c r="A16" s="2"/>
      <c r="B16" s="3"/>
      <c r="C16" s="28"/>
      <c r="D16" s="29"/>
      <c r="E16" s="30"/>
      <c r="F16" s="3"/>
      <c r="G16" s="2"/>
    </row>
    <row r="17" spans="1:7" x14ac:dyDescent="0.25">
      <c r="A17" s="2"/>
      <c r="B17" s="3"/>
      <c r="C17" s="28"/>
      <c r="D17" s="29"/>
      <c r="E17" s="30"/>
      <c r="F17" s="3"/>
      <c r="G17" s="2"/>
    </row>
    <row r="18" spans="1:7" x14ac:dyDescent="0.25">
      <c r="A18" s="2"/>
      <c r="B18" s="3"/>
      <c r="C18" s="28"/>
      <c r="D18" s="29"/>
      <c r="E18" s="30"/>
      <c r="F18" s="3"/>
      <c r="G18" s="2"/>
    </row>
    <row r="19" spans="1:7" x14ac:dyDescent="0.25">
      <c r="A19" s="2"/>
      <c r="B19" s="3"/>
      <c r="C19" s="28"/>
      <c r="D19" s="29"/>
      <c r="E19" s="30"/>
      <c r="F19" s="3"/>
      <c r="G19" s="2"/>
    </row>
    <row r="20" spans="1:7" x14ac:dyDescent="0.25">
      <c r="A20" s="2"/>
      <c r="B20" s="3"/>
      <c r="C20" s="28"/>
      <c r="D20" s="29"/>
      <c r="E20" s="30"/>
      <c r="F20" s="3"/>
      <c r="G20" s="2"/>
    </row>
    <row r="21" spans="1:7" x14ac:dyDescent="0.25">
      <c r="A21" s="2"/>
      <c r="B21" s="3"/>
      <c r="C21" s="28"/>
      <c r="D21" s="29"/>
      <c r="E21" s="30"/>
      <c r="F21" s="3"/>
      <c r="G21" s="2"/>
    </row>
    <row r="22" spans="1:7" x14ac:dyDescent="0.25">
      <c r="A22" s="2"/>
      <c r="B22" s="3"/>
      <c r="C22" s="28"/>
      <c r="D22" s="29"/>
      <c r="E22" s="30"/>
      <c r="F22" s="3"/>
      <c r="G22" s="2"/>
    </row>
    <row r="23" spans="1:7" x14ac:dyDescent="0.25">
      <c r="A23" s="2"/>
      <c r="B23" s="3"/>
      <c r="C23" s="28"/>
      <c r="D23" s="29"/>
      <c r="E23" s="30"/>
      <c r="F23" s="3"/>
      <c r="G23" s="2"/>
    </row>
    <row r="24" spans="1:7" x14ac:dyDescent="0.25">
      <c r="A24" s="2"/>
      <c r="B24" s="3"/>
      <c r="C24" s="28"/>
      <c r="D24" s="29"/>
      <c r="E24" s="30"/>
      <c r="F24" s="3"/>
      <c r="G24" s="2"/>
    </row>
    <row r="25" spans="1:7" x14ac:dyDescent="0.25">
      <c r="A25" s="2"/>
      <c r="B25" s="3"/>
      <c r="C25" s="28"/>
      <c r="D25" s="29"/>
      <c r="E25" s="30"/>
      <c r="F25" s="3"/>
      <c r="G25" s="2"/>
    </row>
    <row r="26" spans="1:7" x14ac:dyDescent="0.25">
      <c r="A26" s="2"/>
      <c r="B26" s="3"/>
      <c r="C26" s="28"/>
      <c r="D26" s="29"/>
      <c r="E26" s="30"/>
      <c r="F26" s="3"/>
      <c r="G26" s="2"/>
    </row>
    <row r="27" spans="1:7" x14ac:dyDescent="0.25">
      <c r="A27" s="2"/>
      <c r="B27" s="3"/>
      <c r="C27" s="28"/>
      <c r="D27" s="29"/>
      <c r="E27" s="30"/>
      <c r="F27" s="3"/>
      <c r="G27" s="2"/>
    </row>
    <row r="28" spans="1:7" x14ac:dyDescent="0.25">
      <c r="A28" s="2"/>
      <c r="B28" s="3"/>
      <c r="C28" s="28"/>
      <c r="D28" s="29"/>
      <c r="E28" s="30"/>
      <c r="F28" s="3"/>
      <c r="G28" s="2"/>
    </row>
    <row r="29" spans="1:7" x14ac:dyDescent="0.25">
      <c r="A29" s="2"/>
      <c r="B29" s="3"/>
      <c r="C29" s="28"/>
      <c r="D29" s="29"/>
      <c r="E29" s="30"/>
      <c r="F29" s="3"/>
      <c r="G29" s="2"/>
    </row>
    <row r="30" spans="1:7" x14ac:dyDescent="0.25">
      <c r="A30" s="2"/>
      <c r="B30" s="3"/>
      <c r="C30" s="28"/>
      <c r="D30" s="29"/>
      <c r="E30" s="30"/>
      <c r="F30" s="3"/>
      <c r="G30" s="2"/>
    </row>
    <row r="31" spans="1:7" x14ac:dyDescent="0.25">
      <c r="A31" s="2"/>
      <c r="B31" s="3"/>
      <c r="C31" s="28"/>
      <c r="D31" s="29"/>
      <c r="E31" s="30"/>
      <c r="F31" s="3"/>
      <c r="G31" s="2"/>
    </row>
    <row r="32" spans="1:7" x14ac:dyDescent="0.25">
      <c r="A32" s="2"/>
      <c r="C32" s="28"/>
      <c r="D32" s="29"/>
      <c r="E32" s="30"/>
      <c r="F32" s="3"/>
      <c r="G32" s="2"/>
    </row>
    <row r="33" spans="1:7" x14ac:dyDescent="0.25">
      <c r="A33" s="2"/>
      <c r="C33" s="28"/>
      <c r="D33" s="29"/>
      <c r="E33" s="30"/>
      <c r="F33" s="3"/>
      <c r="G33" s="2"/>
    </row>
    <row r="34" spans="1:7" x14ac:dyDescent="0.25">
      <c r="A34" s="2"/>
      <c r="C34" s="28"/>
      <c r="D34" s="29"/>
      <c r="E34" s="30"/>
      <c r="F34" s="3"/>
      <c r="G34" s="2"/>
    </row>
    <row r="35" spans="1:7" x14ac:dyDescent="0.25">
      <c r="A35" s="2"/>
      <c r="C35" s="28"/>
      <c r="D35" s="29"/>
      <c r="E35" s="30"/>
      <c r="F35" s="3"/>
      <c r="G35" s="2"/>
    </row>
    <row r="36" spans="1:7" x14ac:dyDescent="0.25">
      <c r="A36" s="2"/>
      <c r="C36" s="28"/>
      <c r="D36" s="29"/>
      <c r="E36" s="30"/>
      <c r="F36" s="3"/>
      <c r="G36" s="2"/>
    </row>
    <row r="37" spans="1:7" x14ac:dyDescent="0.25">
      <c r="A37" s="2"/>
      <c r="C37" s="28"/>
      <c r="D37" s="29"/>
      <c r="E37" s="30"/>
      <c r="F37" s="3"/>
      <c r="G37" s="2"/>
    </row>
    <row r="38" spans="1:7" x14ac:dyDescent="0.25">
      <c r="A38" s="2"/>
      <c r="C38" s="28"/>
      <c r="D38" s="29"/>
      <c r="E38" s="30"/>
      <c r="F38" s="3"/>
      <c r="G38" s="2"/>
    </row>
    <row r="39" spans="1:7" x14ac:dyDescent="0.25">
      <c r="A39" s="2"/>
      <c r="C39" s="28"/>
      <c r="D39" s="29"/>
      <c r="E39" s="30"/>
      <c r="F39" s="3"/>
      <c r="G39" s="2"/>
    </row>
    <row r="40" spans="1:7" x14ac:dyDescent="0.25">
      <c r="A40" s="2"/>
      <c r="C40" s="28"/>
      <c r="D40" s="29"/>
      <c r="E40" s="30"/>
      <c r="F40" s="3"/>
      <c r="G40" s="2"/>
    </row>
    <row r="41" spans="1:7" x14ac:dyDescent="0.25">
      <c r="A41" s="2"/>
      <c r="C41" s="28"/>
      <c r="D41" s="29"/>
      <c r="E41" s="30"/>
      <c r="F41" s="3"/>
      <c r="G41" s="2"/>
    </row>
    <row r="42" spans="1:7" x14ac:dyDescent="0.25">
      <c r="A42" s="2"/>
      <c r="C42" s="28"/>
      <c r="D42" s="29"/>
      <c r="E42" s="30"/>
      <c r="F42" s="3"/>
      <c r="G42" s="2"/>
    </row>
    <row r="43" spans="1:7" x14ac:dyDescent="0.25">
      <c r="A43" s="2"/>
      <c r="C43" s="28"/>
      <c r="D43" s="29"/>
      <c r="E43" s="30"/>
      <c r="F43" s="3"/>
      <c r="G43" s="2"/>
    </row>
    <row r="44" spans="1:7" x14ac:dyDescent="0.25">
      <c r="A44" s="2"/>
      <c r="C44" s="28"/>
      <c r="D44" s="29"/>
      <c r="E44" s="30"/>
      <c r="F44" s="3"/>
      <c r="G44" s="2"/>
    </row>
    <row r="45" spans="1:7" x14ac:dyDescent="0.25">
      <c r="A45" s="2"/>
      <c r="C45" s="28"/>
      <c r="D45" s="29"/>
      <c r="E45" s="30"/>
      <c r="F45" s="3"/>
      <c r="G45" s="2"/>
    </row>
    <row r="46" spans="1:7" x14ac:dyDescent="0.25">
      <c r="A46" s="2"/>
      <c r="C46" s="28"/>
      <c r="D46" s="29"/>
      <c r="E46" s="30"/>
      <c r="F46" s="3"/>
      <c r="G46" s="2"/>
    </row>
    <row r="47" spans="1:7" x14ac:dyDescent="0.25">
      <c r="A47" s="2"/>
      <c r="C47" s="28"/>
      <c r="D47" s="29"/>
      <c r="E47" s="30"/>
      <c r="F47" s="3"/>
      <c r="G47" s="2"/>
    </row>
    <row r="48" spans="1:7" x14ac:dyDescent="0.25">
      <c r="A48" s="2"/>
      <c r="C48" s="28"/>
      <c r="D48" s="29"/>
      <c r="E48" s="30"/>
      <c r="F48" s="3"/>
      <c r="G48" s="2"/>
    </row>
    <row r="49" spans="1:7" x14ac:dyDescent="0.25">
      <c r="A49" s="2"/>
      <c r="C49" s="28"/>
      <c r="D49" s="29"/>
      <c r="E49" s="30"/>
      <c r="F49" s="3"/>
      <c r="G49" s="2"/>
    </row>
    <row r="50" spans="1:7" x14ac:dyDescent="0.25">
      <c r="A50" s="2"/>
      <c r="C50" s="28"/>
      <c r="D50" s="29"/>
      <c r="E50" s="30"/>
      <c r="F50" s="3"/>
      <c r="G50" s="2"/>
    </row>
    <row r="51" spans="1:7" x14ac:dyDescent="0.25">
      <c r="A51" s="2"/>
      <c r="C51" s="28"/>
      <c r="D51" s="29"/>
      <c r="E51" s="30"/>
      <c r="F51" s="3"/>
      <c r="G51" s="2"/>
    </row>
    <row r="52" spans="1:7" x14ac:dyDescent="0.25">
      <c r="A52" s="2"/>
      <c r="C52" s="28"/>
      <c r="D52" s="29"/>
      <c r="E52" s="30"/>
      <c r="F52" s="3"/>
      <c r="G52" s="2"/>
    </row>
    <row r="53" spans="1:7" x14ac:dyDescent="0.25">
      <c r="A53" s="2"/>
      <c r="C53" s="28"/>
      <c r="D53" s="29"/>
      <c r="E53" s="30"/>
      <c r="F53" s="3"/>
      <c r="G53" s="2"/>
    </row>
    <row r="54" spans="1:7" x14ac:dyDescent="0.25">
      <c r="A54" s="2"/>
      <c r="C54" s="28"/>
      <c r="D54" s="29"/>
      <c r="E54" s="30"/>
      <c r="F54" s="3"/>
      <c r="G54" s="2"/>
    </row>
    <row r="55" spans="1:7" x14ac:dyDescent="0.25">
      <c r="A55" s="2"/>
      <c r="C55" s="28"/>
      <c r="D55" s="29"/>
      <c r="E55" s="30"/>
      <c r="F55" s="3"/>
      <c r="G55" s="2"/>
    </row>
    <row r="56" spans="1:7" x14ac:dyDescent="0.25">
      <c r="A56" s="2"/>
      <c r="C56" s="28"/>
      <c r="D56" s="29"/>
      <c r="E56" s="30"/>
      <c r="F56" s="3"/>
      <c r="G56" s="2"/>
    </row>
    <row r="57" spans="1:7" x14ac:dyDescent="0.25">
      <c r="A57" s="2"/>
      <c r="C57" s="28"/>
      <c r="D57" s="29"/>
      <c r="E57" s="30"/>
      <c r="F57" s="3"/>
      <c r="G57" s="2"/>
    </row>
    <row r="58" spans="1:7" x14ac:dyDescent="0.25">
      <c r="A58" s="2"/>
      <c r="C58" s="28"/>
      <c r="D58" s="29"/>
      <c r="E58" s="30"/>
      <c r="F58" s="3"/>
      <c r="G58" s="2"/>
    </row>
    <row r="59" spans="1:7" x14ac:dyDescent="0.25">
      <c r="A59" s="2"/>
      <c r="C59" s="28"/>
      <c r="D59" s="29"/>
      <c r="E59" s="30"/>
      <c r="F59" s="3"/>
      <c r="G59" s="2"/>
    </row>
    <row r="60" spans="1:7" x14ac:dyDescent="0.25">
      <c r="A60" s="2"/>
      <c r="C60" s="28"/>
      <c r="D60" s="29"/>
      <c r="E60" s="30"/>
      <c r="F60" s="3"/>
      <c r="G60" s="2"/>
    </row>
    <row r="61" spans="1:7" x14ac:dyDescent="0.25">
      <c r="A61" s="2"/>
      <c r="C61" s="28"/>
      <c r="D61" s="29"/>
      <c r="E61" s="30"/>
      <c r="F61" s="3"/>
      <c r="G61" s="2"/>
    </row>
    <row r="62" spans="1:7" x14ac:dyDescent="0.25">
      <c r="A62" s="2"/>
      <c r="C62" s="28"/>
      <c r="D62" s="29"/>
      <c r="E62" s="30"/>
      <c r="F62" s="3"/>
      <c r="G62" s="2"/>
    </row>
    <row r="63" spans="1:7" x14ac:dyDescent="0.25">
      <c r="A63" s="2"/>
      <c r="C63" s="28"/>
      <c r="D63" s="29"/>
      <c r="E63" s="30"/>
      <c r="F63" s="3"/>
      <c r="G63" s="2"/>
    </row>
    <row r="64" spans="1:7" x14ac:dyDescent="0.25">
      <c r="A64" s="2"/>
      <c r="C64" s="28"/>
      <c r="D64" s="29"/>
      <c r="E64" s="30"/>
      <c r="F64" s="3"/>
      <c r="G64" s="2"/>
    </row>
    <row r="65" spans="1:7" x14ac:dyDescent="0.25">
      <c r="A65" s="2"/>
      <c r="C65" s="28"/>
      <c r="D65" s="29"/>
      <c r="E65" s="30"/>
      <c r="F65" s="3"/>
      <c r="G65" s="2"/>
    </row>
    <row r="66" spans="1:7" x14ac:dyDescent="0.25">
      <c r="A66" s="2"/>
      <c r="C66" s="28"/>
      <c r="D66" s="29"/>
      <c r="E66" s="30"/>
      <c r="F66" s="3"/>
      <c r="G66" s="2"/>
    </row>
    <row r="67" spans="1:7" x14ac:dyDescent="0.25">
      <c r="A67" s="2"/>
      <c r="C67" s="28"/>
      <c r="D67" s="29"/>
      <c r="E67" s="30"/>
      <c r="F67" s="3"/>
      <c r="G67" s="2"/>
    </row>
    <row r="68" spans="1:7" x14ac:dyDescent="0.25">
      <c r="A68" s="2"/>
      <c r="C68" s="28"/>
      <c r="D68" s="29"/>
      <c r="E68" s="30"/>
      <c r="F68" s="3"/>
      <c r="G68" s="2"/>
    </row>
    <row r="69" spans="1:7" x14ac:dyDescent="0.25">
      <c r="A69" s="2"/>
      <c r="C69" s="28"/>
      <c r="D69" s="29"/>
      <c r="E69" s="30"/>
      <c r="F69" s="3"/>
      <c r="G69" s="2"/>
    </row>
    <row r="70" spans="1:7" x14ac:dyDescent="0.25">
      <c r="A70" s="2"/>
      <c r="C70" s="28"/>
      <c r="D70" s="29"/>
      <c r="E70" s="30"/>
      <c r="F70" s="3"/>
      <c r="G70" s="2"/>
    </row>
    <row r="71" spans="1:7" x14ac:dyDescent="0.25">
      <c r="A71" s="2"/>
      <c r="C71" s="28"/>
      <c r="D71" s="29"/>
      <c r="E71" s="30"/>
      <c r="F71" s="3"/>
      <c r="G71" s="2"/>
    </row>
    <row r="72" spans="1:7" x14ac:dyDescent="0.25">
      <c r="A72" s="2"/>
      <c r="C72" s="28"/>
      <c r="D72" s="29"/>
      <c r="E72" s="30"/>
      <c r="F72" s="3"/>
      <c r="G72" s="2"/>
    </row>
    <row r="73" spans="1:7" x14ac:dyDescent="0.25">
      <c r="A73" s="2"/>
      <c r="C73" s="28"/>
      <c r="D73" s="29"/>
      <c r="E73" s="30"/>
      <c r="F73" s="3"/>
      <c r="G73" s="2"/>
    </row>
    <row r="74" spans="1:7" x14ac:dyDescent="0.25">
      <c r="A74" s="2"/>
      <c r="C74" s="28"/>
      <c r="D74" s="29"/>
      <c r="E74" s="30"/>
      <c r="F74" s="3"/>
      <c r="G74" s="2"/>
    </row>
    <row r="75" spans="1:7" x14ac:dyDescent="0.25">
      <c r="A75" s="2"/>
      <c r="B75" s="3"/>
      <c r="C75" s="28"/>
      <c r="D75" s="29"/>
      <c r="E75" s="30"/>
      <c r="F75" s="3"/>
      <c r="G75" s="2"/>
    </row>
    <row r="76" spans="1:7" x14ac:dyDescent="0.25">
      <c r="A76" s="2"/>
      <c r="B76" s="3"/>
      <c r="C76" s="28"/>
      <c r="D76" s="29"/>
      <c r="E76" s="30"/>
      <c r="F76" s="3"/>
      <c r="G76" s="2"/>
    </row>
    <row r="77" spans="1:7" x14ac:dyDescent="0.25">
      <c r="A77" s="2"/>
      <c r="B77" s="3"/>
      <c r="C77" s="28"/>
      <c r="D77" s="29"/>
      <c r="E77" s="30"/>
      <c r="F77" s="3"/>
      <c r="G77" s="2"/>
    </row>
    <row r="78" spans="1:7" x14ac:dyDescent="0.25">
      <c r="A78" s="2"/>
      <c r="B78" s="3"/>
      <c r="C78" s="28"/>
      <c r="D78" s="29"/>
      <c r="E78" s="30"/>
      <c r="F78" s="3"/>
      <c r="G78" s="2"/>
    </row>
    <row r="79" spans="1:7" x14ac:dyDescent="0.25">
      <c r="A79" s="2"/>
      <c r="B79" s="3"/>
      <c r="C79" s="28"/>
      <c r="D79" s="29"/>
      <c r="E79" s="30"/>
      <c r="F79" s="3"/>
      <c r="G79" s="2"/>
    </row>
    <row r="80" spans="1:7" x14ac:dyDescent="0.25">
      <c r="A80" s="2"/>
      <c r="B80" s="3"/>
      <c r="C80" s="28"/>
      <c r="D80" s="29"/>
      <c r="E80" s="30"/>
      <c r="F80" s="3"/>
      <c r="G80" s="2"/>
    </row>
    <row r="81" spans="1:7" x14ac:dyDescent="0.25">
      <c r="A81" s="2"/>
      <c r="B81" s="3"/>
      <c r="C81" s="28"/>
      <c r="D81" s="29"/>
      <c r="E81" s="30"/>
      <c r="F81" s="3"/>
      <c r="G81" s="2"/>
    </row>
    <row r="82" spans="1:7" x14ac:dyDescent="0.25">
      <c r="A82" s="2"/>
      <c r="B82" s="3"/>
      <c r="C82" s="28"/>
      <c r="D82" s="29"/>
      <c r="E82" s="30"/>
      <c r="F82" s="3"/>
      <c r="G82" s="2"/>
    </row>
    <row r="83" spans="1:7" x14ac:dyDescent="0.25">
      <c r="A83" s="2"/>
      <c r="B83" s="3"/>
      <c r="C83" s="28"/>
      <c r="D83" s="29"/>
      <c r="E83" s="30"/>
      <c r="F83" s="3"/>
      <c r="G83" s="2"/>
    </row>
    <row r="84" spans="1:7" x14ac:dyDescent="0.25">
      <c r="A84" s="2"/>
      <c r="B84" s="3"/>
      <c r="C84" s="28"/>
      <c r="D84" s="29"/>
      <c r="E84" s="30"/>
      <c r="F84" s="3"/>
      <c r="G84" s="2"/>
    </row>
    <row r="85" spans="1:7" x14ac:dyDescent="0.25">
      <c r="A85" s="2"/>
      <c r="B85" s="3"/>
      <c r="C85" s="28"/>
      <c r="D85" s="29"/>
      <c r="E85" s="30"/>
      <c r="F85" s="3"/>
      <c r="G85" s="2"/>
    </row>
    <row r="86" spans="1:7" x14ac:dyDescent="0.25">
      <c r="A86" s="2"/>
      <c r="B86" s="3"/>
      <c r="C86" s="28"/>
      <c r="D86" s="29"/>
      <c r="E86" s="30"/>
      <c r="F86" s="3"/>
      <c r="G86" s="2"/>
    </row>
    <row r="87" spans="1:7" x14ac:dyDescent="0.25">
      <c r="A87" s="2"/>
      <c r="B87" s="3"/>
      <c r="C87" s="28"/>
      <c r="D87" s="29"/>
      <c r="E87" s="30"/>
      <c r="F87" s="3"/>
      <c r="G87" s="2"/>
    </row>
    <row r="88" spans="1:7" x14ac:dyDescent="0.25">
      <c r="A88" s="2"/>
      <c r="B88" s="3"/>
      <c r="C88" s="28"/>
      <c r="D88" s="29"/>
      <c r="E88" s="30"/>
      <c r="F88" s="3"/>
      <c r="G88" s="2"/>
    </row>
    <row r="89" spans="1:7" x14ac:dyDescent="0.25">
      <c r="A89" s="2"/>
      <c r="B89" s="3"/>
      <c r="C89" s="28"/>
      <c r="D89" s="29"/>
      <c r="E89" s="30"/>
      <c r="F89" s="3"/>
      <c r="G89" s="2"/>
    </row>
    <row r="90" spans="1:7" x14ac:dyDescent="0.25">
      <c r="A90" s="2"/>
      <c r="B90" s="3"/>
      <c r="C90" s="28"/>
      <c r="D90" s="29"/>
      <c r="E90" s="30"/>
      <c r="F90" s="3"/>
      <c r="G90" s="2"/>
    </row>
    <row r="91" spans="1:7" x14ac:dyDescent="0.25">
      <c r="A91" s="2"/>
      <c r="B91" s="3"/>
      <c r="C91" s="28"/>
      <c r="D91" s="29"/>
      <c r="E91" s="30"/>
      <c r="F91" s="3"/>
      <c r="G91" s="2"/>
    </row>
    <row r="92" spans="1:7" x14ac:dyDescent="0.25">
      <c r="A92" s="2"/>
      <c r="B92" s="3"/>
      <c r="C92" s="28"/>
      <c r="D92" s="29"/>
      <c r="E92" s="30"/>
      <c r="F92" s="3"/>
      <c r="G92" s="2"/>
    </row>
    <row r="93" spans="1:7" x14ac:dyDescent="0.25">
      <c r="A93" s="2"/>
      <c r="B93" s="3"/>
      <c r="C93" s="28"/>
      <c r="D93" s="29"/>
      <c r="E93" s="30"/>
      <c r="F93" s="3"/>
      <c r="G93" s="2"/>
    </row>
    <row r="94" spans="1:7" x14ac:dyDescent="0.25">
      <c r="A94" s="2"/>
      <c r="B94" s="3"/>
      <c r="C94" s="28"/>
      <c r="D94" s="29"/>
      <c r="E94" s="30"/>
      <c r="F94" s="3"/>
      <c r="G94" s="2"/>
    </row>
  </sheetData>
  <sortState ref="A8:D13">
    <sortCondition descending="1" ref="D8:D13"/>
  </sortState>
  <phoneticPr fontId="9" type="noConversion"/>
  <printOptions horizontalCentered="1"/>
  <pageMargins left="0.75" right="0.75" top="1" bottom="1" header="0.5" footer="0.5"/>
  <pageSetup orientation="portrait" horizontalDpi="1200" verticalDpi="1200" r:id="rId1"/>
  <headerFooter alignWithMargins="0">
    <oddHeader>&amp;L&amp;"Tahoma,Bold"&amp;11U.S. Biathlon Association&amp;R&amp;"Tahoma,Bold"&amp;11 2017 Race Points</oddHeader>
    <oddFooter>&amp;R&amp;"Tahoma,Regular"Page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124</vt:i4>
      </vt:variant>
      <vt:variant>
        <vt:lpstr>Named Ranges</vt:lpstr>
      </vt:variant>
      <vt:variant>
        <vt:i4>1</vt:i4>
      </vt:variant>
    </vt:vector>
  </HeadingPairs>
  <TitlesOfParts>
    <vt:vector size="125" baseType="lpstr">
      <vt:lpstr>Report</vt:lpstr>
      <vt:lpstr>Points Summary</vt:lpstr>
      <vt:lpstr>Race 1</vt:lpstr>
      <vt:lpstr>Race 2</vt:lpstr>
      <vt:lpstr>Race 3</vt:lpstr>
      <vt:lpstr>Race 4</vt:lpstr>
      <vt:lpstr>Race 5</vt:lpstr>
      <vt:lpstr>Race 6</vt:lpstr>
      <vt:lpstr>Race 7</vt:lpstr>
      <vt:lpstr>Race 8</vt:lpstr>
      <vt:lpstr>Race 9</vt:lpstr>
      <vt:lpstr>Race 10</vt:lpstr>
      <vt:lpstr>Race 11</vt:lpstr>
      <vt:lpstr>Race 12</vt:lpstr>
      <vt:lpstr>Race 13</vt:lpstr>
      <vt:lpstr>Race 14</vt:lpstr>
      <vt:lpstr>Race 15</vt:lpstr>
      <vt:lpstr>Race 16</vt:lpstr>
      <vt:lpstr>Race 17</vt:lpstr>
      <vt:lpstr>Race 18</vt:lpstr>
      <vt:lpstr>Race 19</vt:lpstr>
      <vt:lpstr>Race 20</vt:lpstr>
      <vt:lpstr>Race 21</vt:lpstr>
      <vt:lpstr>Race 22</vt:lpstr>
      <vt:lpstr>Race 23</vt:lpstr>
      <vt:lpstr>Race 24</vt:lpstr>
      <vt:lpstr>Race 25</vt:lpstr>
      <vt:lpstr>Race 26</vt:lpstr>
      <vt:lpstr>Race 27</vt:lpstr>
      <vt:lpstr>Race 28</vt:lpstr>
      <vt:lpstr>Race 29</vt:lpstr>
      <vt:lpstr>Race 30</vt:lpstr>
      <vt:lpstr>Race 31</vt:lpstr>
      <vt:lpstr>Race 32</vt:lpstr>
      <vt:lpstr>Race 33</vt:lpstr>
      <vt:lpstr>Race 34</vt:lpstr>
      <vt:lpstr>Race 35</vt:lpstr>
      <vt:lpstr>Race 36</vt:lpstr>
      <vt:lpstr>Race 37</vt:lpstr>
      <vt:lpstr>Race 38</vt:lpstr>
      <vt:lpstr>Race 39</vt:lpstr>
      <vt:lpstr>Race 40</vt:lpstr>
      <vt:lpstr>Race 41</vt:lpstr>
      <vt:lpstr>Race 42</vt:lpstr>
      <vt:lpstr>Race 43</vt:lpstr>
      <vt:lpstr>Race 44</vt:lpstr>
      <vt:lpstr>Race 45</vt:lpstr>
      <vt:lpstr>Race 46</vt:lpstr>
      <vt:lpstr>Race 47</vt:lpstr>
      <vt:lpstr>Race 48</vt:lpstr>
      <vt:lpstr>Race 49</vt:lpstr>
      <vt:lpstr>Race 50</vt:lpstr>
      <vt:lpstr>Race 51</vt:lpstr>
      <vt:lpstr>Race 52</vt:lpstr>
      <vt:lpstr>Race 53</vt:lpstr>
      <vt:lpstr>Race 54</vt:lpstr>
      <vt:lpstr>Race 55</vt:lpstr>
      <vt:lpstr>Race 56</vt:lpstr>
      <vt:lpstr>Race 57</vt:lpstr>
      <vt:lpstr>Race 58</vt:lpstr>
      <vt:lpstr>Race 59</vt:lpstr>
      <vt:lpstr>Race 60</vt:lpstr>
      <vt:lpstr>Race 61</vt:lpstr>
      <vt:lpstr>Race 62</vt:lpstr>
      <vt:lpstr>Race 63</vt:lpstr>
      <vt:lpstr>Race 64</vt:lpstr>
      <vt:lpstr>Race 65</vt:lpstr>
      <vt:lpstr>Race 66</vt:lpstr>
      <vt:lpstr>Race 67</vt:lpstr>
      <vt:lpstr>Race 68</vt:lpstr>
      <vt:lpstr>Race 69</vt:lpstr>
      <vt:lpstr>Race 70</vt:lpstr>
      <vt:lpstr>Race 71</vt:lpstr>
      <vt:lpstr>Race 72</vt:lpstr>
      <vt:lpstr>Race 73</vt:lpstr>
      <vt:lpstr>Race 74</vt:lpstr>
      <vt:lpstr>Race 75</vt:lpstr>
      <vt:lpstr>Race 76</vt:lpstr>
      <vt:lpstr>Race 77</vt:lpstr>
      <vt:lpstr>Race 78</vt:lpstr>
      <vt:lpstr>Race 79</vt:lpstr>
      <vt:lpstr>Race 80</vt:lpstr>
      <vt:lpstr>Race 81</vt:lpstr>
      <vt:lpstr>Race 82</vt:lpstr>
      <vt:lpstr>Race 83</vt:lpstr>
      <vt:lpstr>Race 84</vt:lpstr>
      <vt:lpstr>Race 85</vt:lpstr>
      <vt:lpstr>Race 86</vt:lpstr>
      <vt:lpstr>Race 87</vt:lpstr>
      <vt:lpstr>Race 88</vt:lpstr>
      <vt:lpstr>Race 89</vt:lpstr>
      <vt:lpstr>Race 90</vt:lpstr>
      <vt:lpstr>Race 91</vt:lpstr>
      <vt:lpstr>Race 92</vt:lpstr>
      <vt:lpstr>Race 93</vt:lpstr>
      <vt:lpstr>Race 94</vt:lpstr>
      <vt:lpstr>Race 95</vt:lpstr>
      <vt:lpstr>Race 96</vt:lpstr>
      <vt:lpstr>Race 97</vt:lpstr>
      <vt:lpstr>Race 98</vt:lpstr>
      <vt:lpstr>Race 99</vt:lpstr>
      <vt:lpstr>Race 100</vt:lpstr>
      <vt:lpstr>Race 101</vt:lpstr>
      <vt:lpstr>Race 102</vt:lpstr>
      <vt:lpstr>Race 103</vt:lpstr>
      <vt:lpstr>Race 104</vt:lpstr>
      <vt:lpstr>Race 105</vt:lpstr>
      <vt:lpstr>Race 106</vt:lpstr>
      <vt:lpstr>Race 107</vt:lpstr>
      <vt:lpstr>Race 108</vt:lpstr>
      <vt:lpstr>Race 109</vt:lpstr>
      <vt:lpstr>Race 110</vt:lpstr>
      <vt:lpstr>Race 111</vt:lpstr>
      <vt:lpstr>Race 112</vt:lpstr>
      <vt:lpstr>Race 113</vt:lpstr>
      <vt:lpstr>Race 114</vt:lpstr>
      <vt:lpstr>Race 115</vt:lpstr>
      <vt:lpstr>Race 116</vt:lpstr>
      <vt:lpstr>Race 117</vt:lpstr>
      <vt:lpstr>Race 118</vt:lpstr>
      <vt:lpstr>Race 119</vt:lpstr>
      <vt:lpstr>Race 120</vt:lpstr>
      <vt:lpstr>Race 121</vt:lpstr>
      <vt:lpstr>Sample</vt:lpstr>
      <vt:lpstr>Report!Print_Area</vt:lpstr>
    </vt:vector>
  </TitlesOfParts>
  <Company>National Guard Sports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Stegen</dc:creator>
  <cp:lastModifiedBy>Art</cp:lastModifiedBy>
  <cp:lastPrinted>2018-04-30T12:18:19Z</cp:lastPrinted>
  <dcterms:created xsi:type="dcterms:W3CDTF">2003-12-08T14:54:21Z</dcterms:created>
  <dcterms:modified xsi:type="dcterms:W3CDTF">2018-04-30T12:20:04Z</dcterms:modified>
</cp:coreProperties>
</file>